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dine\Downloads\"/>
    </mc:Choice>
  </mc:AlternateContent>
  <xr:revisionPtr revIDLastSave="0" documentId="13_ncr:1_{1C3C8CBB-1FBB-48C9-983B-12006963907B}" xr6:coauthVersionLast="47" xr6:coauthVersionMax="47" xr10:uidLastSave="{00000000-0000-0000-0000-000000000000}"/>
  <bookViews>
    <workbookView xWindow="-110" yWindow="-110" windowWidth="19420" windowHeight="10300" tabRatio="751" firstSheet="1" activeTab="1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0" l="1"/>
  <c r="BQ20" i="9"/>
  <c r="BQ21" i="9"/>
  <c r="BQ22" i="9"/>
  <c r="BQ23" i="9"/>
  <c r="BQ19" i="9"/>
  <c r="BQ20" i="1"/>
  <c r="BQ21" i="1"/>
  <c r="BQ22" i="1"/>
  <c r="BQ23" i="1"/>
  <c r="BQ19" i="1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J54" i="4"/>
  <c r="I54" i="4" s="1"/>
  <c r="O66" i="4"/>
  <c r="G29" i="10" s="1"/>
  <c r="O64" i="4"/>
  <c r="G28" i="10" s="1"/>
  <c r="E29" i="10"/>
  <c r="E28" i="10"/>
  <c r="G31" i="10" l="1"/>
  <c r="G19" i="10"/>
  <c r="F19" i="10"/>
  <c r="L22" i="8"/>
  <c r="K17" i="8"/>
  <c r="J17" i="8"/>
  <c r="G17" i="8"/>
  <c r="F17" i="8"/>
  <c r="G11" i="8" l="1"/>
  <c r="S20" i="4" l="1"/>
  <c r="R20" i="4"/>
  <c r="Q20" i="4"/>
  <c r="P20" i="4"/>
  <c r="O20" i="4"/>
  <c r="T20" i="4" l="1" a="1"/>
  <c r="T20" i="4" s="1"/>
  <c r="F11" i="8" l="1"/>
  <c r="AK31" i="4" l="1"/>
  <c r="P19" i="4"/>
  <c r="Q19" i="4"/>
  <c r="R19" i="4"/>
  <c r="S19" i="4"/>
  <c r="P21" i="4"/>
  <c r="Q21" i="4"/>
  <c r="R21" i="4"/>
  <c r="S21" i="4"/>
  <c r="D21" i="4"/>
  <c r="D20" i="4" l="1"/>
  <c r="H20" i="4"/>
  <c r="O19" i="4"/>
  <c r="O21" i="4"/>
  <c r="E19" i="4"/>
  <c r="F19" i="4"/>
  <c r="G19" i="4"/>
  <c r="H19" i="4"/>
  <c r="E20" i="4"/>
  <c r="F20" i="4"/>
  <c r="G20" i="4"/>
  <c r="E21" i="4"/>
  <c r="F21" i="4"/>
  <c r="G21" i="4"/>
  <c r="H21" i="4"/>
  <c r="D19" i="4"/>
  <c r="I21" i="4" l="1" a="1"/>
  <c r="I21" i="4" s="1"/>
  <c r="T19" i="4"/>
  <c r="I20" i="4" a="1"/>
  <c r="I20" i="4" s="1"/>
  <c r="I19" i="4" a="1"/>
  <c r="I19" i="4" s="1"/>
  <c r="P15" i="8" l="1"/>
  <c r="M16" i="8" s="1"/>
  <c r="AB20" i="1"/>
  <c r="AB21" i="1" s="1"/>
  <c r="AB22" i="1" s="1"/>
  <c r="AB23" i="1" s="1"/>
  <c r="R19" i="8" l="1"/>
  <c r="P12" i="8" l="1"/>
  <c r="M13" i="8" l="1"/>
  <c r="R18" i="8"/>
  <c r="E20" i="10"/>
  <c r="F20" i="10" s="1"/>
  <c r="G20" i="10" s="1"/>
  <c r="E21" i="10"/>
  <c r="F21" i="10" s="1"/>
  <c r="G21" i="10" s="1"/>
  <c r="AL44" i="4"/>
  <c r="AL45" i="4"/>
  <c r="AL46" i="4"/>
  <c r="AJ39" i="4" l="1"/>
  <c r="AL39" i="4"/>
  <c r="AJ37" i="4"/>
  <c r="AL37" i="4"/>
  <c r="AJ36" i="4"/>
  <c r="AL36" i="4"/>
  <c r="AJ47" i="4"/>
  <c r="AL47" i="4"/>
  <c r="AK43" i="4"/>
  <c r="AL43" i="4"/>
  <c r="AJ42" i="4"/>
  <c r="AL42" i="4"/>
  <c r="AK41" i="4"/>
  <c r="AL41" i="4"/>
  <c r="AJ40" i="4"/>
  <c r="AL40" i="4"/>
  <c r="AJ41" i="4"/>
  <c r="AK40" i="4"/>
  <c r="T21" i="4"/>
  <c r="AK38" i="4"/>
  <c r="AJ43" i="4"/>
  <c r="AK45" i="4"/>
  <c r="AK37" i="4"/>
  <c r="AJ45" i="4"/>
  <c r="AK42" i="4"/>
  <c r="AJ46" i="4"/>
  <c r="AK47" i="4"/>
  <c r="AK39" i="4"/>
  <c r="AK46" i="4"/>
  <c r="AJ38" i="4"/>
  <c r="AK44" i="4"/>
  <c r="AK36" i="4"/>
  <c r="AJ44" i="4"/>
  <c r="AL38" i="4" l="1"/>
  <c r="U21" i="4"/>
  <c r="U20" i="4"/>
  <c r="V21" i="4"/>
  <c r="V20" i="4"/>
  <c r="U19" i="4" l="1"/>
  <c r="V19" i="4"/>
  <c r="W19" i="4" s="1"/>
  <c r="W21" i="4"/>
  <c r="W20" i="4"/>
  <c r="Z21" i="4" s="1" a="1"/>
  <c r="Z21" i="4" s="1"/>
  <c r="Y21" i="4" l="1"/>
  <c r="H62" i="1"/>
  <c r="DC19" i="1" l="1"/>
  <c r="Y31" i="1" s="1"/>
  <c r="G19" i="1" l="1"/>
  <c r="G19" i="9"/>
  <c r="G20" i="1" l="1"/>
  <c r="G21" i="1"/>
  <c r="G20" i="9"/>
  <c r="G21" i="9" l="1"/>
  <c r="G23" i="1"/>
  <c r="I23" i="1" s="1"/>
  <c r="D35" i="1" s="1"/>
  <c r="G22" i="1"/>
  <c r="G22" i="9" l="1"/>
  <c r="G23" i="9"/>
  <c r="DE19" i="1" l="1"/>
  <c r="Z31" i="1" s="1"/>
  <c r="DG19" i="1"/>
  <c r="AA31" i="1" s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J35" i="4" l="1"/>
  <c r="AK35" i="4"/>
  <c r="AL35" i="4" s="1"/>
  <c r="AJ34" i="4"/>
  <c r="AK34" i="4"/>
  <c r="AL34" i="4" s="1"/>
  <c r="AK32" i="4"/>
  <c r="AL32" i="4" s="1"/>
  <c r="AJ32" i="4"/>
  <c r="AJ33" i="4"/>
  <c r="AK33" i="4"/>
  <c r="AL33" i="4" s="1"/>
  <c r="DC20" i="9"/>
  <c r="I50" i="9"/>
  <c r="I52" i="9"/>
  <c r="I53" i="9"/>
  <c r="DC21" i="9"/>
  <c r="DC22" i="9"/>
  <c r="Y34" i="9" s="1"/>
  <c r="DC23" i="9"/>
  <c r="DC19" i="9"/>
  <c r="C19" i="1"/>
  <c r="E19" i="1" s="1"/>
  <c r="C31" i="1" s="1"/>
  <c r="I19" i="1"/>
  <c r="D31" i="1" s="1"/>
  <c r="K19" i="1"/>
  <c r="M19" i="1" s="1"/>
  <c r="O19" i="1"/>
  <c r="Q19" i="1" s="1"/>
  <c r="S19" i="1"/>
  <c r="W19" i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I43" i="1" s="1"/>
  <c r="CU19" i="1"/>
  <c r="M41" i="1" s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C32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S20" i="9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S21" i="9"/>
  <c r="U21" i="9" s="1"/>
  <c r="G33" i="9" s="1"/>
  <c r="W21" i="9"/>
  <c r="BB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S22" i="9"/>
  <c r="U22" i="9" s="1"/>
  <c r="G34" i="9" s="1"/>
  <c r="W22" i="9"/>
  <c r="BB22" i="9"/>
  <c r="BD22" i="9" s="1"/>
  <c r="BS22" i="9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C35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S23" i="9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V19" i="9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C32" i="1" s="1"/>
  <c r="I20" i="1"/>
  <c r="D32" i="1" s="1"/>
  <c r="K20" i="1"/>
  <c r="M20" i="1" s="1"/>
  <c r="E32" i="1" s="1"/>
  <c r="O20" i="1"/>
  <c r="S20" i="1"/>
  <c r="U20" i="1" s="1"/>
  <c r="G32" i="1" s="1"/>
  <c r="W20" i="1"/>
  <c r="BB20" i="1"/>
  <c r="BD20" i="1" s="1"/>
  <c r="BS20" i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Y21" i="1" s="1"/>
  <c r="H33" i="1" s="1"/>
  <c r="BB21" i="1"/>
  <c r="BD21" i="1" s="1"/>
  <c r="BS21" i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C34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S22" i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C35" i="1" s="1"/>
  <c r="K23" i="1"/>
  <c r="M23" i="1" s="1"/>
  <c r="E35" i="1" s="1"/>
  <c r="O23" i="1"/>
  <c r="S23" i="1"/>
  <c r="U23" i="1" s="1"/>
  <c r="G35" i="1" s="1"/>
  <c r="W23" i="1"/>
  <c r="Y23" i="1" s="1"/>
  <c r="H35" i="1" s="1"/>
  <c r="BB23" i="1"/>
  <c r="BD23" i="1" s="1"/>
  <c r="BS23" i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I19" i="1"/>
  <c r="AK19" i="1" s="1"/>
  <c r="K31" i="1" s="1"/>
  <c r="AE19" i="1"/>
  <c r="AG19" i="1" s="1"/>
  <c r="J31" i="1" s="1"/>
  <c r="AA20" i="1"/>
  <c r="AC20" i="1" s="1"/>
  <c r="I32" i="1" s="1"/>
  <c r="H62" i="9"/>
  <c r="G62" i="9"/>
  <c r="F62" i="9"/>
  <c r="E62" i="9"/>
  <c r="D62" i="9"/>
  <c r="C62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G34" i="9"/>
  <c r="G9" i="8"/>
  <c r="AA19" i="1"/>
  <c r="AC19" i="1" s="1"/>
  <c r="AM19" i="1"/>
  <c r="AO19" i="1" s="1"/>
  <c r="L31" i="1" s="1"/>
  <c r="AE20" i="1"/>
  <c r="AG20" i="1" s="1"/>
  <c r="AI20" i="1"/>
  <c r="AK20" i="1" s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AK32" i="1"/>
  <c r="AA21" i="1"/>
  <c r="AC21" i="1" s="1"/>
  <c r="I33" i="1" s="1"/>
  <c r="AE21" i="1"/>
  <c r="AG21" i="1" s="1"/>
  <c r="J33" i="1" s="1"/>
  <c r="AI21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AA22" i="1"/>
  <c r="AC22" i="1" s="1"/>
  <c r="I34" i="1" s="1"/>
  <c r="AE22" i="1"/>
  <c r="AG22" i="1" s="1"/>
  <c r="J34" i="1" s="1"/>
  <c r="AI22" i="1"/>
  <c r="AK22" i="1" s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AA23" i="1"/>
  <c r="AC23" i="1" s="1"/>
  <c r="I35" i="1" s="1"/>
  <c r="AE23" i="1"/>
  <c r="AG23" i="1" s="1"/>
  <c r="J35" i="1" s="1"/>
  <c r="AI23" i="1"/>
  <c r="AK23" i="1" s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G46" i="1"/>
  <c r="DI24" i="1"/>
  <c r="DG24" i="1"/>
  <c r="DE24" i="1"/>
  <c r="F26" i="8"/>
  <c r="AL33" i="9" l="1"/>
  <c r="AL35" i="9"/>
  <c r="Q22" i="9"/>
  <c r="F34" i="9" s="1"/>
  <c r="AN34" i="9"/>
  <c r="Q21" i="9"/>
  <c r="F33" i="9" s="1"/>
  <c r="Q21" i="1"/>
  <c r="F33" i="1" s="1"/>
  <c r="Q20" i="1"/>
  <c r="F32" i="1" s="1"/>
  <c r="AH34" i="1"/>
  <c r="AE35" i="1"/>
  <c r="Q22" i="1"/>
  <c r="C44" i="1" s="1"/>
  <c r="D44" i="1" s="1"/>
  <c r="Q23" i="1"/>
  <c r="F35" i="1" s="1"/>
  <c r="F35" i="9"/>
  <c r="F31" i="9"/>
  <c r="AH35" i="9"/>
  <c r="Y43" i="9"/>
  <c r="Z43" i="9" s="1"/>
  <c r="AN33" i="9"/>
  <c r="Y20" i="1"/>
  <c r="H32" i="1" s="1"/>
  <c r="P41" i="1"/>
  <c r="AD41" i="1"/>
  <c r="AL45" i="1"/>
  <c r="U21" i="1"/>
  <c r="C43" i="1" s="1"/>
  <c r="Y19" i="1"/>
  <c r="H31" i="1" s="1"/>
  <c r="CI21" i="9"/>
  <c r="S33" i="9" s="1"/>
  <c r="AM34" i="1"/>
  <c r="AN34" i="1"/>
  <c r="AF34" i="1"/>
  <c r="K45" i="1"/>
  <c r="L45" i="1" s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H33" i="9" s="1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T43" i="9" s="1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I46" i="1" s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31" i="9" s="1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BY23" i="1"/>
  <c r="BY20" i="1"/>
  <c r="BS24" i="1"/>
  <c r="BV20" i="1"/>
  <c r="C45" i="1"/>
  <c r="D45" i="1" s="1"/>
  <c r="BQ24" i="1"/>
  <c r="BY19" i="1"/>
  <c r="J26" i="8"/>
  <c r="P21" i="8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N44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Q24" i="9" l="1"/>
  <c r="CI24" i="9"/>
  <c r="C42" i="1"/>
  <c r="D42" i="1" s="1"/>
  <c r="F34" i="1"/>
  <c r="Q24" i="1"/>
  <c r="Y24" i="1"/>
  <c r="F36" i="1"/>
  <c r="G12" i="10"/>
  <c r="E12" i="10" s="1"/>
  <c r="B34" i="10" s="1"/>
  <c r="P26" i="8"/>
  <c r="AO47" i="4" a="1"/>
  <c r="AO47" i="4" s="1"/>
  <c r="F36" i="9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R31" i="9"/>
  <c r="BV24" i="9"/>
  <c r="S35" i="9"/>
  <c r="AG36" i="9"/>
  <c r="S31" i="1"/>
  <c r="G37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G37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U24" i="1"/>
  <c r="R41" i="9"/>
  <c r="R46" i="9" s="1"/>
  <c r="Q46" i="9"/>
  <c r="S46" i="9"/>
  <c r="CS24" i="1"/>
  <c r="AV24" i="1"/>
  <c r="M31" i="1"/>
  <c r="Y36" i="9"/>
  <c r="BV24" i="1"/>
  <c r="E44" i="1"/>
  <c r="F44" i="1" s="1"/>
  <c r="E45" i="1"/>
  <c r="F45" i="1" s="1"/>
  <c r="AU45" i="1" s="1"/>
  <c r="AV45" i="1" s="1"/>
  <c r="E42" i="1"/>
  <c r="F42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C3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BG24" i="1"/>
  <c r="O32" i="1"/>
  <c r="O36" i="1" s="1"/>
  <c r="AJ43" i="1"/>
  <c r="AJ46" i="1" s="1"/>
  <c r="AI46" i="1"/>
  <c r="C43" i="9"/>
  <c r="L36" i="1"/>
  <c r="E43" i="1"/>
  <c r="D43" i="1"/>
  <c r="L41" i="9"/>
  <c r="L46" i="9" s="1"/>
  <c r="K46" i="9"/>
  <c r="E36" i="9"/>
  <c r="AC46" i="9"/>
  <c r="AD42" i="9"/>
  <c r="AD46" i="9" s="1"/>
  <c r="C42" i="9"/>
  <c r="M34" i="1"/>
  <c r="C36" i="1"/>
  <c r="G36" i="1" l="1"/>
  <c r="AN47" i="4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H41" i="9"/>
  <c r="I41" i="9"/>
  <c r="E41" i="1"/>
  <c r="E46" i="1" s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U42" i="1"/>
  <c r="AV42" i="1" s="1"/>
  <c r="AO31" i="9"/>
  <c r="AP31" i="9" s="1"/>
  <c r="D42" i="9"/>
  <c r="E42" i="9"/>
  <c r="C46" i="9"/>
  <c r="E43" i="9"/>
  <c r="D43" i="9"/>
  <c r="AO32" i="1"/>
  <c r="G30" i="10" l="1"/>
  <c r="AN21" i="4"/>
  <c r="D75" i="4" s="1"/>
  <c r="C75" i="4" s="1"/>
  <c r="E25" i="10" s="1"/>
  <c r="AP32" i="1"/>
  <c r="AP32" i="9"/>
  <c r="F41" i="1"/>
  <c r="AU41" i="1" s="1"/>
  <c r="AV41" i="1" s="1"/>
  <c r="D4" i="10" s="1" a="1"/>
  <c r="D4" i="10" s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G25" i="10" l="1"/>
  <c r="G4" i="10"/>
  <c r="E30" i="10"/>
  <c r="F46" i="1"/>
  <c r="J46" i="9"/>
  <c r="AU43" i="9"/>
  <c r="AV43" i="9" s="1"/>
  <c r="AU41" i="9"/>
  <c r="AV41" i="9" s="1"/>
  <c r="AU46" i="1"/>
  <c r="AX44" i="1" s="1"/>
  <c r="AU42" i="9"/>
  <c r="F46" i="9"/>
  <c r="AV42" i="9" l="1"/>
  <c r="AV46" i="9" a="1"/>
  <c r="AV46" i="9" s="1"/>
  <c r="AX45" i="1"/>
  <c r="D3" i="10" s="1"/>
  <c r="G3" i="10" s="1"/>
  <c r="AU46" i="9"/>
  <c r="AX44" i="9" l="1"/>
  <c r="E14" i="10" s="1"/>
  <c r="E13" i="10" l="1"/>
  <c r="BB44" i="9" a="1"/>
  <c r="BB44" i="9" s="1"/>
  <c r="AX45" i="9"/>
  <c r="BB51" i="9" l="1"/>
  <c r="BB52" i="9" s="1"/>
  <c r="BB45" i="9"/>
  <c r="D5" i="10"/>
  <c r="G5" i="10" l="1"/>
  <c r="G9" i="10"/>
  <c r="G8" i="10"/>
  <c r="G3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<sst xmlns="http://schemas.openxmlformats.org/spreadsheetml/2006/main" count="1267" uniqueCount="286">
  <si>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</si>
  <si>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</si>
  <si>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</si>
  <si>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</si>
  <si>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</si>
  <si>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</si>
  <si>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</si>
  <si>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</si>
  <si>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</si>
  <si>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</si>
  <si>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</si>
  <si>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</si>
  <si>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</si>
  <si>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</si>
  <si>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</si>
  <si>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</si>
  <si>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</si>
  <si>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</si>
  <si>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</si>
  <si>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</si>
  <si>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</si>
  <si>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</si>
  <si>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</si>
  <si>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</si>
  <si>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</si>
  <si>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</si>
  <si>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</si>
  <si>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</si>
  <si>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</si>
  <si>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</si>
  <si>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</si>
  <si>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</si>
  <si>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</si>
  <si>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</si>
  <si>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</si>
  <si>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</si>
  <si>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</si>
  <si>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</si>
  <si>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</si>
  <si>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</si>
  <si>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</si>
  <si>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</si>
  <si>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</si>
  <si>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</si>
  <si>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</si>
  <si>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</si>
  <si>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</si>
  <si>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</si>
  <si>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</si>
  <si>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</si>
  <si>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</si>
  <si>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</si>
  <si>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</si>
  <si>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</si>
  <si>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</si>
  <si>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</si>
  <si>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</si>
  <si>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</si>
  <si>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</si>
  <si>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</si>
  <si>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</si>
  <si>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</si>
  <si>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</si>
  <si>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</si>
  <si>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</si>
  <si>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</si>
  <si>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</si>
  <si>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</si>
  <si>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</si>
  <si>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</si>
  <si>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</si>
  <si>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</si>
  <si>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</si>
  <si>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</si>
  <si>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</si>
  <si>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</si>
  <si>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</si>
  <si>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</si>
  <si>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</si>
  <si>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</si>
  <si>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</si>
  <si>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</si>
  <si>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</si>
  <si>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</si>
  <si>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</si>
  <si>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</si>
  <si>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</si>
  <si>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</si>
  <si>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</si>
  <si>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</si>
  <si>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</si>
  <si>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</si>
  <si>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</si>
  <si>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</si>
  <si>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</si>
  <si>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</si>
  <si>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</si>
  <si>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</si>
  <si>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</si>
  <si>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</si>
  <si>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</si>
  <si>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</si>
  <si>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</si>
  <si>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</si>
  <si>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</si>
  <si>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</si>
  <si>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</si>
  <si>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</si>
  <si>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</si>
  <si>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</si>
  <si>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</si>
  <si>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</si>
  <si>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</si>
  <si>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</si>
  <si>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</si>
  <si>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</si>
  <si>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</si>
  <si>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</si>
  <si>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</si>
  <si>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</si>
  <si>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</si>
  <si>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</si>
  <si>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</si>
  <si>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</si>
  <si>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</si>
  <si>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</si>
  <si>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</si>
  <si>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</si>
  <si>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</si>
  <si>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</si>
  <si>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</si>
  <si>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</si>
  <si>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</si>
  <si>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</si>
  <si>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</si>
  <si>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</si>
  <si>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</si>
  <si>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</si>
  <si>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</si>
  <si>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</si>
  <si>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</si>
  <si>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</si>
  <si>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</si>
  <si>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</si>
  <si>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</si>
  <si>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</si>
  <si>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</si>
  <si>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</si>
  <si>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</si>
  <si>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</si>
  <si>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</si>
  <si>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</si>
  <si>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</si>
  <si>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</si>
  <si>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</si>
  <si>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</si>
  <si>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</si>
  <si>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</si>
  <si>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</si>
  <si>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</si>
  <si>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</si>
  <si>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</si>
  <si>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</si>
  <si>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</si>
  <si>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</si>
  <si>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</si>
  <si>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</si>
  <si>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</si>
  <si>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</si>
  <si>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</si>
  <si>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</si>
  <si>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</si>
  <si>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</si>
  <si>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</si>
  <si>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</si>
  <si>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</si>
  <si>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</si>
  <si>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</si>
  <si>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</si>
  <si>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</si>
  <si>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</si>
  <si>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</si>
  <si>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</si>
  <si>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</si>
  <si>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</si>
  <si>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</si>
  <si>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</si>
  <si>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</si>
  <si>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</si>
  <si>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</si>
  <si>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</si>
  <si>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</si>
  <si>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</si>
  <si>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</si>
  <si>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</si>
  <si>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</si>
  <si>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</si>
  <si>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</si>
  <si>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</si>
  <si>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</si>
  <si>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</si>
  <si>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</si>
  <si>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</si>
  <si>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</si>
  <si>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</si>
  <si>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</si>
  <si>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</si>
  <si>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</si>
  <si>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</si>
  <si>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</si>
  <si>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</si>
  <si>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</si>
  <si>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</si>
  <si>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</si>
  <si>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</si>
  <si>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</si>
  <si>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</si>
  <si>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</si>
  <si>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</si>
  <si>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</si>
  <si>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</si>
  <si>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</si>
  <si>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</si>
  <si>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</si>
  <si>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</si>
  <si>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</si>
  <si>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</si>
  <si>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</si>
  <si>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</si>
  <si>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</si>
  <si>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</si>
  <si>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</si>
  <si>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</si>
  <si>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</si>
  <si>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</si>
  <si>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</si>
  <si>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</si>
  <si>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</si>
  <si>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</si>
  <si>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</si>
  <si>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</si>
  <si>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</si>
  <si>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</si>
  <si>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</si>
  <si>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</si>
  <si>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</si>
  <si>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</si>
  <si>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</si>
  <si>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</si>
  <si>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</si>
  <si>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</si>
  <si>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</si>
  <si>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</si>
  <si>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</si>
  <si>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</si>
  <si>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</si>
  <si>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</si>
  <si>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</si>
  <si>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</si>
  <si>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</si>
  <si>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</si>
  <si>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</si>
  <si>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</si>
  <si>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</si>
  <si>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</si>
  <si>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</si>
  <si>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</si>
  <si>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</si>
  <si>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</si>
  <si>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</si>
  <si>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</si>
  <si>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</si>
  <si>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Autres engrais azotés</t>
  </si>
  <si>
    <t>générique</t>
  </si>
  <si>
    <t>Diammonium phosphate</t>
  </si>
  <si>
    <t>Générique</t>
  </si>
  <si>
    <t>engrais NPK-2</t>
  </si>
  <si>
    <t>Bactériosol concentré</t>
  </si>
  <si>
    <t>Bactériolit concentré</t>
  </si>
  <si>
    <t>Quaterna Plant</t>
  </si>
  <si>
    <t>Blé tendre</t>
  </si>
  <si>
    <t>Orge d'hiver et escourgeon</t>
  </si>
  <si>
    <t/>
  </si>
  <si>
    <t>Colza grain d'hiver</t>
  </si>
  <si>
    <t>Pommes de terre de consommation</t>
  </si>
  <si>
    <t>Betterave sucrière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</si>
</sst>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</cellStyleXfs>
  <cellXfs count="56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0" xfId="0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justify" vertical="center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0" fillId="15" borderId="19" xfId="0" applyFill="1" applyBorder="1" applyAlignment="1" applyProtection="1">
      <alignment horizontal="left"/>
      <protection locked="0"/>
    </xf>
    <xf numFmtId="0" fontId="0" fillId="15" borderId="1" xfId="0" applyFill="1" applyBorder="1" applyAlignment="1" applyProtection="1">
      <alignment horizontal="left"/>
      <protection locked="0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19" xfId="0" applyFill="1" applyBorder="1" applyAlignment="1" applyProtection="1">
      <alignment horizontal="right"/>
      <protection locked="0"/>
    </xf>
    <xf numFmtId="0" fontId="0" fillId="15" borderId="17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5" borderId="18" xfId="0" applyFill="1" applyBorder="1" applyAlignment="1" applyProtection="1">
      <alignment horizontal="left"/>
      <protection locked="0"/>
    </xf>
    <xf numFmtId="9" fontId="0" fillId="15" borderId="1" xfId="1" applyFont="1" applyFill="1" applyBorder="1" applyAlignment="1" applyProtection="1">
      <alignment horizontal="center"/>
      <protection locked="0"/>
    </xf>
    <xf numFmtId="9" fontId="0" fillId="15" borderId="1" xfId="1" applyFont="1" applyFill="1" applyBorder="1" applyProtection="1">
      <protection locked="0"/>
    </xf>
    <xf numFmtId="9" fontId="0" fillId="15" borderId="1" xfId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2" xfId="0" applyFill="1" applyBorder="1" applyAlignment="1" applyProtection="1">
      <alignment horizontal="center" vertical="center"/>
      <protection locked="0"/>
    </xf>
    <xf numFmtId="0" fontId="0" fillId="15" borderId="19" xfId="0" applyFill="1" applyBorder="1" applyProtection="1">
      <protection locked="0"/>
    </xf>
    <xf numFmtId="0" fontId="0" fillId="15" borderId="1" xfId="0" applyFill="1" applyBorder="1" applyProtection="1">
      <protection locked="0"/>
    </xf>
    <xf numFmtId="0" fontId="0" fillId="15" borderId="20" xfId="0" applyFill="1" applyBorder="1" applyProtection="1">
      <protection locked="0"/>
    </xf>
    <xf numFmtId="0" fontId="0" fillId="15" borderId="19" xfId="0" applyFill="1" applyBorder="1" applyAlignment="1" applyProtection="1">
      <alignment horizontal="right" vertical="center"/>
      <protection locked="0"/>
    </xf>
    <xf numFmtId="0" fontId="0" fillId="15" borderId="20" xfId="0" applyFill="1" applyBorder="1" applyAlignment="1" applyProtection="1">
      <alignment horizontal="right"/>
      <protection locked="0"/>
    </xf>
    <xf numFmtId="0" fontId="0" fillId="15" borderId="17" xfId="0" applyFill="1" applyBorder="1" applyProtection="1">
      <protection locked="0"/>
    </xf>
    <xf numFmtId="0" fontId="0" fillId="15" borderId="21" xfId="0" applyFill="1" applyBorder="1" applyProtection="1">
      <protection locked="0"/>
    </xf>
    <xf numFmtId="0" fontId="0" fillId="15" borderId="17" xfId="0" applyFill="1" applyBorder="1" applyAlignment="1" applyProtection="1">
      <alignment horizontal="right"/>
      <protection locked="0"/>
    </xf>
    <xf numFmtId="0" fontId="0" fillId="15" borderId="21" xfId="0" applyFill="1" applyBorder="1" applyAlignment="1" applyProtection="1">
      <alignment horizontal="right"/>
      <protection locked="0"/>
    </xf>
    <xf numFmtId="0" fontId="0" fillId="15" borderId="2" xfId="0" applyFill="1" applyBorder="1" applyAlignment="1" applyProtection="1">
      <alignment horizontal="right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2" fontId="0" fillId="15" borderId="19" xfId="0" applyNumberFormat="1" applyFill="1" applyBorder="1" applyAlignment="1" applyProtection="1">
      <alignment horizontal="left"/>
      <protection locked="0"/>
    </xf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165" fontId="8" fillId="17" borderId="37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69" fontId="0" fillId="15" borderId="1" xfId="1" applyNumberFormat="1" applyFont="1" applyFill="1" applyBorder="1" applyAlignment="1" applyProtection="1">
      <alignment horizontal="center"/>
      <protection locked="0"/>
    </xf>
    <xf numFmtId="169" fontId="0" fillId="15" borderId="1" xfId="1" applyNumberFormat="1" applyFont="1" applyFill="1" applyBorder="1" applyProtection="1"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43" fontId="0" fillId="15" borderId="1" xfId="3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15" borderId="44" xfId="0" applyFill="1" applyBorder="1" applyAlignment="1" applyProtection="1">
      <alignment horizontal="center" vertical="center"/>
      <protection locked="0"/>
    </xf>
    <xf numFmtId="0" fontId="0" fillId="15" borderId="44" xfId="0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18" xfId="0" applyFill="1" applyBorder="1" applyProtection="1">
      <protection locked="0"/>
    </xf>
    <xf numFmtId="0" fontId="0" fillId="15" borderId="18" xfId="0" applyFill="1" applyBorder="1" applyAlignment="1" applyProtection="1">
      <alignment horizontal="right"/>
      <protection locked="0"/>
    </xf>
    <xf numFmtId="2" fontId="0" fillId="15" borderId="1" xfId="0" applyNumberForma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2" fontId="0" fillId="15" borderId="17" xfId="0" applyNumberFormat="1" applyFill="1" applyBorder="1" applyAlignment="1" applyProtection="1">
      <alignment horizontal="left"/>
      <protection locked="0"/>
    </xf>
    <xf numFmtId="2" fontId="0" fillId="15" borderId="21" xfId="0" applyNumberFormat="1" applyFill="1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/>
      <protection locked="0"/>
    </xf>
    <xf numFmtId="9" fontId="0" fillId="18" borderId="21" xfId="0" applyNumberFormat="1" applyFill="1" applyBorder="1" applyAlignment="1">
      <alignment horizontal="center"/>
    </xf>
    <xf numFmtId="9" fontId="0" fillId="15" borderId="21" xfId="1" applyFont="1" applyFill="1" applyBorder="1" applyProtection="1">
      <protection locked="0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0" fontId="0" fillId="15" borderId="1" xfId="0" applyFill="1" applyBorder="1" applyAlignment="1" applyProtection="1">
      <alignment horizontal="left" wrapText="1"/>
      <protection locked="0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>
      <alignment horizontal="center"/>
    </xf>
    <xf numFmtId="169" fontId="0" fillId="15" borderId="21" xfId="1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2" fillId="17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Border="1" applyAlignment="1">
      <alignment horizontal="center" vertical="center" shrinkToFit="1"/>
    </xf>
    <xf numFmtId="0" fontId="8" fillId="17" borderId="1" xfId="3" applyNumberFormat="1" applyFont="1" applyFill="1" applyBorder="1" applyAlignment="1">
      <alignment horizontal="center" vertical="center"/>
    </xf>
    <xf numFmtId="0" fontId="8" fillId="12" borderId="37" xfId="3" applyNumberFormat="1" applyFont="1" applyFill="1" applyBorder="1" applyAlignment="1">
      <alignment horizontal="center" vertical="center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2" fontId="0" fillId="0" borderId="64" xfId="0" applyNumberFormat="1" applyBorder="1" applyAlignment="1">
      <alignment horizontal="center" vertical="center"/>
    </xf>
    <xf numFmtId="1" fontId="0" fillId="15" borderId="1" xfId="0" applyNumberFormat="1" applyFill="1" applyBorder="1" applyAlignment="1" applyProtection="1">
      <alignment horizontal="left"/>
      <protection locked="0"/>
    </xf>
    <xf numFmtId="1" fontId="0" fillId="15" borderId="21" xfId="0" applyNumberFormat="1" applyFill="1" applyBorder="1" applyAlignment="1" applyProtection="1">
      <alignment horizontal="left"/>
      <protection locked="0"/>
    </xf>
    <xf numFmtId="43" fontId="20" fillId="12" borderId="37" xfId="3" applyFont="1" applyFill="1" applyBorder="1" applyAlignment="1">
      <alignment horizontal="center" vertical="center"/>
    </xf>
    <xf numFmtId="2" fontId="0" fillId="15" borderId="10" xfId="0" applyNumberFormat="1" applyFill="1" applyBorder="1" applyAlignment="1" applyProtection="1">
      <alignment horizontal="center" vertical="center"/>
      <protection locked="0"/>
    </xf>
    <xf numFmtId="164" fontId="0" fillId="15" borderId="19" xfId="0" applyNumberFormat="1" applyFill="1" applyBorder="1" applyProtection="1">
      <protection locked="0"/>
    </xf>
    <xf numFmtId="164" fontId="0" fillId="15" borderId="1" xfId="0" applyNumberFormat="1" applyFill="1" applyBorder="1" applyProtection="1">
      <protection locked="0"/>
    </xf>
    <xf numFmtId="164" fontId="0" fillId="15" borderId="20" xfId="0" applyNumberFormat="1" applyFill="1" applyBorder="1" applyProtection="1">
      <protection locked="0"/>
    </xf>
    <xf numFmtId="164" fontId="0" fillId="15" borderId="19" xfId="0" applyNumberFormat="1" applyFill="1" applyBorder="1" applyAlignment="1" applyProtection="1">
      <alignment horizontal="right" vertical="center"/>
      <protection locked="0"/>
    </xf>
    <xf numFmtId="164" fontId="0" fillId="15" borderId="1" xfId="0" applyNumberFormat="1" applyFill="1" applyBorder="1" applyAlignment="1" applyProtection="1">
      <alignment horizontal="right"/>
      <protection locked="0"/>
    </xf>
    <xf numFmtId="164" fontId="0" fillId="15" borderId="19" xfId="0" applyNumberFormat="1" applyFill="1" applyBorder="1" applyAlignment="1" applyProtection="1">
      <alignment horizontal="right"/>
      <protection locked="0"/>
    </xf>
    <xf numFmtId="164" fontId="0" fillId="15" borderId="20" xfId="0" applyNumberFormat="1" applyFill="1" applyBorder="1" applyAlignment="1" applyProtection="1">
      <alignment horizontal="right"/>
      <protection locked="0"/>
    </xf>
    <xf numFmtId="167" fontId="0" fillId="0" borderId="0" xfId="0" applyNumberFormat="1"/>
    <xf numFmtId="165" fontId="0" fillId="15" borderId="9" xfId="0" applyNumberFormat="1" applyFill="1" applyBorder="1" applyAlignment="1" applyProtection="1">
      <alignment horizontal="center" vertical="center"/>
      <protection locked="0"/>
    </xf>
    <xf numFmtId="165" fontId="0" fillId="15" borderId="8" xfId="0" applyNumberFormat="1" applyFill="1" applyBorder="1" applyAlignment="1" applyProtection="1">
      <alignment horizontal="center" vertical="center"/>
      <protection locked="0"/>
    </xf>
    <xf numFmtId="165" fontId="0" fillId="15" borderId="62" xfId="0" applyNumberFormat="1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10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8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13" borderId="59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15" borderId="1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5" borderId="19" xfId="0" applyFill="1" applyBorder="1" applyAlignment="1">
      <alignment horizontal="center" vertical="center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0" fontId="0" fillId="4" borderId="20" xfId="0" applyFill="1" applyBorder="1" applyAlignment="1">
      <alignment horizontal="center" vertical="center"/>
    </xf>
    <xf numFmtId="165" fontId="0" fillId="15" borderId="60" xfId="0" applyNumberFormat="1" applyFill="1" applyBorder="1" applyAlignment="1" applyProtection="1">
      <alignment horizontal="center" vertical="center"/>
      <protection locked="0"/>
    </xf>
    <xf numFmtId="165" fontId="0" fillId="15" borderId="61" xfId="0" applyNumberFormat="1" applyFill="1" applyBorder="1" applyAlignment="1" applyProtection="1">
      <alignment horizontal="center" vertical="center"/>
      <protection locked="0"/>
    </xf>
    <xf numFmtId="165" fontId="0" fillId="15" borderId="63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 wrapText="1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68" xfId="0" applyBorder="1" applyAlignment="1">
      <alignment horizontal="center" vertical="center" shrinkToFi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27" xfId="0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wrapText="1"/>
    </xf>
    <xf numFmtId="0" fontId="11" fillId="0" borderId="38" xfId="0" applyFont="1" applyBorder="1" applyAlignment="1">
      <alignment horizontal="center" wrapText="1"/>
    </xf>
    <xf numFmtId="0" fontId="11" fillId="0" borderId="39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</cellXfs>
  <cellStyles count="6">
    <cellStyle name="Lien hypertexte" xfId="2" builtinId="8"/>
    <cellStyle name="Milliers" xfId="3" builtinId="3"/>
    <cellStyle name="Milliers 2" xfId="4" xr:uid="{1AED9E58-E797-4777-A698-CC3B87757057}"/>
    <cellStyle name="Normal" xfId="0" builtinId="0"/>
    <cellStyle name="Normal 2" xfId="5" xr:uid="{D25A8221-D244-422C-92C7-70C6E0BE09C9}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33CC33"/>
      <color rgb="FFFF5050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B4:U23"/>
  <sheetViews>
    <sheetView showGridLines="0" zoomScaleNormal="100" workbookViewId="0">
      <selection activeCell="E32" sqref="E32"/>
    </sheetView>
  </sheetViews>
  <sheetFormatPr baseColWidth="10" defaultColWidth="11.54296875" defaultRowHeight="14.5" x14ac:dyDescent="0.35"/>
  <cols>
    <col min="1" max="5" width="11.54296875" style="295"/>
    <col min="6" max="6" width="11.453125" style="295" customWidth="1"/>
    <col min="7" max="8" width="11.54296875" style="295"/>
    <col min="9" max="9" width="4.54296875" style="295" customWidth="1"/>
    <col min="10" max="16384" width="11.54296875" style="295"/>
  </cols>
  <sheetData>
    <row r="4" spans="10:21" ht="15" customHeight="1" x14ac:dyDescent="0.35">
      <c r="J4" s="295" t="s">
        <v>269</v>
      </c>
    </row>
    <row r="5" spans="10:21" x14ac:dyDescent="0.35">
      <c r="J5" s="295" t="s">
        <v>268</v>
      </c>
    </row>
    <row r="7" spans="10:21" ht="15" customHeight="1" x14ac:dyDescent="0.35">
      <c r="J7" s="295" t="s">
        <v>270</v>
      </c>
    </row>
    <row r="8" spans="10:21" x14ac:dyDescent="0.35">
      <c r="J8" s="295" t="s">
        <v>262</v>
      </c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</row>
    <row r="9" spans="10:21" x14ac:dyDescent="0.35">
      <c r="K9" s="295" t="s">
        <v>263</v>
      </c>
    </row>
    <row r="10" spans="10:21" x14ac:dyDescent="0.35">
      <c r="K10" s="295" t="s">
        <v>264</v>
      </c>
    </row>
    <row r="11" spans="10:21" x14ac:dyDescent="0.35">
      <c r="K11" s="295" t="s">
        <v>265</v>
      </c>
    </row>
    <row r="12" spans="10:21" x14ac:dyDescent="0.35">
      <c r="K12" s="295" t="s">
        <v>266</v>
      </c>
    </row>
    <row r="13" spans="10:21" x14ac:dyDescent="0.35">
      <c r="J13" s="295" t="s">
        <v>267</v>
      </c>
    </row>
    <row r="16" spans="10:21" x14ac:dyDescent="0.35">
      <c r="J16" s="296"/>
      <c r="K16" s="295" t="s">
        <v>0</v>
      </c>
    </row>
    <row r="17" spans="2:11" x14ac:dyDescent="0.35">
      <c r="K17" s="297" t="s">
        <v>1</v>
      </c>
    </row>
    <row r="19" spans="2:11" x14ac:dyDescent="0.35">
      <c r="J19" s="298"/>
      <c r="K19" s="295" t="s">
        <v>2</v>
      </c>
    </row>
    <row r="21" spans="2:11" x14ac:dyDescent="0.35">
      <c r="J21" s="299"/>
      <c r="K21" s="295" t="s">
        <v>3</v>
      </c>
    </row>
    <row r="22" spans="2:11" x14ac:dyDescent="0.35">
      <c r="B22" s="295" t="s">
        <v>271</v>
      </c>
    </row>
    <row r="23" spans="2:11" x14ac:dyDescent="0.35">
      <c r="K23" s="295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B1:S36"/>
  <sheetViews>
    <sheetView tabSelected="1" zoomScaleNormal="100" workbookViewId="0">
      <selection activeCell="J4" sqref="J4"/>
    </sheetView>
  </sheetViews>
  <sheetFormatPr baseColWidth="10" defaultColWidth="11.54296875" defaultRowHeight="14.5" x14ac:dyDescent="0.35"/>
  <cols>
    <col min="1" max="2" width="11.54296875" style="98"/>
    <col min="3" max="3" width="23.7265625" style="98" customWidth="1"/>
    <col min="4" max="4" width="16.26953125" style="98" customWidth="1"/>
    <col min="5" max="5" width="17.26953125" style="98" customWidth="1"/>
    <col min="6" max="6" width="15.1796875" style="98" customWidth="1"/>
    <col min="7" max="7" width="12.54296875" style="98" bestFit="1" customWidth="1"/>
    <col min="8" max="8" width="11.54296875" style="98" customWidth="1"/>
    <col min="9" max="9" width="16.453125" style="98" customWidth="1"/>
    <col min="10" max="10" width="11.54296875" style="98"/>
    <col min="11" max="11" width="12.54296875" style="98" bestFit="1" customWidth="1"/>
    <col min="12" max="12" width="13.7265625" style="98" bestFit="1" customWidth="1"/>
    <col min="13" max="13" width="16.7265625" style="98" customWidth="1"/>
    <col min="14" max="14" width="15.1796875" style="98" customWidth="1"/>
    <col min="15" max="15" width="14.7265625" style="98" bestFit="1" customWidth="1"/>
    <col min="16" max="19" width="11.54296875" style="98"/>
    <col min="20" max="20" width="19.81640625" style="98" customWidth="1"/>
    <col min="21" max="16384" width="11.54296875" style="98"/>
  </cols>
  <sheetData>
    <row r="1" spans="2:14" x14ac:dyDescent="0.35">
      <c r="K1" s="164"/>
    </row>
    <row r="2" spans="2:14" ht="15" thickBot="1" x14ac:dyDescent="0.4">
      <c r="B2" s="105" t="s">
        <v>5</v>
      </c>
      <c r="K2" s="164"/>
    </row>
    <row r="3" spans="2:14" ht="15" thickBot="1" x14ac:dyDescent="0.4">
      <c r="B3" s="98" t="s">
        <v>6</v>
      </c>
      <c r="D3" s="288">
        <f>'GES AVANT NOTIFICATION'!AX45</f>
        <v>1467.7861019879999</v>
      </c>
      <c r="E3" s="98" t="s">
        <v>254</v>
      </c>
      <c r="G3" s="282">
        <f>IFERROR(D3/SUM('SUIVI RABAIS PRODUCTION ET C '!D9:H9),"-")</f>
        <v>2.4165065887191308</v>
      </c>
      <c r="H3" s="98" t="s">
        <v>255</v>
      </c>
      <c r="K3" s="164"/>
    </row>
    <row r="4" spans="2:14" ht="15" thickBot="1" x14ac:dyDescent="0.4">
      <c r="B4" s="98" t="s">
        <v>250</v>
      </c>
      <c r="D4" s="288" cm="1">
        <f t="array" ref="D4">IFERROR(SUM(AVERAGE('GES AVANT NOTIFICATION'!AP31:AP35+'GES AVANT NOTIFICATION'!AV41:AV45)/1000*'SUIVI RABAIS PRODUCTION ET C '!O9:S9),"-")</f>
        <v>1536.9475907481799</v>
      </c>
      <c r="E4" s="98" t="s">
        <v>254</v>
      </c>
      <c r="G4" s="282">
        <f>IFERROR(D4/SUM('SUIVI RABAIS PRODUCTION ET C '!O9:S9),"-")</f>
        <v>2.4108981815657722</v>
      </c>
      <c r="H4" s="98" t="s">
        <v>255</v>
      </c>
      <c r="I4" s="164"/>
      <c r="K4" s="164"/>
    </row>
    <row r="5" spans="2:14" ht="15" thickBot="1" x14ac:dyDescent="0.4">
      <c r="B5" s="98" t="s">
        <v>7</v>
      </c>
      <c r="D5" s="288">
        <f>'GES APRES NOTIFICATION '!AX45</f>
        <v>1000.46516503</v>
      </c>
      <c r="E5" s="98" t="s">
        <v>254</v>
      </c>
      <c r="G5" s="282">
        <f>IFERROR(D5/SUM('SUIVI RABAIS PRODUCTION ET C '!O9:S9),"-")</f>
        <v>1.5693571216156863</v>
      </c>
      <c r="H5" s="98" t="s">
        <v>255</v>
      </c>
      <c r="I5" s="164"/>
      <c r="K5" s="164"/>
    </row>
    <row r="6" spans="2:14" x14ac:dyDescent="0.35">
      <c r="K6" s="164"/>
    </row>
    <row r="7" spans="2:14" ht="15.75" customHeight="1" thickBot="1" x14ac:dyDescent="0.4">
      <c r="B7" s="285" t="s">
        <v>251</v>
      </c>
      <c r="C7" s="284"/>
      <c r="D7" s="284"/>
      <c r="E7" s="284"/>
      <c r="F7" s="284"/>
      <c r="K7" s="164"/>
    </row>
    <row r="8" spans="2:14" ht="15" thickBot="1" x14ac:dyDescent="0.4">
      <c r="B8" s="284"/>
      <c r="C8" s="98" t="s">
        <v>252</v>
      </c>
      <c r="D8" s="284"/>
      <c r="E8" s="284"/>
      <c r="F8" s="284"/>
      <c r="G8" s="281">
        <f>IFERROR(D4-D5,"-")</f>
        <v>536.48242571817991</v>
      </c>
      <c r="H8" s="98" t="s">
        <v>256</v>
      </c>
      <c r="K8" s="164"/>
    </row>
    <row r="9" spans="2:14" ht="15" thickBot="1" x14ac:dyDescent="0.4">
      <c r="B9" s="283"/>
      <c r="C9" s="98" t="s">
        <v>253</v>
      </c>
      <c r="D9" s="283"/>
      <c r="E9" s="283"/>
      <c r="F9" s="283"/>
      <c r="G9" s="286">
        <f>IFERROR((D4-D5)/D4,"-")</f>
        <v>0.34905707191812729</v>
      </c>
      <c r="K9" s="164"/>
    </row>
    <row r="10" spans="2:14" x14ac:dyDescent="0.35">
      <c r="B10" s="185"/>
      <c r="C10" s="185"/>
      <c r="D10" s="185"/>
      <c r="E10" s="185"/>
      <c r="F10" s="185"/>
    </row>
    <row r="11" spans="2:14" ht="15" thickBot="1" x14ac:dyDescent="0.4">
      <c r="E11" s="107" t="s">
        <v>259</v>
      </c>
      <c r="F11" s="106"/>
    </row>
    <row r="12" spans="2:14" ht="15" thickBot="1" x14ac:dyDescent="0.4">
      <c r="B12" s="98" t="s">
        <v>257</v>
      </c>
      <c r="E12" s="108" t="str">
        <f>IF(G12="-","-",IF(G12&gt;=0.3,"O","N"))</f>
        <v>O</v>
      </c>
      <c r="G12" s="193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0.40498454425385488</v>
      </c>
    </row>
    <row r="13" spans="2:14" ht="15" thickBot="1" x14ac:dyDescent="0.4">
      <c r="B13" s="98" t="s">
        <v>258</v>
      </c>
      <c r="E13" s="108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 x14ac:dyDescent="0.4">
      <c r="B14" s="98" t="s">
        <v>261</v>
      </c>
      <c r="E14" s="108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63"/>
    </row>
    <row r="15" spans="2:14" x14ac:dyDescent="0.35">
      <c r="B15" s="105"/>
    </row>
    <row r="16" spans="2:14" x14ac:dyDescent="0.35">
      <c r="B16" s="105" t="s">
        <v>8</v>
      </c>
    </row>
    <row r="18" spans="2:19" ht="15" thickBot="1" x14ac:dyDescent="0.4">
      <c r="B18" s="105"/>
      <c r="E18" s="107" t="s">
        <v>9</v>
      </c>
      <c r="F18" s="107" t="s">
        <v>10</v>
      </c>
      <c r="G18" s="98" t="s">
        <v>260</v>
      </c>
    </row>
    <row r="19" spans="2:19" ht="15" thickBot="1" x14ac:dyDescent="0.4">
      <c r="B19" s="98" t="s">
        <v>11</v>
      </c>
      <c r="E19" s="108" t="str">
        <f>IF('CO-BENEFICES '!L22="Ni rabais ni bonus","O",IF('CO-BENEFICES '!L22="le co-bénéfice préservation de la ressource en eau n'est pas effectif", "N", "O"))</f>
        <v>O</v>
      </c>
      <c r="F19" s="109" t="str">
        <f>IF('CO-BENEFICES '!L22="Ni rabais ni bonus","-",'CO-BENEFICES '!P26)</f>
        <v>-</v>
      </c>
      <c r="G19" s="193" t="str">
        <f>IF('CO-BENEFICES '!L22="Ni rabais ni bonus","-",'CO-BENEFICES '!P21*-1)</f>
        <v>-</v>
      </c>
    </row>
    <row r="20" spans="2:19" ht="15" thickBot="1" x14ac:dyDescent="0.4">
      <c r="B20" s="98" t="s">
        <v>12</v>
      </c>
      <c r="E20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108">
        <f>IF(AND('CO-BENEFICES '!M13="Ni rabais ni bonus",'CO-BENEFICES '!M16="Ni rabais ni bonus"),"-",IF(E20="N", "/", 'CO-BENEFICES '!R18+'CO-BENEFICES '!R19))</f>
        <v>2</v>
      </c>
      <c r="G20" s="193">
        <f>IF(AND('CO-BENEFICES '!M13="Ni rabais ni bonus",'CO-BENEFICES '!M16="Ni rabais ni bonus"),"-",F20/32)</f>
        <v>6.25E-2</v>
      </c>
    </row>
    <row r="21" spans="2:19" ht="15" thickBot="1" x14ac:dyDescent="0.4">
      <c r="B21" s="98" t="s">
        <v>13</v>
      </c>
      <c r="E21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110">
        <f>IF(AND('CO-BENEFICES '!M13="Ni rabais ni bonus",'CO-BENEFICES '!M16="Ni rabais ni bonus"),"-",IF(E21="N", "/", 'CO-BENEFICES '!R18+'CO-BENEFICES '!R19))</f>
        <v>2</v>
      </c>
      <c r="G21" s="193">
        <f>IF(AND('CO-BENEFICES '!M13="Ni rabais ni bonus",'CO-BENEFICES '!M16="Ni rabais ni bonus"),"-",F21/32)</f>
        <v>6.25E-2</v>
      </c>
    </row>
    <row r="23" spans="2:19" x14ac:dyDescent="0.35">
      <c r="B23" s="105" t="s">
        <v>14</v>
      </c>
    </row>
    <row r="24" spans="2:19" ht="15" thickBot="1" x14ac:dyDescent="0.4">
      <c r="B24" s="105"/>
    </row>
    <row r="25" spans="2:19" ht="15" customHeight="1" thickBot="1" x14ac:dyDescent="0.4">
      <c r="B25" s="98" t="s">
        <v>237</v>
      </c>
      <c r="E25" s="108" t="str">
        <f>'SUIVI RABAIS PRODUCTION ET C '!C75</f>
        <v>Ni rabais ni bonus</v>
      </c>
      <c r="G25" s="193">
        <f>'SUIVI RABAIS PRODUCTION ET C '!D75</f>
        <v>0</v>
      </c>
    </row>
    <row r="26" spans="2:19" x14ac:dyDescent="0.35">
      <c r="B26" s="105"/>
    </row>
    <row r="27" spans="2:19" ht="15" thickBot="1" x14ac:dyDescent="0.4">
      <c r="E27" s="107" t="s">
        <v>15</v>
      </c>
      <c r="F27" s="107"/>
      <c r="G27" s="107" t="s">
        <v>16</v>
      </c>
      <c r="M27"/>
      <c r="N27"/>
      <c r="O27" s="159"/>
      <c r="P27" s="208"/>
      <c r="Q27" s="159"/>
      <c r="R27" s="159"/>
      <c r="S27" s="159"/>
    </row>
    <row r="28" spans="2:19" ht="15" thickBot="1" x14ac:dyDescent="0.4">
      <c r="B28" s="98" t="s">
        <v>17</v>
      </c>
      <c r="E28" s="108" t="str">
        <f>IF(ISBLANK('SUIVI RABAIS PRODUCTION ET C '!M64),"-",IF('SUIVI RABAIS PRODUCTION ET C '!M64="O","Rabais","/"))</f>
        <v>/</v>
      </c>
      <c r="G28" s="193">
        <f>'SUIVI RABAIS PRODUCTION ET C '!O64</f>
        <v>0</v>
      </c>
      <c r="H28" s="184"/>
      <c r="L28" s="184"/>
      <c r="M28"/>
      <c r="N28"/>
      <c r="O28"/>
      <c r="P28" s="209"/>
      <c r="Q28"/>
      <c r="R28"/>
      <c r="S28"/>
    </row>
    <row r="29" spans="2:19" ht="15" thickBot="1" x14ac:dyDescent="0.4">
      <c r="B29" s="98" t="s">
        <v>18</v>
      </c>
      <c r="E29" s="108" t="str">
        <f>IF(ISBLANK('SUIVI RABAIS PRODUCTION ET C '!M66),"-",IF('SUIVI RABAIS PRODUCTION ET C '!M66="O","Rabais","/"))</f>
        <v>/</v>
      </c>
      <c r="G29" s="193">
        <f>'SUIVI RABAIS PRODUCTION ET C '!O66</f>
        <v>0</v>
      </c>
      <c r="H29" s="184"/>
      <c r="L29" s="184"/>
      <c r="M29"/>
      <c r="N29"/>
      <c r="O29"/>
      <c r="P29" s="209"/>
      <c r="Q29"/>
      <c r="R29"/>
      <c r="S29"/>
    </row>
    <row r="30" spans="2:19" ht="15" thickBot="1" x14ac:dyDescent="0.4">
      <c r="B30" s="98" t="s">
        <v>19</v>
      </c>
      <c r="E30" s="110" t="str">
        <f>'SUIVI RABAIS PRODUCTION ET C '!AN21</f>
        <v>Ni rabais ni bonus</v>
      </c>
      <c r="G30" s="193">
        <f>'SUIVI RABAIS PRODUCTION ET C '!AO21</f>
        <v>0</v>
      </c>
      <c r="H30" s="184"/>
      <c r="L30" s="184"/>
      <c r="M30"/>
      <c r="N30"/>
      <c r="O30"/>
      <c r="P30" s="209"/>
      <c r="Q30"/>
      <c r="R30"/>
      <c r="S30"/>
    </row>
    <row r="31" spans="2:19" ht="15" thickBot="1" x14ac:dyDescent="0.4">
      <c r="B31" s="98" t="s">
        <v>20</v>
      </c>
      <c r="E31" s="108" t="str">
        <f>'SUIVI RABAIS PRODUCTION ET C '!I54</f>
        <v>Ni rabais ni bonus</v>
      </c>
      <c r="G31" s="193">
        <f>'SUIVI RABAIS PRODUCTION ET C '!J54</f>
        <v>0</v>
      </c>
      <c r="H31" s="184"/>
      <c r="L31" s="184"/>
      <c r="M31"/>
      <c r="N31"/>
      <c r="O31"/>
      <c r="P31" s="209"/>
      <c r="Q31"/>
      <c r="R31"/>
      <c r="S31"/>
    </row>
    <row r="32" spans="2:19" x14ac:dyDescent="0.35">
      <c r="R32" s="184"/>
    </row>
    <row r="33" spans="2:18" ht="15" thickBot="1" x14ac:dyDescent="0.4">
      <c r="B33" s="105" t="s">
        <v>21</v>
      </c>
      <c r="R33" s="184"/>
    </row>
    <row r="34" spans="2:18" ht="15" thickBot="1" x14ac:dyDescent="0.4">
      <c r="B34" s="98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87">
        <f>IF(B34="Les réductions d'émissions ne sont pas encore calculées","-",IF(B34="Les réductions d'émissions ne sont pas validables","/",G8*(1+G28)*(1+G29)*(1+G30)*(1+G31)))</f>
        <v>536.48242571817991</v>
      </c>
      <c r="Q34" s="184"/>
    </row>
    <row r="35" spans="2:18" x14ac:dyDescent="0.35">
      <c r="G35" s="165"/>
      <c r="K35" s="164"/>
      <c r="L35" s="164"/>
      <c r="M35" s="163"/>
      <c r="N35" s="163"/>
      <c r="O35" s="164"/>
    </row>
    <row r="36" spans="2:18" x14ac:dyDescent="0.35">
      <c r="F36" s="16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A1:EI87"/>
  <sheetViews>
    <sheetView zoomScale="70" zoomScaleNormal="70" workbookViewId="0">
      <pane xSplit="2" topLeftCell="C1" activePane="topRight" state="frozenSplit"/>
      <selection pane="topRight" activeCell="BQ5" sqref="BQ5:BV5"/>
    </sheetView>
  </sheetViews>
  <sheetFormatPr baseColWidth="10" defaultColWidth="11.54296875" defaultRowHeight="14.5" x14ac:dyDescent="0.35"/>
  <cols>
    <col min="9" max="9" width="12.54296875" bestFit="1" customWidth="1"/>
    <col min="22" max="22" width="13" customWidth="1"/>
    <col min="24" max="24" width="13.81640625" customWidth="1"/>
    <col min="41" max="41" width="13.1796875" bestFit="1" customWidth="1"/>
    <col min="47" max="47" width="13.1796875" bestFit="1" customWidth="1"/>
    <col min="48" max="48" width="11.7265625" bestFit="1" customWidth="1"/>
    <col min="50" max="50" width="14.1796875" bestFit="1" customWidth="1"/>
  </cols>
  <sheetData>
    <row r="1" spans="1:139" ht="15" customHeight="1" x14ac:dyDescent="0.35">
      <c r="A1" s="7"/>
      <c r="B1" s="403" t="s">
        <v>22</v>
      </c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</row>
    <row r="2" spans="1:139" ht="15" customHeight="1" x14ac:dyDescent="0.35"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  <c r="AG2" s="403"/>
      <c r="AH2" s="403"/>
      <c r="AI2" s="403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T2" s="40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</row>
    <row r="3" spans="1:139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05"/>
      <c r="BQ3" s="405"/>
      <c r="BR3" s="405"/>
      <c r="BS3" s="405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405"/>
      <c r="CK3" s="405"/>
      <c r="CL3" s="405"/>
      <c r="CM3" s="405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9" ht="15" customHeight="1" x14ac:dyDescent="0.75">
      <c r="B4" s="12"/>
      <c r="C4" s="391" t="s">
        <v>24</v>
      </c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92"/>
      <c r="AF4" s="393"/>
      <c r="AG4" s="391" t="s">
        <v>25</v>
      </c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3"/>
      <c r="AV4" s="391" t="s">
        <v>26</v>
      </c>
      <c r="AW4" s="392"/>
      <c r="AX4" s="450"/>
      <c r="AY4" s="404" t="s">
        <v>26</v>
      </c>
      <c r="AZ4" s="392"/>
      <c r="BA4" s="393"/>
      <c r="BB4" s="456" t="s">
        <v>27</v>
      </c>
      <c r="BC4" s="457"/>
      <c r="BD4" s="458"/>
      <c r="BE4" s="453" t="s">
        <v>28</v>
      </c>
      <c r="BF4" s="454"/>
      <c r="BG4" s="454"/>
      <c r="BH4" s="454"/>
      <c r="BI4" s="454"/>
      <c r="BJ4" s="454"/>
      <c r="BK4" s="454"/>
      <c r="BL4" s="454"/>
      <c r="BM4" s="454"/>
      <c r="BN4" s="454"/>
      <c r="BO4" s="454"/>
      <c r="BP4" s="455"/>
      <c r="BQ4" s="459" t="s">
        <v>29</v>
      </c>
      <c r="BR4" s="420"/>
      <c r="BS4" s="420"/>
      <c r="BT4" s="420"/>
      <c r="BU4" s="420"/>
      <c r="BV4" s="420"/>
      <c r="BW4" s="420"/>
      <c r="BX4" s="420"/>
      <c r="BY4" s="420"/>
      <c r="BZ4" s="420"/>
      <c r="CA4" s="420"/>
      <c r="CB4" s="420"/>
      <c r="CC4" s="420"/>
      <c r="CD4" s="420"/>
      <c r="CE4" s="420"/>
      <c r="CF4" s="420"/>
      <c r="CG4" s="420"/>
      <c r="CH4" s="460"/>
      <c r="CI4" s="419" t="s">
        <v>29</v>
      </c>
      <c r="CJ4" s="420"/>
      <c r="CK4" s="420"/>
      <c r="CL4" s="420"/>
      <c r="CM4" s="420"/>
      <c r="CN4" s="420"/>
      <c r="CO4" s="420"/>
      <c r="CP4" s="420"/>
      <c r="CQ4" s="420"/>
      <c r="CR4" s="420"/>
      <c r="CS4" s="420"/>
      <c r="CT4" s="420"/>
      <c r="CU4" s="420"/>
      <c r="CV4" s="420"/>
      <c r="CW4" s="420"/>
      <c r="CX4" s="420"/>
      <c r="CY4" s="420"/>
      <c r="CZ4" s="420"/>
      <c r="DA4" s="420"/>
      <c r="DB4" s="420"/>
      <c r="DC4" s="420"/>
      <c r="DD4" s="420"/>
      <c r="DE4" s="420"/>
      <c r="DF4" s="420"/>
      <c r="DG4" s="420"/>
      <c r="DH4" s="420"/>
      <c r="DI4" s="420"/>
      <c r="DJ4" s="420"/>
      <c r="DK4" s="420"/>
      <c r="DL4" s="421"/>
    </row>
    <row r="5" spans="1:139" s="67" customFormat="1" ht="36.75" customHeight="1" x14ac:dyDescent="0.35">
      <c r="B5" s="68"/>
      <c r="C5" s="367" t="s">
        <v>30</v>
      </c>
      <c r="D5" s="366"/>
      <c r="E5" s="366"/>
      <c r="F5" s="366" t="s">
        <v>31</v>
      </c>
      <c r="G5" s="366"/>
      <c r="H5" s="366"/>
      <c r="I5" s="366" t="s">
        <v>32</v>
      </c>
      <c r="J5" s="366"/>
      <c r="K5" s="366"/>
      <c r="L5" s="366" t="s">
        <v>33</v>
      </c>
      <c r="M5" s="366"/>
      <c r="N5" s="366"/>
      <c r="O5" s="366" t="s">
        <v>34</v>
      </c>
      <c r="P5" s="366"/>
      <c r="Q5" s="366"/>
      <c r="R5" s="366" t="s">
        <v>272</v>
      </c>
      <c r="S5" s="366"/>
      <c r="T5" s="366"/>
      <c r="U5" s="366" t="s">
        <v>36</v>
      </c>
      <c r="V5" s="366"/>
      <c r="W5" s="366"/>
      <c r="X5" s="366" t="s">
        <v>37</v>
      </c>
      <c r="Y5" s="366"/>
      <c r="Z5" s="366"/>
      <c r="AA5" s="366" t="s">
        <v>38</v>
      </c>
      <c r="AB5" s="366"/>
      <c r="AC5" s="366"/>
      <c r="AD5" s="366" t="s">
        <v>39</v>
      </c>
      <c r="AE5" s="366"/>
      <c r="AF5" s="406"/>
      <c r="AG5" s="367" t="s">
        <v>40</v>
      </c>
      <c r="AH5" s="366"/>
      <c r="AI5" s="366"/>
      <c r="AJ5" s="394" t="s">
        <v>41</v>
      </c>
      <c r="AK5" s="395"/>
      <c r="AL5" s="396"/>
      <c r="AM5" s="366" t="s">
        <v>42</v>
      </c>
      <c r="AN5" s="366"/>
      <c r="AO5" s="366"/>
      <c r="AP5" s="366" t="s">
        <v>43</v>
      </c>
      <c r="AQ5" s="366"/>
      <c r="AR5" s="366"/>
      <c r="AS5" s="366" t="s">
        <v>274</v>
      </c>
      <c r="AT5" s="366"/>
      <c r="AU5" s="406"/>
      <c r="AV5" s="367" t="s">
        <v>44</v>
      </c>
      <c r="AW5" s="366"/>
      <c r="AX5" s="366"/>
      <c r="AY5" s="366" t="s">
        <v>276</v>
      </c>
      <c r="AZ5" s="366"/>
      <c r="BA5" s="406"/>
      <c r="BB5" s="380" t="s">
        <v>273</v>
      </c>
      <c r="BC5" s="381"/>
      <c r="BD5" s="382"/>
      <c r="BE5" s="451" t="s">
        <v>45</v>
      </c>
      <c r="BF5" s="452"/>
      <c r="BG5" s="452"/>
      <c r="BH5" s="452" t="s">
        <v>46</v>
      </c>
      <c r="BI5" s="452"/>
      <c r="BJ5" s="452"/>
      <c r="BK5" s="452" t="s">
        <v>47</v>
      </c>
      <c r="BL5" s="452"/>
      <c r="BM5" s="452"/>
      <c r="BN5" s="452" t="s">
        <v>48</v>
      </c>
      <c r="BO5" s="452"/>
      <c r="BP5" s="488"/>
      <c r="BQ5" s="485" t="s">
        <v>277</v>
      </c>
      <c r="BR5" s="449"/>
      <c r="BS5" s="449"/>
      <c r="BT5" s="449" t="s">
        <v>278</v>
      </c>
      <c r="BU5" s="449"/>
      <c r="BV5" s="449"/>
      <c r="BW5" s="449" t="s">
        <v>279</v>
      </c>
      <c r="BX5" s="449"/>
      <c r="BY5" s="449"/>
      <c r="BZ5" s="449"/>
      <c r="CA5" s="449"/>
      <c r="CB5" s="449"/>
      <c r="CC5" s="449"/>
      <c r="CD5" s="449"/>
      <c r="CE5" s="449"/>
      <c r="CF5" s="449"/>
      <c r="CG5" s="449"/>
      <c r="CH5" s="449"/>
      <c r="CI5" s="422" t="s">
        <v>50</v>
      </c>
      <c r="CJ5" s="422"/>
      <c r="CK5" s="422"/>
      <c r="CL5" s="422" t="s">
        <v>51</v>
      </c>
      <c r="CM5" s="422"/>
      <c r="CN5" s="422"/>
      <c r="CO5" s="422" t="s">
        <v>52</v>
      </c>
      <c r="CP5" s="422"/>
      <c r="CQ5" s="422"/>
      <c r="CR5" s="422" t="s">
        <v>53</v>
      </c>
      <c r="CS5" s="422"/>
      <c r="CT5" s="422"/>
      <c r="CU5" s="422" t="s">
        <v>54</v>
      </c>
      <c r="CV5" s="422"/>
      <c r="CW5" s="422"/>
      <c r="CX5" s="423" t="s">
        <v>55</v>
      </c>
      <c r="CY5" s="423"/>
      <c r="CZ5" s="423"/>
      <c r="DA5" s="422" t="s">
        <v>56</v>
      </c>
      <c r="DB5" s="422"/>
      <c r="DC5" s="422"/>
      <c r="DD5" s="422" t="s">
        <v>57</v>
      </c>
      <c r="DE5" s="422"/>
      <c r="DF5" s="422"/>
      <c r="DG5" s="423" t="s">
        <v>58</v>
      </c>
      <c r="DH5" s="423"/>
      <c r="DI5" s="423"/>
      <c r="DJ5" s="422" t="s">
        <v>59</v>
      </c>
      <c r="DK5" s="422"/>
      <c r="DL5" s="424"/>
    </row>
    <row r="6" spans="1:139" ht="33.75" customHeight="1" x14ac:dyDescent="0.35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19" t="s">
        <v>62</v>
      </c>
      <c r="CI6" s="19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  <c r="EI6" s="69"/>
    </row>
    <row r="7" spans="1:139" x14ac:dyDescent="0.35">
      <c r="B7" s="27" t="s">
        <v>66</v>
      </c>
      <c r="C7" s="111"/>
      <c r="D7" s="112"/>
      <c r="E7" s="112"/>
      <c r="F7" s="112"/>
      <c r="G7" s="112"/>
      <c r="H7" s="112"/>
      <c r="I7" s="112">
        <v>26700</v>
      </c>
      <c r="J7" s="112"/>
      <c r="K7" s="112"/>
      <c r="L7" s="112"/>
      <c r="M7" s="112"/>
      <c r="N7" s="112"/>
      <c r="O7" s="112"/>
      <c r="P7" s="112"/>
      <c r="Q7" s="112"/>
      <c r="R7" s="112">
        <v>30960</v>
      </c>
      <c r="S7" s="112"/>
      <c r="T7" s="112"/>
      <c r="U7" s="112"/>
      <c r="V7" s="112"/>
      <c r="W7" s="112"/>
      <c r="X7" s="112">
        <v>80</v>
      </c>
      <c r="Y7" s="112"/>
      <c r="Z7" s="112"/>
      <c r="AA7" s="112"/>
      <c r="AB7" s="112">
        <v>3000</v>
      </c>
      <c r="AC7" s="112"/>
      <c r="AD7" s="112"/>
      <c r="AE7" s="112"/>
      <c r="AF7" s="113"/>
      <c r="AG7" s="111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3"/>
      <c r="AV7" s="111">
        <v>25260</v>
      </c>
      <c r="AW7" s="112"/>
      <c r="AX7" s="97">
        <v>4800</v>
      </c>
      <c r="AY7" s="112"/>
      <c r="AZ7" s="112"/>
      <c r="BA7" s="113"/>
      <c r="BB7" s="111">
        <v>1741</v>
      </c>
      <c r="BC7" s="112">
        <v>182</v>
      </c>
      <c r="BD7" s="113">
        <v>15</v>
      </c>
      <c r="BE7" s="111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3"/>
      <c r="BQ7" s="111">
        <v>4200</v>
      </c>
      <c r="BR7" s="112"/>
      <c r="BS7" s="112"/>
      <c r="BT7" s="112">
        <v>500</v>
      </c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3"/>
      <c r="EI7" s="69"/>
    </row>
    <row r="8" spans="1:139" x14ac:dyDescent="0.35">
      <c r="B8" s="27" t="s">
        <v>67</v>
      </c>
      <c r="C8" s="111"/>
      <c r="D8" s="112"/>
      <c r="E8" s="112"/>
      <c r="F8" s="112"/>
      <c r="G8" s="112"/>
      <c r="H8" s="112"/>
      <c r="I8" s="112">
        <v>53920</v>
      </c>
      <c r="J8" s="112"/>
      <c r="K8" s="112">
        <v>20260</v>
      </c>
      <c r="L8" s="112"/>
      <c r="M8" s="112"/>
      <c r="N8" s="112"/>
      <c r="O8" s="112">
        <v>30</v>
      </c>
      <c r="P8" s="112"/>
      <c r="Q8" s="112"/>
      <c r="R8" s="112">
        <v>25240</v>
      </c>
      <c r="S8" s="112"/>
      <c r="T8" s="112">
        <v>40</v>
      </c>
      <c r="U8" s="112">
        <v>2400</v>
      </c>
      <c r="V8" s="112"/>
      <c r="W8" s="112"/>
      <c r="X8" s="112">
        <v>60</v>
      </c>
      <c r="Y8" s="112"/>
      <c r="Z8" s="112">
        <v>60</v>
      </c>
      <c r="AA8" s="112"/>
      <c r="AB8" s="112"/>
      <c r="AC8" s="112"/>
      <c r="AD8" s="112"/>
      <c r="AE8" s="112"/>
      <c r="AF8" s="113"/>
      <c r="AG8" s="111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3"/>
      <c r="AV8" s="111">
        <v>25280</v>
      </c>
      <c r="AW8" s="112">
        <v>4800</v>
      </c>
      <c r="AX8" s="97">
        <v>80</v>
      </c>
      <c r="AY8" s="112"/>
      <c r="AZ8" s="112"/>
      <c r="BA8" s="113"/>
      <c r="BB8" s="111">
        <v>1350</v>
      </c>
      <c r="BC8" s="112">
        <v>15</v>
      </c>
      <c r="BD8" s="113">
        <v>453</v>
      </c>
      <c r="BE8" s="111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3"/>
      <c r="BQ8" s="111">
        <v>6000</v>
      </c>
      <c r="BR8" s="112"/>
      <c r="BS8" s="112"/>
      <c r="BT8" s="112">
        <v>500</v>
      </c>
      <c r="BU8" s="112"/>
      <c r="BV8" s="112"/>
      <c r="BW8" s="112">
        <v>5000</v>
      </c>
      <c r="BX8" s="112"/>
      <c r="BY8" s="112">
        <v>5000</v>
      </c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  <c r="EI8" s="69"/>
    </row>
    <row r="9" spans="1:139" ht="15" customHeight="1" x14ac:dyDescent="0.35">
      <c r="B9" s="27" t="s">
        <v>68</v>
      </c>
      <c r="C9" s="111"/>
      <c r="D9" s="112"/>
      <c r="E9" s="112"/>
      <c r="F9" s="112"/>
      <c r="G9" s="112"/>
      <c r="H9" s="112"/>
      <c r="I9" s="112">
        <v>46320</v>
      </c>
      <c r="J9" s="112">
        <v>20260</v>
      </c>
      <c r="K9" s="112"/>
      <c r="L9" s="112"/>
      <c r="M9" s="112"/>
      <c r="N9" s="112"/>
      <c r="O9" s="112"/>
      <c r="P9" s="112"/>
      <c r="Q9" s="112"/>
      <c r="R9" s="271">
        <v>17710</v>
      </c>
      <c r="S9" s="112">
        <v>40</v>
      </c>
      <c r="T9" s="112"/>
      <c r="U9" s="112"/>
      <c r="V9" s="112"/>
      <c r="W9" s="112"/>
      <c r="X9" s="112">
        <v>20</v>
      </c>
      <c r="Y9" s="112">
        <v>60</v>
      </c>
      <c r="Z9" s="112"/>
      <c r="AA9" s="112"/>
      <c r="AB9" s="112"/>
      <c r="AC9" s="112"/>
      <c r="AD9" s="112"/>
      <c r="AE9" s="112"/>
      <c r="AF9" s="113"/>
      <c r="AG9" s="111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3"/>
      <c r="AV9" s="111">
        <v>28520</v>
      </c>
      <c r="AW9" s="112">
        <v>80</v>
      </c>
      <c r="AX9" s="97"/>
      <c r="AY9" s="112"/>
      <c r="AZ9" s="112"/>
      <c r="BA9" s="113"/>
      <c r="BB9" s="111">
        <v>910</v>
      </c>
      <c r="BC9" s="112">
        <v>453</v>
      </c>
      <c r="BD9" s="113">
        <v>597</v>
      </c>
      <c r="BE9" s="111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3"/>
      <c r="BQ9" s="111">
        <v>4800</v>
      </c>
      <c r="BR9" s="112"/>
      <c r="BS9" s="112"/>
      <c r="BT9" s="112">
        <v>500</v>
      </c>
      <c r="BU9" s="112"/>
      <c r="BV9" s="112"/>
      <c r="BW9" s="112"/>
      <c r="BX9" s="112">
        <v>5000</v>
      </c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  <c r="EI9" s="69"/>
    </row>
    <row r="10" spans="1:139" x14ac:dyDescent="0.35">
      <c r="B10" s="27" t="s">
        <v>69</v>
      </c>
      <c r="C10" s="111"/>
      <c r="D10" s="112"/>
      <c r="E10" s="112"/>
      <c r="F10" s="112"/>
      <c r="G10" s="112"/>
      <c r="H10" s="112"/>
      <c r="I10" s="112">
        <v>50260</v>
      </c>
      <c r="J10" s="112"/>
      <c r="K10" s="112"/>
      <c r="L10" s="112"/>
      <c r="M10" s="112"/>
      <c r="N10" s="112"/>
      <c r="O10" s="112">
        <v>10000</v>
      </c>
      <c r="P10" s="112"/>
      <c r="Q10" s="112"/>
      <c r="R10" s="112">
        <v>28950</v>
      </c>
      <c r="S10" s="112"/>
      <c r="T10" s="112"/>
      <c r="U10" s="112"/>
      <c r="V10" s="112"/>
      <c r="W10" s="112"/>
      <c r="X10" s="112">
        <v>40</v>
      </c>
      <c r="Y10" s="112"/>
      <c r="Z10" s="112"/>
      <c r="AA10" s="112"/>
      <c r="AB10" s="112"/>
      <c r="AC10" s="112"/>
      <c r="AD10" s="112"/>
      <c r="AE10" s="112"/>
      <c r="AF10" s="113"/>
      <c r="AG10" s="111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3"/>
      <c r="AV10" s="111">
        <v>11580</v>
      </c>
      <c r="AW10" s="112"/>
      <c r="AX10" s="97"/>
      <c r="AY10" s="112">
        <v>60</v>
      </c>
      <c r="AZ10" s="112"/>
      <c r="BA10" s="113"/>
      <c r="BB10" s="111">
        <v>1567</v>
      </c>
      <c r="BC10" s="112">
        <v>597</v>
      </c>
      <c r="BD10" s="113">
        <v>811</v>
      </c>
      <c r="BE10" s="111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3"/>
      <c r="BQ10" s="111">
        <v>6000</v>
      </c>
      <c r="BR10" s="112"/>
      <c r="BS10" s="112"/>
      <c r="BT10" s="112">
        <v>1000</v>
      </c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  <c r="EI10" s="69"/>
    </row>
    <row r="11" spans="1:139" ht="15" customHeight="1" thickBot="1" x14ac:dyDescent="0.4">
      <c r="B11" s="27" t="s">
        <v>70</v>
      </c>
      <c r="C11" s="115"/>
      <c r="D11" s="116"/>
      <c r="E11" s="116"/>
      <c r="F11" s="116"/>
      <c r="G11" s="116"/>
      <c r="H11" s="116"/>
      <c r="I11" s="116">
        <v>25580</v>
      </c>
      <c r="J11" s="116"/>
      <c r="K11" s="116"/>
      <c r="L11" s="116"/>
      <c r="M11" s="116"/>
      <c r="N11" s="116"/>
      <c r="O11" s="116"/>
      <c r="P11" s="116"/>
      <c r="Q11" s="116"/>
      <c r="R11" s="116">
        <v>29380</v>
      </c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7"/>
      <c r="AG11" s="115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7"/>
      <c r="AV11" s="115">
        <v>5240</v>
      </c>
      <c r="AW11" s="116"/>
      <c r="AX11" s="131"/>
      <c r="AY11" s="116"/>
      <c r="AZ11" s="116"/>
      <c r="BA11" s="117"/>
      <c r="BB11" s="115">
        <v>512</v>
      </c>
      <c r="BC11" s="116"/>
      <c r="BD11" s="117"/>
      <c r="BE11" s="115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7"/>
      <c r="BQ11" s="115">
        <v>12000</v>
      </c>
      <c r="BR11" s="116"/>
      <c r="BS11" s="116"/>
      <c r="BT11" s="116">
        <v>500</v>
      </c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2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  <c r="EI11" s="69"/>
    </row>
    <row r="12" spans="1:139" x14ac:dyDescent="0.35">
      <c r="EI12" s="69"/>
    </row>
    <row r="13" spans="1:139" ht="14.5" customHeight="1" x14ac:dyDescent="0.35">
      <c r="B13" s="425" t="s">
        <v>243</v>
      </c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6"/>
      <c r="AI13" s="426"/>
      <c r="AJ13" s="426"/>
      <c r="AK13" s="426"/>
      <c r="AL13" s="426"/>
      <c r="AM13" s="426"/>
      <c r="AN13" s="426"/>
      <c r="AO13" s="426"/>
      <c r="AP13" s="426"/>
      <c r="AQ13" s="426"/>
      <c r="AR13" s="426"/>
      <c r="AS13" s="426"/>
      <c r="AT13" s="426"/>
      <c r="AU13" s="426"/>
      <c r="AV13" s="426"/>
      <c r="AW13" s="426"/>
      <c r="AX13" s="426"/>
      <c r="AY13" s="426"/>
      <c r="AZ13" s="426"/>
      <c r="BA13" s="426"/>
      <c r="BB13" s="426"/>
      <c r="BC13" s="426"/>
      <c r="BD13" s="426"/>
      <c r="BE13" s="426"/>
      <c r="BF13" s="426"/>
      <c r="BG13" s="426"/>
      <c r="BH13" s="426"/>
      <c r="BI13" s="426"/>
      <c r="BJ13" s="426"/>
      <c r="BK13" s="426"/>
      <c r="BL13" s="426"/>
      <c r="BM13" s="426"/>
      <c r="BN13" s="426"/>
      <c r="BO13" s="426"/>
      <c r="BP13" s="426"/>
      <c r="BQ13" s="426"/>
      <c r="BR13" s="426"/>
      <c r="BS13" s="426"/>
      <c r="BT13" s="426"/>
      <c r="BU13" s="426"/>
      <c r="BV13" s="426"/>
      <c r="BW13" s="426"/>
      <c r="BX13" s="426"/>
      <c r="BY13" s="426"/>
      <c r="BZ13" s="426"/>
      <c r="CA13" s="426"/>
      <c r="CB13" s="426"/>
      <c r="CC13" s="426"/>
      <c r="CD13" s="426"/>
      <c r="CE13" s="426"/>
      <c r="CF13" s="426"/>
      <c r="CG13" s="426"/>
      <c r="CH13" s="426"/>
      <c r="CI13" s="426"/>
      <c r="CJ13" s="426"/>
      <c r="CK13" s="426"/>
      <c r="CL13" s="426"/>
      <c r="CM13" s="426"/>
      <c r="CN13" s="426"/>
      <c r="CO13" s="426"/>
      <c r="CP13" s="426"/>
      <c r="CQ13" s="426"/>
      <c r="CR13" s="426"/>
      <c r="CS13" s="426"/>
      <c r="CT13" s="426"/>
      <c r="CU13" s="426"/>
      <c r="CV13" s="426"/>
      <c r="CW13" s="426"/>
      <c r="CX13" s="426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69"/>
    </row>
    <row r="14" spans="1:139" ht="15" customHeight="1" thickBot="1" x14ac:dyDescent="0.4">
      <c r="B14" s="408"/>
      <c r="C14" s="427" t="s">
        <v>71</v>
      </c>
      <c r="D14" s="428"/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8"/>
      <c r="AD14" s="428"/>
      <c r="AE14" s="428"/>
      <c r="AF14" s="428"/>
      <c r="AG14" s="428"/>
      <c r="AH14" s="428"/>
      <c r="AI14" s="428"/>
      <c r="AJ14" s="428"/>
      <c r="AK14" s="428"/>
      <c r="AL14" s="428"/>
      <c r="AM14" s="428"/>
      <c r="AN14" s="428"/>
      <c r="AO14" s="428"/>
      <c r="AP14" s="428"/>
      <c r="AQ14" s="428"/>
      <c r="AR14" s="428"/>
      <c r="AS14" s="428"/>
      <c r="AT14" s="428"/>
      <c r="AU14" s="428"/>
      <c r="AV14" s="428"/>
      <c r="AW14" s="428"/>
      <c r="AX14" s="428"/>
      <c r="AY14" s="428"/>
      <c r="AZ14" s="428"/>
      <c r="BA14" s="428"/>
      <c r="BB14" s="428"/>
      <c r="BC14" s="428"/>
      <c r="BD14" s="428"/>
      <c r="BE14" s="428"/>
      <c r="BF14" s="428"/>
      <c r="BG14" s="428"/>
      <c r="BH14" s="428"/>
      <c r="BI14" s="428"/>
      <c r="BJ14" s="428"/>
      <c r="BK14" s="428"/>
      <c r="BL14" s="428"/>
      <c r="BM14" s="428"/>
      <c r="BN14" s="428"/>
      <c r="BO14" s="428"/>
      <c r="BP14" s="428"/>
      <c r="BQ14" s="428"/>
      <c r="BR14" s="429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52" t="s">
        <v>27</v>
      </c>
      <c r="CL14" s="353"/>
      <c r="CM14" s="349" t="s">
        <v>72</v>
      </c>
      <c r="CN14" s="350"/>
      <c r="CO14" s="350"/>
      <c r="CP14" s="350"/>
      <c r="CQ14" s="350"/>
      <c r="CR14" s="350"/>
      <c r="CS14" s="350"/>
      <c r="CT14" s="350"/>
      <c r="CU14" s="350"/>
      <c r="CV14" s="350"/>
      <c r="CW14" s="350"/>
      <c r="CX14" s="350"/>
      <c r="CY14" s="350"/>
      <c r="CZ14" s="350"/>
      <c r="DA14" s="350"/>
      <c r="DB14" s="351"/>
      <c r="DC14" s="320" t="s">
        <v>29</v>
      </c>
      <c r="DD14" s="321"/>
      <c r="DE14" s="321"/>
      <c r="DF14" s="321"/>
      <c r="DG14" s="321"/>
      <c r="DH14" s="321"/>
      <c r="DI14" s="321"/>
      <c r="DJ14" s="321"/>
      <c r="DK14" s="321"/>
      <c r="DL14" s="321"/>
      <c r="DM14" s="321"/>
      <c r="DN14" s="322"/>
      <c r="DO14" s="461" t="s">
        <v>29</v>
      </c>
      <c r="DP14" s="462"/>
      <c r="DQ14" s="462"/>
      <c r="DR14" s="462"/>
      <c r="DS14" s="462"/>
      <c r="DT14" s="462"/>
      <c r="DU14" s="462"/>
      <c r="DV14" s="462"/>
      <c r="DW14" s="462"/>
      <c r="DX14" s="462"/>
      <c r="DY14" s="462"/>
      <c r="DZ14" s="462"/>
      <c r="EA14" s="462"/>
      <c r="EB14" s="462"/>
      <c r="EC14" s="462"/>
      <c r="ED14" s="462"/>
      <c r="EE14" s="462"/>
      <c r="EF14" s="462"/>
      <c r="EG14" s="462"/>
      <c r="EH14" s="463"/>
      <c r="EI14" s="69"/>
    </row>
    <row r="15" spans="1:139" ht="15" customHeight="1" x14ac:dyDescent="0.35">
      <c r="B15" s="410"/>
      <c r="C15" s="391" t="s">
        <v>24</v>
      </c>
      <c r="D15" s="392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3"/>
      <c r="AQ15" s="357" t="s">
        <v>25</v>
      </c>
      <c r="AR15" s="358"/>
      <c r="AS15" s="358"/>
      <c r="AT15" s="358"/>
      <c r="AU15" s="358"/>
      <c r="AV15" s="358"/>
      <c r="AW15" s="358"/>
      <c r="AX15" s="358"/>
      <c r="AY15" s="358"/>
      <c r="AZ15" s="358"/>
      <c r="BA15" s="358"/>
      <c r="BB15" s="358"/>
      <c r="BC15" s="358"/>
      <c r="BD15" s="358"/>
      <c r="BE15" s="358"/>
      <c r="BF15" s="358"/>
      <c r="BG15" s="358"/>
      <c r="BH15" s="358"/>
      <c r="BI15" s="358"/>
      <c r="BJ15" s="358"/>
      <c r="BK15" s="358"/>
      <c r="BL15" s="358"/>
      <c r="BM15" s="358"/>
      <c r="BN15" s="358"/>
      <c r="BO15" s="358"/>
      <c r="BP15" s="359"/>
      <c r="BQ15" s="357" t="s">
        <v>26</v>
      </c>
      <c r="BR15" s="358"/>
      <c r="BS15" s="358"/>
      <c r="BT15" s="358"/>
      <c r="BU15" s="358"/>
      <c r="BV15" s="358"/>
      <c r="BW15" s="358"/>
      <c r="BX15" s="358"/>
      <c r="BY15" s="358"/>
      <c r="BZ15" s="358"/>
      <c r="CA15" s="358"/>
      <c r="CB15" s="358"/>
      <c r="CC15" s="358"/>
      <c r="CD15" s="358"/>
      <c r="CE15" s="358"/>
      <c r="CF15" s="358"/>
      <c r="CG15" s="358"/>
      <c r="CH15" s="358"/>
      <c r="CI15" s="358"/>
      <c r="CJ15" s="359"/>
      <c r="CK15" s="434" t="s">
        <v>73</v>
      </c>
      <c r="CL15" s="435"/>
      <c r="CM15" s="440" t="s">
        <v>74</v>
      </c>
      <c r="CN15" s="441"/>
      <c r="CO15" s="441"/>
      <c r="CP15" s="442"/>
      <c r="CQ15" s="340" t="s">
        <v>75</v>
      </c>
      <c r="CR15" s="341"/>
      <c r="CS15" s="341"/>
      <c r="CT15" s="431"/>
      <c r="CU15" s="340" t="s">
        <v>76</v>
      </c>
      <c r="CV15" s="341"/>
      <c r="CW15" s="341"/>
      <c r="CX15" s="431"/>
      <c r="CY15" s="340" t="s">
        <v>77</v>
      </c>
      <c r="CZ15" s="341"/>
      <c r="DA15" s="341"/>
      <c r="DB15" s="342"/>
      <c r="DC15" s="331" t="str">
        <f>BQ5</f>
        <v>Bactériosol concentré</v>
      </c>
      <c r="DD15" s="332"/>
      <c r="DE15" s="337" t="str">
        <f>BT5</f>
        <v>Bactériolit concentré</v>
      </c>
      <c r="DF15" s="332"/>
      <c r="DG15" s="337" t="str">
        <f>BW5</f>
        <v>Quaterna Plant</v>
      </c>
      <c r="DH15" s="332"/>
      <c r="DI15" s="337">
        <f>BZ5</f>
        <v>0</v>
      </c>
      <c r="DJ15" s="332"/>
      <c r="DK15" s="337">
        <f>CC5</f>
        <v>0</v>
      </c>
      <c r="DL15" s="332"/>
      <c r="DM15" s="337">
        <f>CF5</f>
        <v>0</v>
      </c>
      <c r="DN15" s="332"/>
      <c r="DO15" s="464" t="s">
        <v>50</v>
      </c>
      <c r="DP15" s="465"/>
      <c r="DQ15" s="464" t="s">
        <v>51</v>
      </c>
      <c r="DR15" s="465"/>
      <c r="DS15" s="464" t="s">
        <v>52</v>
      </c>
      <c r="DT15" s="465"/>
      <c r="DU15" s="464" t="s">
        <v>53</v>
      </c>
      <c r="DV15" s="465"/>
      <c r="DW15" s="470" t="s">
        <v>54</v>
      </c>
      <c r="DX15" s="471"/>
      <c r="DY15" s="470" t="s">
        <v>55</v>
      </c>
      <c r="DZ15" s="471"/>
      <c r="EA15" s="464" t="s">
        <v>56</v>
      </c>
      <c r="EB15" s="465"/>
      <c r="EC15" s="464" t="s">
        <v>57</v>
      </c>
      <c r="ED15" s="465"/>
      <c r="EE15" s="476" t="s">
        <v>58</v>
      </c>
      <c r="EF15" s="477"/>
      <c r="EG15" s="464" t="s">
        <v>59</v>
      </c>
      <c r="EH15" s="482"/>
      <c r="EI15" s="69"/>
    </row>
    <row r="16" spans="1:139" x14ac:dyDescent="0.35">
      <c r="B16" s="410"/>
      <c r="C16" s="371" t="s">
        <v>78</v>
      </c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Z16" s="373"/>
      <c r="AA16" s="390" t="s">
        <v>79</v>
      </c>
      <c r="AB16" s="372"/>
      <c r="AC16" s="372"/>
      <c r="AD16" s="372"/>
      <c r="AE16" s="372"/>
      <c r="AF16" s="372"/>
      <c r="AG16" s="372"/>
      <c r="AH16" s="373"/>
      <c r="AI16" s="325" t="s">
        <v>80</v>
      </c>
      <c r="AJ16" s="326"/>
      <c r="AK16" s="326"/>
      <c r="AL16" s="326"/>
      <c r="AM16" s="326"/>
      <c r="AN16" s="326"/>
      <c r="AO16" s="326"/>
      <c r="AP16" s="407"/>
      <c r="AQ16" s="371" t="s">
        <v>81</v>
      </c>
      <c r="AR16" s="372"/>
      <c r="AS16" s="372"/>
      <c r="AT16" s="372"/>
      <c r="AU16" s="372"/>
      <c r="AV16" s="372"/>
      <c r="AW16" s="373"/>
      <c r="AX16" s="390" t="s">
        <v>82</v>
      </c>
      <c r="AY16" s="372"/>
      <c r="AZ16" s="372"/>
      <c r="BA16" s="373"/>
      <c r="BB16" s="390" t="s">
        <v>83</v>
      </c>
      <c r="BC16" s="372"/>
      <c r="BD16" s="372"/>
      <c r="BE16" s="372"/>
      <c r="BF16" s="372"/>
      <c r="BG16" s="372"/>
      <c r="BH16" s="373"/>
      <c r="BI16" s="390" t="s">
        <v>84</v>
      </c>
      <c r="BJ16" s="372"/>
      <c r="BK16" s="372"/>
      <c r="BL16" s="373"/>
      <c r="BM16" s="390" t="s">
        <v>85</v>
      </c>
      <c r="BN16" s="372"/>
      <c r="BO16" s="372"/>
      <c r="BP16" s="430"/>
      <c r="BQ16" s="371" t="s">
        <v>86</v>
      </c>
      <c r="BR16" s="372"/>
      <c r="BS16" s="372"/>
      <c r="BT16" s="372"/>
      <c r="BU16" s="372"/>
      <c r="BV16" s="372"/>
      <c r="BW16" s="372"/>
      <c r="BX16" s="372"/>
      <c r="BY16" s="372"/>
      <c r="BZ16" s="373"/>
      <c r="CA16" s="390" t="s">
        <v>87</v>
      </c>
      <c r="CB16" s="372"/>
      <c r="CC16" s="372"/>
      <c r="CD16" s="372"/>
      <c r="CE16" s="372"/>
      <c r="CF16" s="372"/>
      <c r="CG16" s="372"/>
      <c r="CH16" s="372"/>
      <c r="CI16" s="372"/>
      <c r="CJ16" s="430"/>
      <c r="CK16" s="436"/>
      <c r="CL16" s="437"/>
      <c r="CM16" s="443"/>
      <c r="CN16" s="444"/>
      <c r="CO16" s="444"/>
      <c r="CP16" s="445"/>
      <c r="CQ16" s="343"/>
      <c r="CR16" s="344"/>
      <c r="CS16" s="344"/>
      <c r="CT16" s="432"/>
      <c r="CU16" s="343"/>
      <c r="CV16" s="344"/>
      <c r="CW16" s="344"/>
      <c r="CX16" s="432"/>
      <c r="CY16" s="343"/>
      <c r="CZ16" s="344"/>
      <c r="DA16" s="344"/>
      <c r="DB16" s="345"/>
      <c r="DC16" s="333"/>
      <c r="DD16" s="334"/>
      <c r="DE16" s="338"/>
      <c r="DF16" s="334"/>
      <c r="DG16" s="338"/>
      <c r="DH16" s="334"/>
      <c r="DI16" s="338"/>
      <c r="DJ16" s="334"/>
      <c r="DK16" s="338"/>
      <c r="DL16" s="334"/>
      <c r="DM16" s="338"/>
      <c r="DN16" s="334"/>
      <c r="DO16" s="466"/>
      <c r="DP16" s="467"/>
      <c r="DQ16" s="466"/>
      <c r="DR16" s="467"/>
      <c r="DS16" s="466"/>
      <c r="DT16" s="467"/>
      <c r="DU16" s="466"/>
      <c r="DV16" s="467"/>
      <c r="DW16" s="472"/>
      <c r="DX16" s="473"/>
      <c r="DY16" s="472"/>
      <c r="DZ16" s="473"/>
      <c r="EA16" s="466"/>
      <c r="EB16" s="467"/>
      <c r="EC16" s="466"/>
      <c r="ED16" s="467"/>
      <c r="EE16" s="478"/>
      <c r="EF16" s="479"/>
      <c r="EG16" s="466"/>
      <c r="EH16" s="483"/>
    </row>
    <row r="17" spans="2:138" x14ac:dyDescent="0.35">
      <c r="B17" s="410"/>
      <c r="C17" s="371" t="s">
        <v>30</v>
      </c>
      <c r="D17" s="372"/>
      <c r="E17" s="372"/>
      <c r="F17" s="373"/>
      <c r="G17" s="390" t="s">
        <v>31</v>
      </c>
      <c r="H17" s="372"/>
      <c r="I17" s="372"/>
      <c r="J17" s="373"/>
      <c r="K17" s="390" t="s">
        <v>32</v>
      </c>
      <c r="L17" s="372"/>
      <c r="M17" s="372"/>
      <c r="N17" s="373"/>
      <c r="O17" s="390" t="s">
        <v>33</v>
      </c>
      <c r="P17" s="372"/>
      <c r="Q17" s="372"/>
      <c r="R17" s="373"/>
      <c r="S17" s="390" t="s">
        <v>34</v>
      </c>
      <c r="T17" s="372"/>
      <c r="U17" s="372"/>
      <c r="V17" s="373"/>
      <c r="W17" s="325" t="s">
        <v>272</v>
      </c>
      <c r="X17" s="326"/>
      <c r="Y17" s="326"/>
      <c r="Z17" s="327"/>
      <c r="AA17" s="390" t="s">
        <v>36</v>
      </c>
      <c r="AB17" s="372"/>
      <c r="AC17" s="372"/>
      <c r="AD17" s="373"/>
      <c r="AE17" s="325" t="s">
        <v>37</v>
      </c>
      <c r="AF17" s="326"/>
      <c r="AG17" s="326"/>
      <c r="AH17" s="327"/>
      <c r="AI17" s="325" t="s">
        <v>38</v>
      </c>
      <c r="AJ17" s="326"/>
      <c r="AK17" s="326"/>
      <c r="AL17" s="327"/>
      <c r="AM17" s="325" t="s">
        <v>39</v>
      </c>
      <c r="AN17" s="326"/>
      <c r="AO17" s="326"/>
      <c r="AP17" s="407"/>
      <c r="AQ17" s="323" t="s">
        <v>88</v>
      </c>
      <c r="AR17" s="325" t="s">
        <v>89</v>
      </c>
      <c r="AS17" s="326"/>
      <c r="AT17" s="327"/>
      <c r="AU17" s="325" t="s">
        <v>90</v>
      </c>
      <c r="AV17" s="326"/>
      <c r="AW17" s="327"/>
      <c r="AX17" s="374" t="s">
        <v>88</v>
      </c>
      <c r="AY17" s="325" t="s">
        <v>90</v>
      </c>
      <c r="AZ17" s="326"/>
      <c r="BA17" s="327"/>
      <c r="BB17" s="374" t="s">
        <v>88</v>
      </c>
      <c r="BC17" s="325" t="s">
        <v>91</v>
      </c>
      <c r="BD17" s="326"/>
      <c r="BE17" s="327"/>
      <c r="BF17" s="325" t="s">
        <v>90</v>
      </c>
      <c r="BG17" s="326"/>
      <c r="BH17" s="327"/>
      <c r="BI17" s="374" t="s">
        <v>88</v>
      </c>
      <c r="BJ17" s="325" t="s">
        <v>90</v>
      </c>
      <c r="BK17" s="326"/>
      <c r="BL17" s="327"/>
      <c r="BM17" s="374" t="s">
        <v>88</v>
      </c>
      <c r="BN17" s="325" t="s">
        <v>90</v>
      </c>
      <c r="BO17" s="326"/>
      <c r="BP17" s="407"/>
      <c r="BQ17" s="323" t="s">
        <v>88</v>
      </c>
      <c r="BR17" s="325" t="s">
        <v>91</v>
      </c>
      <c r="BS17" s="326"/>
      <c r="BT17" s="327"/>
      <c r="BU17" s="325" t="s">
        <v>89</v>
      </c>
      <c r="BV17" s="326"/>
      <c r="BW17" s="327"/>
      <c r="BX17" s="325" t="s">
        <v>90</v>
      </c>
      <c r="BY17" s="326"/>
      <c r="BZ17" s="327"/>
      <c r="CA17" s="374" t="s">
        <v>88</v>
      </c>
      <c r="CB17" s="325" t="s">
        <v>91</v>
      </c>
      <c r="CC17" s="326"/>
      <c r="CD17" s="327"/>
      <c r="CE17" s="325" t="s">
        <v>89</v>
      </c>
      <c r="CF17" s="326"/>
      <c r="CG17" s="327"/>
      <c r="CH17" s="325" t="s">
        <v>90</v>
      </c>
      <c r="CI17" s="326"/>
      <c r="CJ17" s="407"/>
      <c r="CK17" s="438"/>
      <c r="CL17" s="439"/>
      <c r="CM17" s="446"/>
      <c r="CN17" s="447"/>
      <c r="CO17" s="447"/>
      <c r="CP17" s="448"/>
      <c r="CQ17" s="346"/>
      <c r="CR17" s="347"/>
      <c r="CS17" s="347"/>
      <c r="CT17" s="433"/>
      <c r="CU17" s="346"/>
      <c r="CV17" s="347"/>
      <c r="CW17" s="347"/>
      <c r="CX17" s="433"/>
      <c r="CY17" s="346"/>
      <c r="CZ17" s="347"/>
      <c r="DA17" s="347"/>
      <c r="DB17" s="348"/>
      <c r="DC17" s="335"/>
      <c r="DD17" s="336"/>
      <c r="DE17" s="339"/>
      <c r="DF17" s="336"/>
      <c r="DG17" s="339"/>
      <c r="DH17" s="336"/>
      <c r="DI17" s="339"/>
      <c r="DJ17" s="336"/>
      <c r="DK17" s="339"/>
      <c r="DL17" s="336"/>
      <c r="DM17" s="339"/>
      <c r="DN17" s="336"/>
      <c r="DO17" s="468"/>
      <c r="DP17" s="469"/>
      <c r="DQ17" s="468"/>
      <c r="DR17" s="469"/>
      <c r="DS17" s="468"/>
      <c r="DT17" s="469"/>
      <c r="DU17" s="468"/>
      <c r="DV17" s="469"/>
      <c r="DW17" s="474"/>
      <c r="DX17" s="475"/>
      <c r="DY17" s="474"/>
      <c r="DZ17" s="475"/>
      <c r="EA17" s="468"/>
      <c r="EB17" s="469"/>
      <c r="EC17" s="468"/>
      <c r="ED17" s="469"/>
      <c r="EE17" s="480"/>
      <c r="EF17" s="481"/>
      <c r="EG17" s="468"/>
      <c r="EH17" s="484"/>
    </row>
    <row r="18" spans="2:138" x14ac:dyDescent="0.35">
      <c r="B18" s="411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324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76"/>
      <c r="AY18" s="76" t="s">
        <v>101</v>
      </c>
      <c r="AZ18" s="76" t="s">
        <v>99</v>
      </c>
      <c r="BA18" s="205" t="s">
        <v>100</v>
      </c>
      <c r="BB18" s="376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76"/>
      <c r="BJ18" s="76" t="s">
        <v>102</v>
      </c>
      <c r="BK18" s="76" t="s">
        <v>103</v>
      </c>
      <c r="BL18" s="205" t="s">
        <v>104</v>
      </c>
      <c r="BM18" s="376"/>
      <c r="BN18" s="76" t="s">
        <v>102</v>
      </c>
      <c r="BO18" s="76" t="s">
        <v>103</v>
      </c>
      <c r="BP18" s="235" t="s">
        <v>104</v>
      </c>
      <c r="BQ18" s="324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76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32" t="s">
        <v>118</v>
      </c>
      <c r="DO18" s="32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5">
      <c r="B19" s="27" t="s">
        <v>66</v>
      </c>
      <c r="C19" s="236">
        <f>C7+D7-E7</f>
        <v>0</v>
      </c>
      <c r="D19" s="10">
        <v>0.82</v>
      </c>
      <c r="E19" s="2">
        <f>C19*D19</f>
        <v>0</v>
      </c>
      <c r="F19" s="354">
        <v>2.9260000000000002</v>
      </c>
      <c r="G19" s="2">
        <f>F7+G7-H7</f>
        <v>0</v>
      </c>
      <c r="H19" s="8">
        <v>0.33500000000000002</v>
      </c>
      <c r="I19" s="2">
        <f>G19*H19</f>
        <v>0</v>
      </c>
      <c r="J19" s="354">
        <v>3.97</v>
      </c>
      <c r="K19" s="2">
        <f>I7+J7-K7</f>
        <v>26700</v>
      </c>
      <c r="L19" s="10">
        <v>0.27</v>
      </c>
      <c r="M19" s="2">
        <f>K19*L19</f>
        <v>7209.0000000000009</v>
      </c>
      <c r="N19" s="354">
        <v>4.18</v>
      </c>
      <c r="O19" s="2">
        <f>L7+M7-N7</f>
        <v>0</v>
      </c>
      <c r="P19" s="10">
        <v>0.39</v>
      </c>
      <c r="Q19" s="2">
        <f>O19*P19/(1.3)</f>
        <v>0</v>
      </c>
      <c r="R19" s="354">
        <v>4.99</v>
      </c>
      <c r="S19" s="75">
        <f>O7+P7-Q7</f>
        <v>0</v>
      </c>
      <c r="T19" s="9">
        <v>0.46</v>
      </c>
      <c r="U19" s="2">
        <f>S19*T19</f>
        <v>0</v>
      </c>
      <c r="V19" s="354">
        <v>4.54</v>
      </c>
      <c r="W19" s="75">
        <f>R7+S7-T7</f>
        <v>30960</v>
      </c>
      <c r="X19" s="198">
        <v>0.24199999999999999</v>
      </c>
      <c r="Y19" s="75">
        <f>W19*X19</f>
        <v>7492.32</v>
      </c>
      <c r="Z19" s="354">
        <v>4.99</v>
      </c>
      <c r="AA19" s="75">
        <f>U7+V7-W7</f>
        <v>0</v>
      </c>
      <c r="AB19" s="66">
        <v>0.45</v>
      </c>
      <c r="AC19" s="2">
        <f>AA19*AB19</f>
        <v>0</v>
      </c>
      <c r="AD19" s="354">
        <v>1.45</v>
      </c>
      <c r="AE19" s="75">
        <f>X7+Y7-Z7</f>
        <v>80</v>
      </c>
      <c r="AF19" s="119">
        <v>0.33</v>
      </c>
      <c r="AG19" s="2">
        <f>AE19*AF19</f>
        <v>26.400000000000002</v>
      </c>
      <c r="AH19" s="354">
        <v>1.45</v>
      </c>
      <c r="AI19" s="75">
        <f>AA7+AB7-AC7</f>
        <v>3000</v>
      </c>
      <c r="AJ19" s="11">
        <v>0.6</v>
      </c>
      <c r="AK19" s="2">
        <f>AI19*AJ19</f>
        <v>1800</v>
      </c>
      <c r="AL19" s="354">
        <v>0.71</v>
      </c>
      <c r="AM19" s="75">
        <f>AD7+AE7-AF7</f>
        <v>0</v>
      </c>
      <c r="AN19" s="119"/>
      <c r="AO19" s="2">
        <f>AM19*AN19</f>
        <v>0</v>
      </c>
      <c r="AP19" s="328">
        <v>0.71</v>
      </c>
      <c r="AQ19" s="248">
        <f>AG7+AH7-AI7</f>
        <v>0</v>
      </c>
      <c r="AR19" s="199"/>
      <c r="AS19" s="2">
        <f>AQ19*AR19</f>
        <v>0</v>
      </c>
      <c r="AT19" s="354">
        <v>1.45</v>
      </c>
      <c r="AU19" s="199"/>
      <c r="AV19" s="2">
        <f>AQ19*AU19</f>
        <v>0</v>
      </c>
      <c r="AW19" s="354">
        <v>0.71</v>
      </c>
      <c r="AX19" s="2">
        <f>AJ7+AK7-AL7</f>
        <v>0</v>
      </c>
      <c r="AY19" s="22">
        <v>0.44</v>
      </c>
      <c r="AZ19" s="2">
        <f>AX19*AY19</f>
        <v>0</v>
      </c>
      <c r="BA19" s="354">
        <v>2.74</v>
      </c>
      <c r="BB19" s="75">
        <f>AM7+AN7-AO7</f>
        <v>0</v>
      </c>
      <c r="BC19" s="120"/>
      <c r="BD19" s="2">
        <f>BB19*BC19</f>
        <v>0</v>
      </c>
      <c r="BE19" s="354">
        <v>2.74</v>
      </c>
      <c r="BF19" s="118"/>
      <c r="BG19" s="75">
        <f>BB19*BF19</f>
        <v>0</v>
      </c>
      <c r="BH19" s="354">
        <v>0.71</v>
      </c>
      <c r="BI19" s="2">
        <f>AP7+AQ7-AR7</f>
        <v>0</v>
      </c>
      <c r="BJ19" s="10">
        <v>0.54</v>
      </c>
      <c r="BK19" s="2">
        <f>BI19*BJ19</f>
        <v>0</v>
      </c>
      <c r="BL19" s="354">
        <v>1.82</v>
      </c>
      <c r="BM19" s="2">
        <f>AS7+AT7-AU7</f>
        <v>0</v>
      </c>
      <c r="BN19" s="22">
        <v>0.46</v>
      </c>
      <c r="BO19" s="2">
        <f>BM19*BN19</f>
        <v>0</v>
      </c>
      <c r="BP19" s="328">
        <v>3.02</v>
      </c>
      <c r="BQ19" s="251">
        <f>AV7+AW7-AX7</f>
        <v>20460</v>
      </c>
      <c r="BR19" s="120">
        <v>0.15</v>
      </c>
      <c r="BS19" s="2">
        <f>BQ19*BR19</f>
        <v>3069</v>
      </c>
      <c r="BT19" s="354">
        <v>3.97</v>
      </c>
      <c r="BU19" s="120">
        <v>0.05</v>
      </c>
      <c r="BV19" s="2">
        <f>BQ19*BU19</f>
        <v>1023</v>
      </c>
      <c r="BW19" s="354">
        <v>1.83</v>
      </c>
      <c r="BX19" s="120">
        <v>0.1</v>
      </c>
      <c r="BY19" s="2">
        <f>BQ19*BX19</f>
        <v>2046</v>
      </c>
      <c r="BZ19" s="354">
        <v>0.71</v>
      </c>
      <c r="CA19" s="75">
        <f>AY7+AZ7-BA7</f>
        <v>0</v>
      </c>
      <c r="CB19" s="120"/>
      <c r="CC19" s="2">
        <f>CA19*CB19</f>
        <v>0</v>
      </c>
      <c r="CD19" s="354">
        <v>3.97</v>
      </c>
      <c r="CE19" s="120"/>
      <c r="CF19" s="2">
        <f>CA19*CE19</f>
        <v>0</v>
      </c>
      <c r="CG19" s="354">
        <v>1.83</v>
      </c>
      <c r="CH19" s="120"/>
      <c r="CI19" s="2">
        <f>CA19*CH19</f>
        <v>0</v>
      </c>
      <c r="CJ19" s="328">
        <v>0.71</v>
      </c>
      <c r="CK19" s="236">
        <f>BB7+BC7-BD7</f>
        <v>1908</v>
      </c>
      <c r="CL19" s="328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54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54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54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8">
        <v>0.1</v>
      </c>
      <c r="DC19" s="248">
        <f>BQ7+BR7-BS7</f>
        <v>4200</v>
      </c>
      <c r="DD19" s="317">
        <v>0.55100000000000005</v>
      </c>
      <c r="DE19" s="75">
        <f>BT7+BU7-BV7</f>
        <v>500</v>
      </c>
      <c r="DF19" s="317">
        <v>0.67400000000000004</v>
      </c>
      <c r="DG19" s="75">
        <f>BW7+BX7-BY7</f>
        <v>0</v>
      </c>
      <c r="DH19" s="317">
        <v>0.13700000000000001</v>
      </c>
      <c r="DI19" s="75">
        <f>BZ7+CA7-CB7</f>
        <v>0</v>
      </c>
      <c r="DJ19" s="317"/>
      <c r="DK19" s="75">
        <f>CC7+CD7-CE7</f>
        <v>0</v>
      </c>
      <c r="DL19" s="317"/>
      <c r="DM19" s="2">
        <f>CF7+CG7-CH7</f>
        <v>0</v>
      </c>
      <c r="DN19" s="317"/>
      <c r="DO19" s="1">
        <f>CI7+CJ7-CK7</f>
        <v>0</v>
      </c>
      <c r="DP19" s="354">
        <v>625</v>
      </c>
      <c r="DQ19" s="1">
        <f>CL7+CM7-CN7</f>
        <v>0</v>
      </c>
      <c r="DR19" s="354">
        <v>517</v>
      </c>
      <c r="DS19" s="1">
        <f>CO7+CP7-CQ7</f>
        <v>0</v>
      </c>
      <c r="DT19" s="354">
        <v>14.6</v>
      </c>
      <c r="DU19" s="1">
        <f>CR7+CS7-CT7</f>
        <v>0</v>
      </c>
      <c r="DV19" s="354">
        <v>234</v>
      </c>
      <c r="DW19" s="1">
        <f>CU7+CV7-CW7</f>
        <v>0</v>
      </c>
      <c r="DX19" s="354">
        <v>701</v>
      </c>
      <c r="DY19" s="1">
        <f>CX7+CY7-CZ7</f>
        <v>0</v>
      </c>
      <c r="DZ19" s="354">
        <v>1190</v>
      </c>
      <c r="EA19" s="1">
        <f>DA7+DB7-DC7</f>
        <v>0</v>
      </c>
      <c r="EB19" s="354">
        <v>1486</v>
      </c>
      <c r="EC19" s="1">
        <f>DD7+DE7-DF7</f>
        <v>0</v>
      </c>
      <c r="ED19" s="354">
        <v>3084</v>
      </c>
      <c r="EE19" s="1">
        <f>DG7+DH7-DI7</f>
        <v>0</v>
      </c>
      <c r="EF19" s="354">
        <v>193</v>
      </c>
      <c r="EG19" s="1">
        <f>DJ7+DK7-DL7</f>
        <v>0</v>
      </c>
      <c r="EH19" s="328">
        <v>320</v>
      </c>
    </row>
    <row r="20" spans="2:138" x14ac:dyDescent="0.35">
      <c r="B20" s="27" t="s">
        <v>67</v>
      </c>
      <c r="C20" s="236">
        <f>C8+D8-E8</f>
        <v>0</v>
      </c>
      <c r="D20" s="10">
        <v>0.82</v>
      </c>
      <c r="E20" s="2">
        <f>C20*D20</f>
        <v>0</v>
      </c>
      <c r="F20" s="355"/>
      <c r="G20" s="2">
        <f t="shared" ref="G20:G22" si="0">F8+G8-H8</f>
        <v>0</v>
      </c>
      <c r="H20" s="8">
        <v>0.33500000000000002</v>
      </c>
      <c r="I20" s="2">
        <f>G20*H20</f>
        <v>0</v>
      </c>
      <c r="J20" s="355"/>
      <c r="K20" s="2">
        <f>I8+J8-K8</f>
        <v>33660</v>
      </c>
      <c r="L20" s="10">
        <v>0.27</v>
      </c>
      <c r="M20" s="2">
        <f>K20*L20</f>
        <v>9088.2000000000007</v>
      </c>
      <c r="N20" s="355"/>
      <c r="O20" s="2">
        <f>L8+M8-N8</f>
        <v>0</v>
      </c>
      <c r="P20" s="10">
        <v>0.39</v>
      </c>
      <c r="Q20" s="2">
        <f t="shared" ref="Q20:Q23" si="1">O20*P20/(1.3*100)*100</f>
        <v>0</v>
      </c>
      <c r="R20" s="355"/>
      <c r="S20" s="75">
        <f>O8+P8-Q8</f>
        <v>30</v>
      </c>
      <c r="T20" s="9">
        <v>0.46</v>
      </c>
      <c r="U20" s="2">
        <f>S20*T20</f>
        <v>13.8</v>
      </c>
      <c r="V20" s="355"/>
      <c r="W20" s="75">
        <f>R8+S8-T8</f>
        <v>25200</v>
      </c>
      <c r="X20" s="198">
        <v>0.24</v>
      </c>
      <c r="Y20" s="75">
        <f>W20*X20</f>
        <v>6048</v>
      </c>
      <c r="Z20" s="355"/>
      <c r="AA20" s="75">
        <f>U8+V8-W8</f>
        <v>2400</v>
      </c>
      <c r="AB20" s="66">
        <f>AB19</f>
        <v>0.45</v>
      </c>
      <c r="AC20" s="2">
        <f t="shared" ref="AC20:AC23" si="2">AA20*AB20</f>
        <v>1080</v>
      </c>
      <c r="AD20" s="355"/>
      <c r="AE20" s="75">
        <f>X8+Y8-Z8</f>
        <v>0</v>
      </c>
      <c r="AF20" s="119"/>
      <c r="AG20" s="2">
        <f t="shared" ref="AG20:AG23" si="3">AE20*AF20</f>
        <v>0</v>
      </c>
      <c r="AH20" s="355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5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29"/>
      <c r="AQ20" s="248">
        <f t="shared" ref="AQ20:AQ23" si="8">AG8+AH8-AI8</f>
        <v>0</v>
      </c>
      <c r="AR20" s="199"/>
      <c r="AS20" s="2">
        <f t="shared" ref="AS20:AS23" si="9">AQ20*AR20</f>
        <v>0</v>
      </c>
      <c r="AT20" s="355"/>
      <c r="AU20" s="199"/>
      <c r="AV20" s="2">
        <f t="shared" ref="AV20:AV23" si="10">AQ20*AU20</f>
        <v>0</v>
      </c>
      <c r="AW20" s="355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5"/>
      <c r="BB20" s="75">
        <f t="shared" ref="BB20:BB23" si="13">AM8+AN8-AO8</f>
        <v>0</v>
      </c>
      <c r="BC20" s="120"/>
      <c r="BD20" s="2">
        <f t="shared" ref="BD20:BD23" si="14">BB20*BC20</f>
        <v>0</v>
      </c>
      <c r="BE20" s="355"/>
      <c r="BF20" s="118"/>
      <c r="BG20" s="75">
        <f t="shared" ref="BG20:BG23" si="15">BB20*BF20</f>
        <v>0</v>
      </c>
      <c r="BH20" s="355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5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29"/>
      <c r="BQ20" s="251">
        <f t="shared" ref="BQ20:BQ23" si="20">AV8+AW8-AX8</f>
        <v>30000</v>
      </c>
      <c r="BR20" s="120">
        <v>0.14199999999999999</v>
      </c>
      <c r="BS20" s="2">
        <f t="shared" ref="BS20:BS23" si="21">BQ20*BR20</f>
        <v>4260</v>
      </c>
      <c r="BT20" s="355"/>
      <c r="BU20" s="120">
        <v>0.05</v>
      </c>
      <c r="BV20" s="2">
        <f t="shared" ref="BV20:BV23" si="22">BQ20*BU20</f>
        <v>1500</v>
      </c>
      <c r="BW20" s="355"/>
      <c r="BX20" s="120">
        <v>8.3000000000000004E-2</v>
      </c>
      <c r="BY20" s="2">
        <f t="shared" ref="BY20:BY23" si="23">BQ20*BX20</f>
        <v>2490</v>
      </c>
      <c r="BZ20" s="355"/>
      <c r="CA20" s="75">
        <f>AY8+AZ8-BA8</f>
        <v>0</v>
      </c>
      <c r="CB20" s="120"/>
      <c r="CC20" s="2">
        <f t="shared" ref="CC20:CC23" si="24">CA20*CB20</f>
        <v>0</v>
      </c>
      <c r="CD20" s="355"/>
      <c r="CE20" s="120"/>
      <c r="CF20" s="2">
        <f t="shared" ref="CF20:CF23" si="25">CA20*CE20</f>
        <v>0</v>
      </c>
      <c r="CG20" s="355"/>
      <c r="CH20" s="120"/>
      <c r="CI20" s="2">
        <f t="shared" ref="CI20:CI23" si="26">CA20*CH20</f>
        <v>0</v>
      </c>
      <c r="CJ20" s="329"/>
      <c r="CK20" s="236">
        <f>BB8+BC8-BD8</f>
        <v>912</v>
      </c>
      <c r="CL20" s="329"/>
      <c r="CM20" s="236">
        <f t="shared" ref="CM20:CM23" si="27">BE8+BF8-BG8</f>
        <v>0</v>
      </c>
      <c r="CN20" s="10">
        <v>0.94</v>
      </c>
      <c r="CO20" s="204">
        <f t="shared" ref="CO20:CO23" si="28">CM20*CN20</f>
        <v>0</v>
      </c>
      <c r="CP20" s="355"/>
      <c r="CQ20" s="75">
        <f>BH8+BI8-BJ8</f>
        <v>0</v>
      </c>
      <c r="CR20" s="25">
        <v>0.55000000000000004</v>
      </c>
      <c r="CS20" s="75">
        <f t="shared" ref="CS20:CS23" si="29">CQ20*CR20</f>
        <v>0</v>
      </c>
      <c r="CT20" s="355"/>
      <c r="CU20" s="75">
        <f>BK8+BL8-BM8</f>
        <v>0</v>
      </c>
      <c r="CV20" s="25">
        <v>0.55000000000000004</v>
      </c>
      <c r="CW20" s="75">
        <f t="shared" ref="CW20:CW23" si="30">CU20*CV20</f>
        <v>0</v>
      </c>
      <c r="CX20" s="355"/>
      <c r="CY20" s="75">
        <f t="shared" ref="CY20:CY23" si="31">BN8+BO8-BP8</f>
        <v>0</v>
      </c>
      <c r="CZ20" s="25">
        <v>0.35</v>
      </c>
      <c r="DA20" s="75">
        <f t="shared" ref="DA20:DA23" si="32">CY20*CZ20</f>
        <v>0</v>
      </c>
      <c r="DB20" s="329"/>
      <c r="DC20" s="248">
        <f>BQ8+BR8-BS8</f>
        <v>6000</v>
      </c>
      <c r="DD20" s="318"/>
      <c r="DE20" s="75">
        <f t="shared" ref="DE20:DE23" si="33">BT8+BU8-BV8</f>
        <v>500</v>
      </c>
      <c r="DF20" s="318"/>
      <c r="DG20" s="75">
        <f t="shared" ref="DG20:DG23" si="34">BW8+BX8-BY8</f>
        <v>0</v>
      </c>
      <c r="DH20" s="318"/>
      <c r="DI20" s="75">
        <f t="shared" ref="DI20:DI23" si="35">BZ8+CA8-CB8</f>
        <v>0</v>
      </c>
      <c r="DJ20" s="318"/>
      <c r="DK20" s="75">
        <f t="shared" ref="DK20:DK23" si="36">CC8+CD8-CE8</f>
        <v>0</v>
      </c>
      <c r="DL20" s="318"/>
      <c r="DM20" s="2">
        <f>CF8+CG8-CH8</f>
        <v>0</v>
      </c>
      <c r="DN20" s="318"/>
      <c r="DO20" s="1">
        <f>CI8+CJ8-CK8</f>
        <v>0</v>
      </c>
      <c r="DP20" s="355"/>
      <c r="DQ20" s="1">
        <f>CL8+CM8-CN8</f>
        <v>0</v>
      </c>
      <c r="DR20" s="355"/>
      <c r="DS20" s="1">
        <f>CO8+CP8-CQ8</f>
        <v>0</v>
      </c>
      <c r="DT20" s="355"/>
      <c r="DU20" s="1">
        <f>CR8+CS8-CT8</f>
        <v>0</v>
      </c>
      <c r="DV20" s="355"/>
      <c r="DW20" s="1">
        <f>CU8+CV8-CW8</f>
        <v>0</v>
      </c>
      <c r="DX20" s="355"/>
      <c r="DY20" s="1">
        <f>CX8+CY8-CZ8</f>
        <v>0</v>
      </c>
      <c r="DZ20" s="355"/>
      <c r="EA20" s="1">
        <f>DA8+DB8-DC8</f>
        <v>0</v>
      </c>
      <c r="EB20" s="355"/>
      <c r="EC20" s="1">
        <f>DD8+DE8-DF8</f>
        <v>0</v>
      </c>
      <c r="ED20" s="355"/>
      <c r="EE20" s="1">
        <f>DG8+DH8-DI8</f>
        <v>0</v>
      </c>
      <c r="EF20" s="355"/>
      <c r="EG20" s="1">
        <f>DJ8+DK8-DL8</f>
        <v>0</v>
      </c>
      <c r="EH20" s="329"/>
    </row>
    <row r="21" spans="2:138" x14ac:dyDescent="0.35">
      <c r="B21" s="27" t="s">
        <v>68</v>
      </c>
      <c r="C21" s="236">
        <f>C9+D9-E9</f>
        <v>0</v>
      </c>
      <c r="D21" s="10">
        <v>0.82</v>
      </c>
      <c r="E21" s="2">
        <f>C21*D21</f>
        <v>0</v>
      </c>
      <c r="F21" s="355"/>
      <c r="G21" s="2">
        <f t="shared" si="0"/>
        <v>0</v>
      </c>
      <c r="H21" s="8">
        <v>0.33500000000000002</v>
      </c>
      <c r="I21" s="2">
        <f>G21*H21</f>
        <v>0</v>
      </c>
      <c r="J21" s="355"/>
      <c r="K21" s="2">
        <f>I9+J9-K9</f>
        <v>66580</v>
      </c>
      <c r="L21" s="10">
        <v>0.27</v>
      </c>
      <c r="M21" s="2">
        <f>K21*L21</f>
        <v>17976.600000000002</v>
      </c>
      <c r="N21" s="355"/>
      <c r="O21" s="2">
        <f>L9+M9-N9</f>
        <v>0</v>
      </c>
      <c r="P21" s="10">
        <v>0.39</v>
      </c>
      <c r="Q21" s="2">
        <f t="shared" si="1"/>
        <v>0</v>
      </c>
      <c r="R21" s="355"/>
      <c r="S21" s="75">
        <f>O9+P9-Q9</f>
        <v>0</v>
      </c>
      <c r="T21" s="9">
        <v>0.46</v>
      </c>
      <c r="U21" s="2">
        <f>S21*T21</f>
        <v>0</v>
      </c>
      <c r="V21" s="355"/>
      <c r="W21" s="75">
        <f>R9+S9-T9</f>
        <v>17750</v>
      </c>
      <c r="X21" s="198">
        <v>0.25900000000000001</v>
      </c>
      <c r="Y21" s="75">
        <f>W21*X21</f>
        <v>4597.25</v>
      </c>
      <c r="Z21" s="355"/>
      <c r="AA21" s="75">
        <f>U9+V9-W9</f>
        <v>0</v>
      </c>
      <c r="AB21" s="66">
        <f t="shared" ref="AB21:AB23" si="37">AB20</f>
        <v>0.45</v>
      </c>
      <c r="AC21" s="2">
        <f t="shared" si="2"/>
        <v>0</v>
      </c>
      <c r="AD21" s="355"/>
      <c r="AE21" s="75">
        <f>X9+Y9-Z9</f>
        <v>80</v>
      </c>
      <c r="AF21" s="119">
        <v>0.33</v>
      </c>
      <c r="AG21" s="2">
        <f t="shared" si="3"/>
        <v>26.400000000000002</v>
      </c>
      <c r="AH21" s="355"/>
      <c r="AI21" s="75">
        <f t="shared" si="4"/>
        <v>0</v>
      </c>
      <c r="AJ21" s="11">
        <v>0.6</v>
      </c>
      <c r="AK21" s="2">
        <f t="shared" si="5"/>
        <v>0</v>
      </c>
      <c r="AL21" s="355"/>
      <c r="AM21" s="75">
        <f t="shared" si="6"/>
        <v>0</v>
      </c>
      <c r="AN21" s="119"/>
      <c r="AO21" s="2">
        <f t="shared" si="7"/>
        <v>0</v>
      </c>
      <c r="AP21" s="329"/>
      <c r="AQ21" s="248">
        <f t="shared" si="8"/>
        <v>0</v>
      </c>
      <c r="AR21" s="199"/>
      <c r="AS21" s="2">
        <f t="shared" si="9"/>
        <v>0</v>
      </c>
      <c r="AT21" s="355"/>
      <c r="AU21" s="199"/>
      <c r="AV21" s="2">
        <f t="shared" si="10"/>
        <v>0</v>
      </c>
      <c r="AW21" s="355"/>
      <c r="AX21" s="2">
        <f t="shared" si="11"/>
        <v>0</v>
      </c>
      <c r="AY21" s="22">
        <v>0.44</v>
      </c>
      <c r="AZ21" s="2">
        <f t="shared" si="12"/>
        <v>0</v>
      </c>
      <c r="BA21" s="355"/>
      <c r="BB21" s="75">
        <f t="shared" si="13"/>
        <v>0</v>
      </c>
      <c r="BC21" s="120"/>
      <c r="BD21" s="2">
        <f t="shared" si="14"/>
        <v>0</v>
      </c>
      <c r="BE21" s="355"/>
      <c r="BF21" s="118"/>
      <c r="BG21" s="75">
        <f t="shared" si="15"/>
        <v>0</v>
      </c>
      <c r="BH21" s="355"/>
      <c r="BI21" s="2">
        <f t="shared" si="16"/>
        <v>0</v>
      </c>
      <c r="BJ21" s="10">
        <v>0.54</v>
      </c>
      <c r="BK21" s="2">
        <f t="shared" si="17"/>
        <v>0</v>
      </c>
      <c r="BL21" s="355"/>
      <c r="BM21" s="2">
        <f t="shared" si="18"/>
        <v>0</v>
      </c>
      <c r="BN21" s="22">
        <v>0.46</v>
      </c>
      <c r="BO21" s="2">
        <f t="shared" si="19"/>
        <v>0</v>
      </c>
      <c r="BP21" s="329"/>
      <c r="BQ21" s="251">
        <f t="shared" si="20"/>
        <v>28600</v>
      </c>
      <c r="BR21" s="120">
        <v>0.21099999999999999</v>
      </c>
      <c r="BS21" s="2">
        <f t="shared" si="21"/>
        <v>6034.5999999999995</v>
      </c>
      <c r="BT21" s="355"/>
      <c r="BU21" s="120">
        <v>8.7999999999999995E-2</v>
      </c>
      <c r="BV21" s="2">
        <f t="shared" si="22"/>
        <v>2516.7999999999997</v>
      </c>
      <c r="BW21" s="355"/>
      <c r="BX21" s="120">
        <v>1.7000000000000001E-2</v>
      </c>
      <c r="BY21" s="2">
        <f t="shared" si="23"/>
        <v>486.20000000000005</v>
      </c>
      <c r="BZ21" s="355"/>
      <c r="CA21" s="75">
        <f>AY9+AZ9-BA9</f>
        <v>0</v>
      </c>
      <c r="CB21" s="120"/>
      <c r="CC21" s="2">
        <f t="shared" si="24"/>
        <v>0</v>
      </c>
      <c r="CD21" s="355"/>
      <c r="CE21" s="120"/>
      <c r="CF21" s="2">
        <f t="shared" si="25"/>
        <v>0</v>
      </c>
      <c r="CG21" s="355"/>
      <c r="CH21" s="120"/>
      <c r="CI21" s="2">
        <f t="shared" si="26"/>
        <v>0</v>
      </c>
      <c r="CJ21" s="329"/>
      <c r="CK21" s="236">
        <f>BB9+BC9-BD9</f>
        <v>766</v>
      </c>
      <c r="CL21" s="329"/>
      <c r="CM21" s="236">
        <f t="shared" si="27"/>
        <v>0</v>
      </c>
      <c r="CN21" s="10">
        <v>0.94</v>
      </c>
      <c r="CO21" s="204">
        <f t="shared" si="28"/>
        <v>0</v>
      </c>
      <c r="CP21" s="355"/>
      <c r="CQ21" s="75">
        <f>BH9+BI9-BJ9</f>
        <v>0</v>
      </c>
      <c r="CR21" s="25">
        <v>0.55000000000000004</v>
      </c>
      <c r="CS21" s="75">
        <f t="shared" si="29"/>
        <v>0</v>
      </c>
      <c r="CT21" s="355"/>
      <c r="CU21" s="75">
        <f>BK9+BL9-BM9</f>
        <v>0</v>
      </c>
      <c r="CV21" s="25">
        <v>0.55000000000000004</v>
      </c>
      <c r="CW21" s="75">
        <f t="shared" si="30"/>
        <v>0</v>
      </c>
      <c r="CX21" s="355"/>
      <c r="CY21" s="75">
        <f t="shared" si="31"/>
        <v>0</v>
      </c>
      <c r="CZ21" s="25">
        <v>0.35</v>
      </c>
      <c r="DA21" s="75">
        <f t="shared" si="32"/>
        <v>0</v>
      </c>
      <c r="DB21" s="329"/>
      <c r="DC21" s="248">
        <f>BQ9+BR9-BS9</f>
        <v>4800</v>
      </c>
      <c r="DD21" s="318"/>
      <c r="DE21" s="75">
        <f t="shared" si="33"/>
        <v>500</v>
      </c>
      <c r="DF21" s="318"/>
      <c r="DG21" s="75">
        <f t="shared" si="34"/>
        <v>5000</v>
      </c>
      <c r="DH21" s="318"/>
      <c r="DI21" s="75">
        <f t="shared" si="35"/>
        <v>0</v>
      </c>
      <c r="DJ21" s="318"/>
      <c r="DK21" s="75">
        <f t="shared" si="36"/>
        <v>0</v>
      </c>
      <c r="DL21" s="318"/>
      <c r="DM21" s="2">
        <f>CF9+CG9-CH9</f>
        <v>0</v>
      </c>
      <c r="DN21" s="318"/>
      <c r="DO21" s="1">
        <f>CI9+CJ9-CK9</f>
        <v>0</v>
      </c>
      <c r="DP21" s="355"/>
      <c r="DQ21" s="1">
        <f>CL9+CM9-CN9</f>
        <v>0</v>
      </c>
      <c r="DR21" s="355"/>
      <c r="DS21" s="1">
        <f>CO9+CP9-CQ9</f>
        <v>0</v>
      </c>
      <c r="DT21" s="355"/>
      <c r="DU21" s="1">
        <f>CR9+CS9-CT9</f>
        <v>0</v>
      </c>
      <c r="DV21" s="355"/>
      <c r="DW21" s="1">
        <f>CU9+CV9-CW9</f>
        <v>0</v>
      </c>
      <c r="DX21" s="355"/>
      <c r="DY21" s="1">
        <f>CX9+CY9-CZ9</f>
        <v>0</v>
      </c>
      <c r="DZ21" s="355"/>
      <c r="EA21" s="1">
        <f>DA9+DB9-DC9</f>
        <v>0</v>
      </c>
      <c r="EB21" s="355"/>
      <c r="EC21" s="1">
        <f>DD9+DE9-DF9</f>
        <v>0</v>
      </c>
      <c r="ED21" s="355"/>
      <c r="EE21" s="1">
        <f>DG9+DH9-DI9</f>
        <v>0</v>
      </c>
      <c r="EF21" s="355"/>
      <c r="EG21" s="1">
        <f>DJ9+DK9-DL9</f>
        <v>0</v>
      </c>
      <c r="EH21" s="329"/>
    </row>
    <row r="22" spans="2:138" x14ac:dyDescent="0.35">
      <c r="B22" s="27" t="s">
        <v>69</v>
      </c>
      <c r="C22" s="236">
        <f>C10+D10-E10</f>
        <v>0</v>
      </c>
      <c r="D22" s="10">
        <v>0.82</v>
      </c>
      <c r="E22" s="2">
        <f>C22*D22</f>
        <v>0</v>
      </c>
      <c r="F22" s="355"/>
      <c r="G22" s="2">
        <f t="shared" si="0"/>
        <v>0</v>
      </c>
      <c r="H22" s="8">
        <v>0.33500000000000002</v>
      </c>
      <c r="I22" s="2">
        <f>G22*H22</f>
        <v>0</v>
      </c>
      <c r="J22" s="355"/>
      <c r="K22" s="2">
        <f>I10+J10-K10</f>
        <v>50260</v>
      </c>
      <c r="L22" s="10">
        <v>0.27</v>
      </c>
      <c r="M22" s="2">
        <f>K22*L22</f>
        <v>13570.2</v>
      </c>
      <c r="N22" s="355"/>
      <c r="O22" s="2">
        <f>L10+M10-N10</f>
        <v>0</v>
      </c>
      <c r="P22" s="10">
        <v>0.39</v>
      </c>
      <c r="Q22" s="2">
        <f t="shared" si="1"/>
        <v>0</v>
      </c>
      <c r="R22" s="355"/>
      <c r="S22" s="75">
        <f>O10+P10-Q10</f>
        <v>10000</v>
      </c>
      <c r="T22" s="9">
        <v>0.46</v>
      </c>
      <c r="U22" s="2">
        <f>S22*T22</f>
        <v>4600</v>
      </c>
      <c r="V22" s="355"/>
      <c r="W22" s="75">
        <f>R10+S10-T10</f>
        <v>28950</v>
      </c>
      <c r="X22" s="198">
        <v>0.245</v>
      </c>
      <c r="Y22" s="75">
        <f>W22*X22</f>
        <v>7092.75</v>
      </c>
      <c r="Z22" s="355"/>
      <c r="AA22" s="75">
        <f>U10+V10-W10</f>
        <v>0</v>
      </c>
      <c r="AB22" s="66">
        <f t="shared" si="37"/>
        <v>0.45</v>
      </c>
      <c r="AC22" s="2">
        <f t="shared" si="2"/>
        <v>0</v>
      </c>
      <c r="AD22" s="355"/>
      <c r="AE22" s="75">
        <f>X10+Y10-Z10</f>
        <v>40</v>
      </c>
      <c r="AF22" s="119">
        <v>0.33</v>
      </c>
      <c r="AG22" s="2">
        <f t="shared" si="3"/>
        <v>13.200000000000001</v>
      </c>
      <c r="AH22" s="355"/>
      <c r="AI22" s="75">
        <f t="shared" si="4"/>
        <v>0</v>
      </c>
      <c r="AJ22" s="11">
        <v>0.6</v>
      </c>
      <c r="AK22" s="2">
        <f t="shared" si="5"/>
        <v>0</v>
      </c>
      <c r="AL22" s="355"/>
      <c r="AM22" s="75">
        <f t="shared" si="6"/>
        <v>0</v>
      </c>
      <c r="AN22" s="119"/>
      <c r="AO22" s="2">
        <f t="shared" si="7"/>
        <v>0</v>
      </c>
      <c r="AP22" s="329"/>
      <c r="AQ22" s="248">
        <f t="shared" si="8"/>
        <v>0</v>
      </c>
      <c r="AR22" s="199"/>
      <c r="AS22" s="2">
        <f t="shared" si="9"/>
        <v>0</v>
      </c>
      <c r="AT22" s="355"/>
      <c r="AU22" s="199"/>
      <c r="AV22" s="2">
        <f t="shared" si="10"/>
        <v>0</v>
      </c>
      <c r="AW22" s="355"/>
      <c r="AX22" s="2">
        <f t="shared" si="11"/>
        <v>0</v>
      </c>
      <c r="AY22" s="22">
        <v>0.44</v>
      </c>
      <c r="AZ22" s="2">
        <f t="shared" si="12"/>
        <v>0</v>
      </c>
      <c r="BA22" s="355"/>
      <c r="BB22" s="75">
        <f t="shared" si="13"/>
        <v>0</v>
      </c>
      <c r="BC22" s="120"/>
      <c r="BD22" s="2">
        <f t="shared" si="14"/>
        <v>0</v>
      </c>
      <c r="BE22" s="355"/>
      <c r="BF22" s="118"/>
      <c r="BG22" s="75">
        <f t="shared" si="15"/>
        <v>0</v>
      </c>
      <c r="BH22" s="355"/>
      <c r="BI22" s="2">
        <f t="shared" si="16"/>
        <v>0</v>
      </c>
      <c r="BJ22" s="10">
        <v>0.54</v>
      </c>
      <c r="BK22" s="2">
        <f t="shared" si="17"/>
        <v>0</v>
      </c>
      <c r="BL22" s="355"/>
      <c r="BM22" s="2">
        <f t="shared" si="18"/>
        <v>0</v>
      </c>
      <c r="BN22" s="22">
        <v>0.46</v>
      </c>
      <c r="BO22" s="2">
        <f t="shared" si="19"/>
        <v>0</v>
      </c>
      <c r="BP22" s="329"/>
      <c r="BQ22" s="251">
        <f t="shared" si="20"/>
        <v>11580</v>
      </c>
      <c r="BR22" s="120">
        <v>0.19</v>
      </c>
      <c r="BS22" s="2">
        <f t="shared" si="21"/>
        <v>2200.1999999999998</v>
      </c>
      <c r="BT22" s="355"/>
      <c r="BU22" s="120">
        <v>0.11</v>
      </c>
      <c r="BV22" s="2">
        <f t="shared" si="22"/>
        <v>1273.8</v>
      </c>
      <c r="BW22" s="355"/>
      <c r="BX22" s="120">
        <v>0.11</v>
      </c>
      <c r="BY22" s="2">
        <f t="shared" si="23"/>
        <v>1273.8</v>
      </c>
      <c r="BZ22" s="355"/>
      <c r="CA22" s="75">
        <f>AY10+AZ10-BA10</f>
        <v>60</v>
      </c>
      <c r="CB22" s="120">
        <v>0.125</v>
      </c>
      <c r="CC22" s="2">
        <f t="shared" si="24"/>
        <v>7.5</v>
      </c>
      <c r="CD22" s="355"/>
      <c r="CE22" s="120"/>
      <c r="CF22" s="2">
        <f t="shared" si="25"/>
        <v>0</v>
      </c>
      <c r="CG22" s="355"/>
      <c r="CH22" s="120"/>
      <c r="CI22" s="2">
        <f t="shared" si="26"/>
        <v>0</v>
      </c>
      <c r="CJ22" s="329"/>
      <c r="CK22" s="236">
        <f>BB10+BC10-BD10</f>
        <v>1353</v>
      </c>
      <c r="CL22" s="329"/>
      <c r="CM22" s="236">
        <f t="shared" si="27"/>
        <v>0</v>
      </c>
      <c r="CN22" s="10">
        <v>0.94</v>
      </c>
      <c r="CO22" s="204">
        <f t="shared" si="28"/>
        <v>0</v>
      </c>
      <c r="CP22" s="355"/>
      <c r="CQ22" s="75">
        <f>BH10+BI10-BJ10</f>
        <v>0</v>
      </c>
      <c r="CR22" s="25">
        <v>0.55000000000000004</v>
      </c>
      <c r="CS22" s="75">
        <f t="shared" si="29"/>
        <v>0</v>
      </c>
      <c r="CT22" s="355"/>
      <c r="CU22" s="75">
        <f>BK10+BL10-BM10</f>
        <v>0</v>
      </c>
      <c r="CV22" s="25">
        <v>0.55000000000000004</v>
      </c>
      <c r="CW22" s="75">
        <f t="shared" si="30"/>
        <v>0</v>
      </c>
      <c r="CX22" s="355"/>
      <c r="CY22" s="75">
        <f t="shared" si="31"/>
        <v>0</v>
      </c>
      <c r="CZ22" s="25">
        <v>0.35</v>
      </c>
      <c r="DA22" s="75">
        <f t="shared" si="32"/>
        <v>0</v>
      </c>
      <c r="DB22" s="329"/>
      <c r="DC22" s="248">
        <f>BQ10+BR10-BS10</f>
        <v>6000</v>
      </c>
      <c r="DD22" s="318"/>
      <c r="DE22" s="75">
        <f t="shared" si="33"/>
        <v>1000</v>
      </c>
      <c r="DF22" s="318"/>
      <c r="DG22" s="75">
        <f t="shared" si="34"/>
        <v>0</v>
      </c>
      <c r="DH22" s="318"/>
      <c r="DI22" s="75">
        <f t="shared" si="35"/>
        <v>0</v>
      </c>
      <c r="DJ22" s="318"/>
      <c r="DK22" s="75">
        <f t="shared" si="36"/>
        <v>0</v>
      </c>
      <c r="DL22" s="318"/>
      <c r="DM22" s="2">
        <f>CF10+CG10-CH10</f>
        <v>0</v>
      </c>
      <c r="DN22" s="318"/>
      <c r="DO22" s="1">
        <f>CI10+CJ10-CK10</f>
        <v>0</v>
      </c>
      <c r="DP22" s="355"/>
      <c r="DQ22" s="1">
        <f>CL10+CM10-CN10</f>
        <v>0</v>
      </c>
      <c r="DR22" s="355"/>
      <c r="DS22" s="1">
        <f>CO10+CP10-CQ10</f>
        <v>0</v>
      </c>
      <c r="DT22" s="355"/>
      <c r="DU22" s="1">
        <f>CR10+CS10-CT10</f>
        <v>0</v>
      </c>
      <c r="DV22" s="355"/>
      <c r="DW22" s="1">
        <f>CU10+CV10-CW10</f>
        <v>0</v>
      </c>
      <c r="DX22" s="355"/>
      <c r="DY22" s="1">
        <f>CX10+CY10-CZ10</f>
        <v>0</v>
      </c>
      <c r="DZ22" s="355"/>
      <c r="EA22" s="1">
        <f>DA10+DB10-DC10</f>
        <v>0</v>
      </c>
      <c r="EB22" s="355"/>
      <c r="EC22" s="1">
        <f>DD10+DE10-DF10</f>
        <v>0</v>
      </c>
      <c r="ED22" s="355"/>
      <c r="EE22" s="1">
        <f>DG10+DH10-DI10</f>
        <v>0</v>
      </c>
      <c r="EF22" s="355"/>
      <c r="EG22" s="1">
        <f>DJ10+DK10-DL10</f>
        <v>0</v>
      </c>
      <c r="EH22" s="329"/>
    </row>
    <row r="23" spans="2:138" ht="15" thickBot="1" x14ac:dyDescent="0.4">
      <c r="B23" s="27" t="s">
        <v>70</v>
      </c>
      <c r="C23" s="237">
        <f>C11+D11-E11</f>
        <v>0</v>
      </c>
      <c r="D23" s="238">
        <v>0.82</v>
      </c>
      <c r="E23" s="239">
        <f>C23*D23</f>
        <v>0</v>
      </c>
      <c r="F23" s="356"/>
      <c r="G23" s="239">
        <f>F11+G11-H11</f>
        <v>0</v>
      </c>
      <c r="H23" s="241">
        <v>0.33500000000000002</v>
      </c>
      <c r="I23" s="239">
        <f>G23*H23</f>
        <v>0</v>
      </c>
      <c r="J23" s="356"/>
      <c r="K23" s="239">
        <f>I11+J11-K11</f>
        <v>25580</v>
      </c>
      <c r="L23" s="238">
        <v>0.27</v>
      </c>
      <c r="M23" s="239">
        <f>K23*L23</f>
        <v>6906.6</v>
      </c>
      <c r="N23" s="356"/>
      <c r="O23" s="239">
        <f>L11+M11-N11</f>
        <v>0</v>
      </c>
      <c r="P23" s="238">
        <v>0.39</v>
      </c>
      <c r="Q23" s="2">
        <f t="shared" si="1"/>
        <v>0</v>
      </c>
      <c r="R23" s="356"/>
      <c r="S23" s="242">
        <f>O11+P11-Q11</f>
        <v>0</v>
      </c>
      <c r="T23" s="243">
        <v>0.46</v>
      </c>
      <c r="U23" s="239">
        <f>S23*T23</f>
        <v>0</v>
      </c>
      <c r="V23" s="356"/>
      <c r="W23" s="242">
        <f>R11+S11-T11</f>
        <v>29380</v>
      </c>
      <c r="X23" s="272">
        <v>0.25900000000000001</v>
      </c>
      <c r="Y23" s="273">
        <f>W23*X23</f>
        <v>7609.42</v>
      </c>
      <c r="Z23" s="356"/>
      <c r="AA23" s="242">
        <f>U11+V11-W11</f>
        <v>0</v>
      </c>
      <c r="AB23" s="245">
        <f t="shared" si="37"/>
        <v>0.45</v>
      </c>
      <c r="AC23" s="239">
        <f t="shared" si="2"/>
        <v>0</v>
      </c>
      <c r="AD23" s="356"/>
      <c r="AE23" s="242">
        <f>X11+Y11-Z11</f>
        <v>0</v>
      </c>
      <c r="AF23" s="246"/>
      <c r="AG23" s="239">
        <f t="shared" si="3"/>
        <v>0</v>
      </c>
      <c r="AH23" s="356"/>
      <c r="AI23" s="242">
        <f t="shared" si="4"/>
        <v>0</v>
      </c>
      <c r="AJ23" s="247">
        <v>0.6</v>
      </c>
      <c r="AK23" s="239">
        <f t="shared" si="5"/>
        <v>0</v>
      </c>
      <c r="AL23" s="356"/>
      <c r="AM23" s="242">
        <f t="shared" si="6"/>
        <v>0</v>
      </c>
      <c r="AN23" s="119"/>
      <c r="AO23" s="239">
        <f t="shared" si="7"/>
        <v>0</v>
      </c>
      <c r="AP23" s="330"/>
      <c r="AQ23" s="249">
        <f t="shared" si="8"/>
        <v>0</v>
      </c>
      <c r="AR23" s="274"/>
      <c r="AS23" s="239">
        <f t="shared" si="9"/>
        <v>0</v>
      </c>
      <c r="AT23" s="356"/>
      <c r="AU23" s="274"/>
      <c r="AV23" s="239">
        <f t="shared" si="10"/>
        <v>0</v>
      </c>
      <c r="AW23" s="356"/>
      <c r="AX23" s="239">
        <f t="shared" si="11"/>
        <v>0</v>
      </c>
      <c r="AY23" s="250">
        <v>0.44</v>
      </c>
      <c r="AZ23" s="239">
        <f t="shared" si="12"/>
        <v>0</v>
      </c>
      <c r="BA23" s="356"/>
      <c r="BB23" s="242">
        <f t="shared" si="13"/>
        <v>0</v>
      </c>
      <c r="BC23" s="252"/>
      <c r="BD23" s="239">
        <f t="shared" si="14"/>
        <v>0</v>
      </c>
      <c r="BE23" s="356"/>
      <c r="BF23" s="244"/>
      <c r="BG23" s="242">
        <f t="shared" si="15"/>
        <v>0</v>
      </c>
      <c r="BH23" s="356"/>
      <c r="BI23" s="239">
        <f t="shared" si="16"/>
        <v>0</v>
      </c>
      <c r="BJ23" s="238">
        <v>0.54</v>
      </c>
      <c r="BK23" s="239">
        <f t="shared" si="17"/>
        <v>0</v>
      </c>
      <c r="BL23" s="356"/>
      <c r="BM23" s="239">
        <f t="shared" si="18"/>
        <v>0</v>
      </c>
      <c r="BN23" s="250">
        <v>0.46</v>
      </c>
      <c r="BO23" s="239">
        <f t="shared" si="19"/>
        <v>0</v>
      </c>
      <c r="BP23" s="330"/>
      <c r="BQ23" s="251">
        <f t="shared" si="20"/>
        <v>5240</v>
      </c>
      <c r="BR23" s="252">
        <v>0.17299999999999999</v>
      </c>
      <c r="BS23" s="239">
        <f t="shared" si="21"/>
        <v>906.52</v>
      </c>
      <c r="BT23" s="356"/>
      <c r="BU23" s="252">
        <v>0.127</v>
      </c>
      <c r="BV23" s="239">
        <f t="shared" si="22"/>
        <v>665.48</v>
      </c>
      <c r="BW23" s="356"/>
      <c r="BX23" s="252">
        <v>0.127</v>
      </c>
      <c r="BY23" s="239">
        <f t="shared" si="23"/>
        <v>665.48</v>
      </c>
      <c r="BZ23" s="356"/>
      <c r="CA23" s="242">
        <f>AY11+AZ11-BA11</f>
        <v>0</v>
      </c>
      <c r="CB23" s="252"/>
      <c r="CC23" s="239">
        <f t="shared" si="24"/>
        <v>0</v>
      </c>
      <c r="CD23" s="356"/>
      <c r="CE23" s="252"/>
      <c r="CF23" s="239">
        <f t="shared" si="25"/>
        <v>0</v>
      </c>
      <c r="CG23" s="356"/>
      <c r="CH23" s="252"/>
      <c r="CI23" s="239">
        <f t="shared" si="26"/>
        <v>0</v>
      </c>
      <c r="CJ23" s="330"/>
      <c r="CK23" s="237">
        <f>BB11+BC11-BD11</f>
        <v>512</v>
      </c>
      <c r="CL23" s="330"/>
      <c r="CM23" s="237">
        <f t="shared" si="27"/>
        <v>0</v>
      </c>
      <c r="CN23" s="238">
        <v>0.94</v>
      </c>
      <c r="CO23" s="239">
        <f t="shared" si="28"/>
        <v>0</v>
      </c>
      <c r="CP23" s="356"/>
      <c r="CQ23" s="242">
        <f>BH11+BI11-BJ11</f>
        <v>0</v>
      </c>
      <c r="CR23" s="257">
        <v>0.55000000000000004</v>
      </c>
      <c r="CS23" s="242">
        <f t="shared" si="29"/>
        <v>0</v>
      </c>
      <c r="CT23" s="356"/>
      <c r="CU23" s="242">
        <f>BK11+BL11-BM11</f>
        <v>0</v>
      </c>
      <c r="CV23" s="257">
        <v>0.55000000000000004</v>
      </c>
      <c r="CW23" s="242">
        <f t="shared" si="30"/>
        <v>0</v>
      </c>
      <c r="CX23" s="356"/>
      <c r="CY23" s="242">
        <f t="shared" si="31"/>
        <v>0</v>
      </c>
      <c r="CZ23" s="257">
        <v>0.35</v>
      </c>
      <c r="DA23" s="242">
        <f t="shared" si="32"/>
        <v>0</v>
      </c>
      <c r="DB23" s="330"/>
      <c r="DC23" s="249">
        <f>BQ11+BR11-BS11</f>
        <v>12000</v>
      </c>
      <c r="DD23" s="319"/>
      <c r="DE23" s="242">
        <f t="shared" si="33"/>
        <v>500</v>
      </c>
      <c r="DF23" s="319"/>
      <c r="DG23" s="242">
        <f t="shared" si="34"/>
        <v>0</v>
      </c>
      <c r="DH23" s="319"/>
      <c r="DI23" s="242">
        <f t="shared" si="35"/>
        <v>0</v>
      </c>
      <c r="DJ23" s="319"/>
      <c r="DK23" s="242">
        <f t="shared" si="36"/>
        <v>0</v>
      </c>
      <c r="DL23" s="319"/>
      <c r="DM23" s="239">
        <f>CF11+CG11-CH11</f>
        <v>0</v>
      </c>
      <c r="DN23" s="319"/>
      <c r="DO23" s="259">
        <f>CI11+CJ11-CK11</f>
        <v>0</v>
      </c>
      <c r="DP23" s="356"/>
      <c r="DQ23" s="259">
        <f>CL11+CM11-CN11</f>
        <v>0</v>
      </c>
      <c r="DR23" s="356"/>
      <c r="DS23" s="259">
        <f>CO11+CP11-CQ11</f>
        <v>0</v>
      </c>
      <c r="DT23" s="356"/>
      <c r="DU23" s="259">
        <f>CR11+CS11-CT11</f>
        <v>0</v>
      </c>
      <c r="DV23" s="356"/>
      <c r="DW23" s="259">
        <f>CU11+CV11-CW11</f>
        <v>0</v>
      </c>
      <c r="DX23" s="356"/>
      <c r="DY23" s="259">
        <f>CX11+CY11-CZ11</f>
        <v>0</v>
      </c>
      <c r="DZ23" s="356"/>
      <c r="EA23" s="259">
        <f>DA11+DB11-DC11</f>
        <v>0</v>
      </c>
      <c r="EB23" s="356"/>
      <c r="EC23" s="259">
        <f>DD11+DE11-DF11</f>
        <v>0</v>
      </c>
      <c r="ED23" s="356"/>
      <c r="EE23" s="259">
        <f>DG11+DH11-DI11</f>
        <v>0</v>
      </c>
      <c r="EF23" s="356"/>
      <c r="EG23" s="259">
        <f>DJ11+DK11-DL11</f>
        <v>0</v>
      </c>
      <c r="EH23" s="330"/>
    </row>
    <row r="24" spans="2:138" x14ac:dyDescent="0.35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202780</v>
      </c>
      <c r="M24" s="80">
        <f>SUM(M19:M23)</f>
        <v>54750.6</v>
      </c>
      <c r="O24" s="80">
        <f>SUM(O19:O23)</f>
        <v>0</v>
      </c>
      <c r="Q24" s="233">
        <f>SUM(Q19:Q23)</f>
        <v>0</v>
      </c>
      <c r="S24" s="80">
        <f>SUM(S19:S23)</f>
        <v>10030</v>
      </c>
      <c r="U24" s="80">
        <f>SUM(U19:U23)</f>
        <v>4613.8</v>
      </c>
      <c r="W24" s="80">
        <f>SUM(W19:W23)</f>
        <v>132240</v>
      </c>
      <c r="Y24" s="80">
        <f>SUM(Y19:Y23)</f>
        <v>32839.74</v>
      </c>
      <c r="AA24" s="80">
        <f>SUM(AA19:AA23)</f>
        <v>2400</v>
      </c>
      <c r="AC24" s="233">
        <f>SUM(AC19:AC23)</f>
        <v>1080</v>
      </c>
      <c r="AE24" s="233">
        <f>SUM(AE19:AE23)</f>
        <v>200</v>
      </c>
      <c r="AG24" s="80">
        <f>SUM(AG19:AG23)</f>
        <v>66</v>
      </c>
      <c r="AI24" s="80">
        <f>SUM(AI19:AI23)</f>
        <v>3000</v>
      </c>
      <c r="AK24" s="80">
        <f>SUM(AK19:AK23)</f>
        <v>1800</v>
      </c>
      <c r="AM24" s="233">
        <f>SUM(AM19:AM23)</f>
        <v>0</v>
      </c>
      <c r="AO24" s="233">
        <f>SUM(AO19:AO23)</f>
        <v>0</v>
      </c>
      <c r="AQ24" s="80">
        <f>SUM(AQ19:AQ23)</f>
        <v>0</v>
      </c>
      <c r="AS24" s="80">
        <f>SUM(AS19:AS23)</f>
        <v>0</v>
      </c>
      <c r="AV24" s="233">
        <f>SUM(AV19:AV23)</f>
        <v>0</v>
      </c>
      <c r="AZ24" s="233">
        <f>SUM(AZ19:AZ23)</f>
        <v>0</v>
      </c>
      <c r="BB24" s="233">
        <f>SUM(BB19:BB23)</f>
        <v>0</v>
      </c>
      <c r="BD24" s="233">
        <f>SUM(BD19:BD23)</f>
        <v>0</v>
      </c>
      <c r="BG24" s="233">
        <f>SUM(BG19:BG23)</f>
        <v>0</v>
      </c>
      <c r="BK24" s="233">
        <f>SUM(BK19:BK23)</f>
        <v>0</v>
      </c>
      <c r="BO24" s="233">
        <f>SUM(BO19:BO23)</f>
        <v>0</v>
      </c>
      <c r="BQ24" s="233">
        <f>SUM(BQ19:BQ23)</f>
        <v>95880</v>
      </c>
      <c r="BS24" s="233">
        <f>SUM(BS19:BS23)</f>
        <v>16470.32</v>
      </c>
      <c r="BV24" s="233">
        <f>SUM(BV19:BV23)</f>
        <v>6979.08</v>
      </c>
      <c r="BY24" s="233">
        <f>SUM(BY19:BY23)</f>
        <v>6961.48</v>
      </c>
      <c r="CA24" s="80">
        <f>SUM(CA19:CA23)</f>
        <v>60</v>
      </c>
      <c r="CC24" s="80">
        <f>SUM(CC19:CC23)</f>
        <v>7.5</v>
      </c>
      <c r="CF24" s="80">
        <f>SUM(CF19:CF23)</f>
        <v>0</v>
      </c>
      <c r="CI24" s="80">
        <f>SUM(CI19:CI23)</f>
        <v>0</v>
      </c>
      <c r="CK24" s="80">
        <f>SUM(CK19:CK23)</f>
        <v>5451</v>
      </c>
      <c r="CM24" s="255">
        <f>SUM(CM19:CM23)</f>
        <v>0</v>
      </c>
      <c r="CN24" s="30"/>
      <c r="CO24" s="256">
        <f t="shared" ref="CO24" si="38">SUM(CO19:CO23)</f>
        <v>0</v>
      </c>
      <c r="CQ24" s="233">
        <f>SUM(CQ19:CQ23)</f>
        <v>0</v>
      </c>
      <c r="CR24" s="34"/>
      <c r="CS24" s="33">
        <f xml:space="preserve"> SUM(CS19:CS23)</f>
        <v>0</v>
      </c>
      <c r="CT24" s="34"/>
      <c r="CU24" s="233">
        <f>SUM(CU19:CU23)</f>
        <v>0</v>
      </c>
      <c r="CV24" s="34"/>
      <c r="CW24" s="33">
        <f xml:space="preserve"> SUM(CW19:CW23)</f>
        <v>0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33000</v>
      </c>
      <c r="DE24" s="233">
        <f>SUM(DE19:DE23)</f>
        <v>3000</v>
      </c>
      <c r="DG24" s="233">
        <f>SUM(DG19:DG23)</f>
        <v>5000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0</v>
      </c>
      <c r="DU24" s="233">
        <f>SUM(DU19:DU23)</f>
        <v>0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5" spans="2:138" x14ac:dyDescent="0.35">
      <c r="H25" s="173"/>
      <c r="I25" s="173"/>
      <c r="J25" s="173"/>
      <c r="K25" s="173"/>
      <c r="U25" s="173"/>
    </row>
    <row r="26" spans="2:138" ht="14.5" customHeight="1" x14ac:dyDescent="0.35">
      <c r="B26" s="14" t="s">
        <v>122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2:138" ht="30" customHeight="1" x14ac:dyDescent="0.35">
      <c r="B27" s="408"/>
      <c r="C27" s="71" t="s">
        <v>71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74" t="s">
        <v>123</v>
      </c>
      <c r="U27" s="400" t="s">
        <v>28</v>
      </c>
      <c r="V27" s="401"/>
      <c r="W27" s="401"/>
      <c r="X27" s="402"/>
      <c r="Y27" s="386" t="s">
        <v>29</v>
      </c>
      <c r="Z27" s="387"/>
      <c r="AA27" s="387"/>
      <c r="AB27" s="387"/>
      <c r="AC27" s="387"/>
      <c r="AD27" s="388"/>
      <c r="AE27" s="386" t="s">
        <v>124</v>
      </c>
      <c r="AF27" s="387"/>
      <c r="AG27" s="387"/>
      <c r="AH27" s="387"/>
      <c r="AI27" s="387"/>
      <c r="AJ27" s="387"/>
      <c r="AK27" s="387"/>
      <c r="AL27" s="387"/>
      <c r="AM27" s="387"/>
      <c r="AN27" s="388"/>
      <c r="AO27" s="397" t="s">
        <v>125</v>
      </c>
      <c r="AP27" s="397" t="s">
        <v>126</v>
      </c>
      <c r="AR27" s="4"/>
    </row>
    <row r="28" spans="2:138" ht="15" customHeight="1" x14ac:dyDescent="0.35">
      <c r="B28" s="409"/>
      <c r="C28" s="366" t="s">
        <v>24</v>
      </c>
      <c r="D28" s="366"/>
      <c r="E28" s="366"/>
      <c r="F28" s="366"/>
      <c r="G28" s="366"/>
      <c r="H28" s="366"/>
      <c r="I28" s="366"/>
      <c r="J28" s="366"/>
      <c r="K28" s="366"/>
      <c r="L28" s="366"/>
      <c r="M28" s="394" t="s">
        <v>25</v>
      </c>
      <c r="N28" s="395"/>
      <c r="O28" s="395"/>
      <c r="P28" s="395"/>
      <c r="Q28" s="396"/>
      <c r="R28" s="394" t="s">
        <v>26</v>
      </c>
      <c r="S28" s="396"/>
      <c r="T28" s="374" t="s">
        <v>275</v>
      </c>
      <c r="U28" s="374" t="s">
        <v>45</v>
      </c>
      <c r="V28" s="374" t="s">
        <v>46</v>
      </c>
      <c r="W28" s="408" t="s">
        <v>47</v>
      </c>
      <c r="X28" s="374" t="s">
        <v>127</v>
      </c>
      <c r="Y28" s="374" t="str">
        <f>DC15</f>
        <v>Bactériosol concentré</v>
      </c>
      <c r="Z28" s="374" t="str">
        <f>DE15</f>
        <v>Bactériolit concentré</v>
      </c>
      <c r="AA28" s="374" t="str">
        <f>DG15</f>
        <v>Quaterna Plant</v>
      </c>
      <c r="AB28" s="374" t="s">
        <v>49</v>
      </c>
      <c r="AC28" s="374">
        <f>DK15</f>
        <v>0</v>
      </c>
      <c r="AD28" s="374">
        <f>DM15</f>
        <v>0</v>
      </c>
      <c r="AE28" s="377" t="s">
        <v>50</v>
      </c>
      <c r="AF28" s="377" t="s">
        <v>51</v>
      </c>
      <c r="AG28" s="377" t="s">
        <v>52</v>
      </c>
      <c r="AH28" s="383" t="s">
        <v>53</v>
      </c>
      <c r="AI28" s="383" t="s">
        <v>54</v>
      </c>
      <c r="AJ28" s="383" t="s">
        <v>55</v>
      </c>
      <c r="AK28" s="383" t="s">
        <v>56</v>
      </c>
      <c r="AL28" s="383" t="s">
        <v>57</v>
      </c>
      <c r="AM28" s="383" t="s">
        <v>58</v>
      </c>
      <c r="AN28" s="383" t="s">
        <v>59</v>
      </c>
      <c r="AO28" s="398"/>
      <c r="AP28" s="398"/>
    </row>
    <row r="29" spans="2:138" ht="15" customHeight="1" x14ac:dyDescent="0.35">
      <c r="B29" s="409"/>
      <c r="C29" s="389" t="s">
        <v>78</v>
      </c>
      <c r="D29" s="389"/>
      <c r="E29" s="389"/>
      <c r="F29" s="389"/>
      <c r="G29" s="389"/>
      <c r="H29" s="389"/>
      <c r="I29" s="389" t="s">
        <v>79</v>
      </c>
      <c r="J29" s="389"/>
      <c r="K29" s="389" t="s">
        <v>80</v>
      </c>
      <c r="L29" s="389"/>
      <c r="M29" s="374" t="s">
        <v>81</v>
      </c>
      <c r="N29" s="374" t="s">
        <v>41</v>
      </c>
      <c r="O29" s="374" t="s">
        <v>83</v>
      </c>
      <c r="P29" s="374" t="s">
        <v>84</v>
      </c>
      <c r="Q29" s="374" t="s">
        <v>85</v>
      </c>
      <c r="R29" s="374" t="s">
        <v>86</v>
      </c>
      <c r="S29" s="374" t="s">
        <v>87</v>
      </c>
      <c r="T29" s="375"/>
      <c r="U29" s="375"/>
      <c r="V29" s="375"/>
      <c r="W29" s="409"/>
      <c r="X29" s="375"/>
      <c r="Y29" s="375"/>
      <c r="Z29" s="375"/>
      <c r="AA29" s="375"/>
      <c r="AB29" s="375"/>
      <c r="AC29" s="375"/>
      <c r="AD29" s="375"/>
      <c r="AE29" s="378"/>
      <c r="AF29" s="378"/>
      <c r="AG29" s="378"/>
      <c r="AH29" s="384"/>
      <c r="AI29" s="384"/>
      <c r="AJ29" s="384"/>
      <c r="AK29" s="384"/>
      <c r="AL29" s="384"/>
      <c r="AM29" s="384"/>
      <c r="AN29" s="384"/>
      <c r="AO29" s="398"/>
      <c r="AP29" s="398"/>
    </row>
    <row r="30" spans="2:138" x14ac:dyDescent="0.35">
      <c r="B30" s="415"/>
      <c r="C30" s="76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76"/>
      <c r="N30" s="376"/>
      <c r="O30" s="376"/>
      <c r="P30" s="376"/>
      <c r="Q30" s="376"/>
      <c r="R30" s="376"/>
      <c r="S30" s="376"/>
      <c r="T30" s="376"/>
      <c r="U30" s="376"/>
      <c r="V30" s="376"/>
      <c r="W30" s="415"/>
      <c r="X30" s="376"/>
      <c r="Y30" s="376"/>
      <c r="Z30" s="376"/>
      <c r="AA30" s="376"/>
      <c r="AB30" s="376"/>
      <c r="AC30" s="376"/>
      <c r="AD30" s="376"/>
      <c r="AE30" s="379"/>
      <c r="AF30" s="379"/>
      <c r="AG30" s="379"/>
      <c r="AH30" s="385"/>
      <c r="AI30" s="385"/>
      <c r="AJ30" s="385"/>
      <c r="AK30" s="385"/>
      <c r="AL30" s="385"/>
      <c r="AM30" s="385"/>
      <c r="AN30" s="385"/>
      <c r="AO30" s="399"/>
      <c r="AP30" s="399"/>
    </row>
    <row r="31" spans="2:138" x14ac:dyDescent="0.35">
      <c r="B31" s="2" t="s">
        <v>66</v>
      </c>
      <c r="C31" s="2">
        <f>E19*$F$19</f>
        <v>0</v>
      </c>
      <c r="D31" s="2">
        <f>I19*$J$19</f>
        <v>0</v>
      </c>
      <c r="E31" s="2">
        <f>M19*$N$19</f>
        <v>30133.620000000003</v>
      </c>
      <c r="F31" s="2">
        <f>Q19*$R$19</f>
        <v>0</v>
      </c>
      <c r="G31" s="2">
        <f>U19*$V$19</f>
        <v>0</v>
      </c>
      <c r="H31" s="2">
        <f>Y19*$Z$19</f>
        <v>37386.676800000001</v>
      </c>
      <c r="I31" s="2">
        <f>AC19*$AD$19</f>
        <v>0</v>
      </c>
      <c r="J31" s="2">
        <f>AG19*$AH$19</f>
        <v>38.28</v>
      </c>
      <c r="K31" s="2">
        <f>AK19*$AL$19</f>
        <v>1278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15508.68</v>
      </c>
      <c r="S31" s="2">
        <f>CC19*$CD$19+CF19*$CG$19+CI19*$CJ$19</f>
        <v>0</v>
      </c>
      <c r="T31" s="2">
        <f>CK19*$CL$19</f>
        <v>18814.788</v>
      </c>
      <c r="U31" s="2">
        <f>CO19*$CP$19</f>
        <v>0</v>
      </c>
      <c r="V31" s="2">
        <f>CS19*$CT$19</f>
        <v>0</v>
      </c>
      <c r="W31" s="2">
        <f>CW19*$CX$19</f>
        <v>0</v>
      </c>
      <c r="X31" s="27">
        <f>DA19*$DB$19</f>
        <v>0</v>
      </c>
      <c r="Y31" s="2">
        <f>DC19*$DD$19</f>
        <v>2314.2000000000003</v>
      </c>
      <c r="Z31" s="27">
        <f>DE19*$DF$19</f>
        <v>337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7">
        <f>DM19*$DN$19</f>
        <v>0</v>
      </c>
      <c r="AE31" s="27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7">
        <f>EG19*$EH$19</f>
        <v>0</v>
      </c>
      <c r="AO31" s="289">
        <f>SUM(C31:AN31)</f>
        <v>105811.2448</v>
      </c>
      <c r="AP31" s="279">
        <f>AO31/'SUIVI RABAIS PRODUCTION ET C '!D9</f>
        <v>931.43701408450704</v>
      </c>
    </row>
    <row r="32" spans="2:138" x14ac:dyDescent="0.35">
      <c r="B32" s="2" t="s">
        <v>67</v>
      </c>
      <c r="C32" s="2">
        <f t="shared" ref="C32:C35" si="39">E20*$F$19</f>
        <v>0</v>
      </c>
      <c r="D32" s="2">
        <f t="shared" ref="D32:D34" si="40">I20*$J$19</f>
        <v>0</v>
      </c>
      <c r="E32" s="2">
        <f t="shared" ref="E32:E35" si="41">M20*$N$19</f>
        <v>37988.675999999999</v>
      </c>
      <c r="F32" s="2">
        <f t="shared" ref="F32:F35" si="42">Q20*$R$19</f>
        <v>0</v>
      </c>
      <c r="G32" s="2">
        <f t="shared" ref="G32:G35" si="43">U20*$V$19</f>
        <v>62.652000000000001</v>
      </c>
      <c r="H32" s="2">
        <f t="shared" ref="H32:H35" si="44">Y20*$Z$19</f>
        <v>30179.52</v>
      </c>
      <c r="I32" s="2">
        <f>AC20*$AD$19</f>
        <v>1566</v>
      </c>
      <c r="J32" s="2">
        <f t="shared" ref="J32:J35" si="45">AG20*$AH$19</f>
        <v>0</v>
      </c>
      <c r="K32" s="2">
        <f t="shared" ref="K32:K35" si="46">AK20*$AL$19</f>
        <v>0</v>
      </c>
      <c r="L32" s="2">
        <f>AO20*$AP$19</f>
        <v>0</v>
      </c>
      <c r="M32" s="2">
        <f t="shared" ref="M32:M35" si="47">AS20*$AT$19+AV20*$AW$19</f>
        <v>0</v>
      </c>
      <c r="N32" s="2">
        <f t="shared" ref="N32:N35" si="48">AZ20*$BA$19</f>
        <v>0</v>
      </c>
      <c r="O32" s="2">
        <f t="shared" ref="O32:O35" si="49">BD20*$BE$19+BG20*$BH$19</f>
        <v>0</v>
      </c>
      <c r="P32" s="2">
        <f t="shared" ref="P32:P35" si="50">BK20*$BL$19</f>
        <v>0</v>
      </c>
      <c r="Q32" s="2">
        <f t="shared" ref="Q32:Q35" si="51">BO20*$BP$19</f>
        <v>0</v>
      </c>
      <c r="R32" s="2">
        <f t="shared" ref="R32:R35" si="52">BS20*$BT$19+BV20*$BW$19+BY20*$BZ$19</f>
        <v>21425.100000000002</v>
      </c>
      <c r="S32" s="2">
        <f t="shared" ref="S32:S35" si="53">CC20*$CD$19+CF20*$CG$19+CI20*$CJ$19</f>
        <v>0</v>
      </c>
      <c r="T32" s="2">
        <f t="shared" ref="T32:T35" si="54">CK20*$CL$19</f>
        <v>8993.232</v>
      </c>
      <c r="U32" s="2">
        <f t="shared" ref="U32:U35" si="55">CO20*$CP$19</f>
        <v>0</v>
      </c>
      <c r="V32" s="2">
        <f>CS20*$CT$19</f>
        <v>0</v>
      </c>
      <c r="W32" s="2">
        <f t="shared" ref="W32:W35" si="56">CW20*$CX$19</f>
        <v>0</v>
      </c>
      <c r="X32" s="27">
        <f t="shared" ref="X32:X35" si="57">DA20*$DB$19</f>
        <v>0</v>
      </c>
      <c r="Y32" s="2">
        <f t="shared" ref="Y32:Y35" si="58">DC20*$DD$19</f>
        <v>3306.0000000000005</v>
      </c>
      <c r="Z32" s="27">
        <f t="shared" ref="Z32:Z35" si="59">DE20*$DF$19</f>
        <v>337</v>
      </c>
      <c r="AA32" s="27">
        <f t="shared" ref="AA32:AA35" si="60">DG20*$DH$19</f>
        <v>0</v>
      </c>
      <c r="AB32" s="27">
        <f t="shared" ref="AB32:AB35" si="61">DI20*$DJ$19</f>
        <v>0</v>
      </c>
      <c r="AC32" s="27">
        <f t="shared" ref="AC32:AC35" si="62">DK20*$DL$19</f>
        <v>0</v>
      </c>
      <c r="AD32" s="27">
        <f t="shared" ref="AD32:AD35" si="63">DM20*$DN$19</f>
        <v>0</v>
      </c>
      <c r="AE32" s="27">
        <f>DO20*$DP$19</f>
        <v>0</v>
      </c>
      <c r="AF32" s="27">
        <f t="shared" ref="AF32:AF35" si="64">DQ20*$DR$19</f>
        <v>0</v>
      </c>
      <c r="AG32" s="27">
        <f>DS20*$DT$19</f>
        <v>0</v>
      </c>
      <c r="AH32" s="27">
        <f t="shared" ref="AH32:AH35" si="65">DU20*$DV$19</f>
        <v>0</v>
      </c>
      <c r="AI32" s="27">
        <f>DW20*$DX$19</f>
        <v>0</v>
      </c>
      <c r="AJ32" s="27">
        <f t="shared" ref="AJ32:AJ35" si="66">DY20*$DZ$19</f>
        <v>0</v>
      </c>
      <c r="AK32" s="27">
        <f t="shared" ref="AK32:AK35" si="67">EA20*$EB$19</f>
        <v>0</v>
      </c>
      <c r="AL32" s="27">
        <f t="shared" ref="AL32:AL35" si="68">EC20*$ED$19</f>
        <v>0</v>
      </c>
      <c r="AM32" s="27">
        <f>EE20*$EF$19</f>
        <v>0</v>
      </c>
      <c r="AN32" s="27">
        <f>EG20*$EH$19</f>
        <v>0</v>
      </c>
      <c r="AO32" s="289">
        <f t="shared" ref="AO32:AO35" si="69">SUM(C32:AN32)</f>
        <v>103858.18000000001</v>
      </c>
      <c r="AP32" s="279">
        <f>AO32/'SUIVI RABAIS PRODUCTION ET C '!E9</f>
        <v>933.13728661275843</v>
      </c>
    </row>
    <row r="33" spans="2:109" x14ac:dyDescent="0.35">
      <c r="B33" s="2" t="s">
        <v>68</v>
      </c>
      <c r="C33" s="2">
        <f t="shared" si="39"/>
        <v>0</v>
      </c>
      <c r="D33" s="2">
        <f t="shared" si="40"/>
        <v>0</v>
      </c>
      <c r="E33" s="2">
        <f t="shared" si="41"/>
        <v>75142.188000000009</v>
      </c>
      <c r="F33" s="2">
        <f t="shared" si="42"/>
        <v>0</v>
      </c>
      <c r="G33" s="2">
        <f t="shared" si="43"/>
        <v>0</v>
      </c>
      <c r="H33" s="2">
        <f t="shared" si="44"/>
        <v>22940.2775</v>
      </c>
      <c r="I33" s="2">
        <f t="shared" ref="I33:I35" si="70">AC21*$AD$19</f>
        <v>0</v>
      </c>
      <c r="J33" s="2">
        <f t="shared" si="45"/>
        <v>38.28</v>
      </c>
      <c r="K33" s="2">
        <f t="shared" si="46"/>
        <v>0</v>
      </c>
      <c r="L33" s="2">
        <f t="shared" ref="L33:L35" si="71">AO21*$AP$19</f>
        <v>0</v>
      </c>
      <c r="M33" s="2">
        <f t="shared" si="47"/>
        <v>0</v>
      </c>
      <c r="N33" s="2">
        <f t="shared" si="48"/>
        <v>0</v>
      </c>
      <c r="O33" s="2">
        <f t="shared" si="49"/>
        <v>0</v>
      </c>
      <c r="P33" s="2">
        <f t="shared" si="50"/>
        <v>0</v>
      </c>
      <c r="Q33" s="2">
        <f t="shared" si="51"/>
        <v>0</v>
      </c>
      <c r="R33" s="2">
        <f t="shared" si="52"/>
        <v>28908.307999999997</v>
      </c>
      <c r="S33" s="2">
        <f t="shared" si="53"/>
        <v>0</v>
      </c>
      <c r="T33" s="2">
        <f t="shared" si="54"/>
        <v>7553.5260000000007</v>
      </c>
      <c r="U33" s="2">
        <f t="shared" si="55"/>
        <v>0</v>
      </c>
      <c r="V33" s="2">
        <f t="shared" ref="V33:V35" si="72">CS21*$CT$19</f>
        <v>0</v>
      </c>
      <c r="W33" s="2">
        <f t="shared" si="56"/>
        <v>0</v>
      </c>
      <c r="X33" s="27">
        <f t="shared" si="57"/>
        <v>0</v>
      </c>
      <c r="Y33" s="2">
        <f t="shared" si="58"/>
        <v>2644.8</v>
      </c>
      <c r="Z33" s="27">
        <f t="shared" si="59"/>
        <v>337</v>
      </c>
      <c r="AA33" s="27">
        <f t="shared" si="60"/>
        <v>685</v>
      </c>
      <c r="AB33" s="27">
        <f t="shared" si="61"/>
        <v>0</v>
      </c>
      <c r="AC33" s="27">
        <f t="shared" si="62"/>
        <v>0</v>
      </c>
      <c r="AD33" s="27">
        <f t="shared" si="63"/>
        <v>0</v>
      </c>
      <c r="AE33" s="27">
        <f>DO21*$DP$19</f>
        <v>0</v>
      </c>
      <c r="AF33" s="27">
        <f t="shared" si="64"/>
        <v>0</v>
      </c>
      <c r="AG33" s="27">
        <f>DS21*$DT$19</f>
        <v>0</v>
      </c>
      <c r="AH33" s="27">
        <f t="shared" si="65"/>
        <v>0</v>
      </c>
      <c r="AI33" s="27">
        <f>DW21*$DX$19</f>
        <v>0</v>
      </c>
      <c r="AJ33" s="27">
        <f t="shared" si="66"/>
        <v>0</v>
      </c>
      <c r="AK33" s="27">
        <f t="shared" si="67"/>
        <v>0</v>
      </c>
      <c r="AL33" s="27">
        <f t="shared" si="68"/>
        <v>0</v>
      </c>
      <c r="AM33" s="27">
        <f>EE21*$EF$19</f>
        <v>0</v>
      </c>
      <c r="AN33" s="27">
        <f>EG21*$EH$19</f>
        <v>0</v>
      </c>
      <c r="AO33" s="289">
        <f t="shared" si="69"/>
        <v>138249.37950000001</v>
      </c>
      <c r="AP33" s="279">
        <f>AO33/'SUIVI RABAIS PRODUCTION ET C '!F9</f>
        <v>1084.3088588235296</v>
      </c>
    </row>
    <row r="34" spans="2:109" x14ac:dyDescent="0.35">
      <c r="B34" s="2" t="s">
        <v>69</v>
      </c>
      <c r="C34" s="2">
        <f t="shared" si="39"/>
        <v>0</v>
      </c>
      <c r="D34" s="2">
        <f t="shared" si="40"/>
        <v>0</v>
      </c>
      <c r="E34" s="2">
        <f t="shared" si="41"/>
        <v>56723.436000000002</v>
      </c>
      <c r="F34" s="2">
        <f t="shared" si="42"/>
        <v>0</v>
      </c>
      <c r="G34" s="2">
        <f t="shared" si="43"/>
        <v>20884</v>
      </c>
      <c r="H34" s="2">
        <f t="shared" si="44"/>
        <v>35392.822500000002</v>
      </c>
      <c r="I34" s="2">
        <f t="shared" si="70"/>
        <v>0</v>
      </c>
      <c r="J34" s="2">
        <f t="shared" si="45"/>
        <v>19.14</v>
      </c>
      <c r="K34" s="2">
        <f t="shared" si="46"/>
        <v>0</v>
      </c>
      <c r="L34" s="2">
        <f t="shared" si="71"/>
        <v>0</v>
      </c>
      <c r="M34" s="2">
        <f t="shared" si="47"/>
        <v>0</v>
      </c>
      <c r="N34" s="2">
        <f t="shared" si="48"/>
        <v>0</v>
      </c>
      <c r="O34" s="2">
        <f t="shared" si="49"/>
        <v>0</v>
      </c>
      <c r="P34" s="2">
        <f t="shared" si="50"/>
        <v>0</v>
      </c>
      <c r="Q34" s="2">
        <f t="shared" si="51"/>
        <v>0</v>
      </c>
      <c r="R34" s="2">
        <f t="shared" si="52"/>
        <v>11970.245999999999</v>
      </c>
      <c r="S34" s="2">
        <f t="shared" si="53"/>
        <v>29.775000000000002</v>
      </c>
      <c r="T34" s="2">
        <f t="shared" si="54"/>
        <v>13341.933000000001</v>
      </c>
      <c r="U34" s="2">
        <f t="shared" si="55"/>
        <v>0</v>
      </c>
      <c r="V34" s="2">
        <f t="shared" si="72"/>
        <v>0</v>
      </c>
      <c r="W34" s="2">
        <f t="shared" si="56"/>
        <v>0</v>
      </c>
      <c r="X34" s="27">
        <f t="shared" si="57"/>
        <v>0</v>
      </c>
      <c r="Y34" s="2">
        <f t="shared" si="58"/>
        <v>3306.0000000000005</v>
      </c>
      <c r="Z34" s="27">
        <f t="shared" si="59"/>
        <v>674</v>
      </c>
      <c r="AA34" s="27">
        <f t="shared" si="60"/>
        <v>0</v>
      </c>
      <c r="AB34" s="27">
        <f t="shared" si="61"/>
        <v>0</v>
      </c>
      <c r="AC34" s="27">
        <f t="shared" si="62"/>
        <v>0</v>
      </c>
      <c r="AD34" s="27">
        <f t="shared" si="63"/>
        <v>0</v>
      </c>
      <c r="AE34" s="27">
        <f>DO22*$DP$19</f>
        <v>0</v>
      </c>
      <c r="AF34" s="27">
        <f t="shared" si="64"/>
        <v>0</v>
      </c>
      <c r="AG34" s="27">
        <f>DS22*$DT$19</f>
        <v>0</v>
      </c>
      <c r="AH34" s="27">
        <f t="shared" si="65"/>
        <v>0</v>
      </c>
      <c r="AI34" s="27">
        <f>DW22*$DX$19</f>
        <v>0</v>
      </c>
      <c r="AJ34" s="27">
        <f t="shared" si="66"/>
        <v>0</v>
      </c>
      <c r="AK34" s="27">
        <f t="shared" si="67"/>
        <v>0</v>
      </c>
      <c r="AL34" s="27">
        <f t="shared" si="68"/>
        <v>0</v>
      </c>
      <c r="AM34" s="27">
        <f>EE22*$EF$19</f>
        <v>0</v>
      </c>
      <c r="AN34" s="27">
        <f>EG22*$EH$19</f>
        <v>0</v>
      </c>
      <c r="AO34" s="289">
        <f t="shared" si="69"/>
        <v>142341.35249999998</v>
      </c>
      <c r="AP34" s="279">
        <f>AO34/'SUIVI RABAIS PRODUCTION ET C '!G9</f>
        <v>1116.4027647058822</v>
      </c>
    </row>
    <row r="35" spans="2:109" x14ac:dyDescent="0.35">
      <c r="B35" s="2" t="s">
        <v>70</v>
      </c>
      <c r="C35" s="2">
        <f t="shared" si="39"/>
        <v>0</v>
      </c>
      <c r="D35" s="2">
        <f>I23*$J$19</f>
        <v>0</v>
      </c>
      <c r="E35" s="2">
        <f t="shared" si="41"/>
        <v>28869.588</v>
      </c>
      <c r="F35" s="2">
        <f t="shared" si="42"/>
        <v>0</v>
      </c>
      <c r="G35" s="2">
        <f t="shared" si="43"/>
        <v>0</v>
      </c>
      <c r="H35" s="2">
        <f t="shared" si="44"/>
        <v>37971.005799999999</v>
      </c>
      <c r="I35" s="2">
        <f t="shared" si="70"/>
        <v>0</v>
      </c>
      <c r="J35" s="2">
        <f t="shared" si="45"/>
        <v>0</v>
      </c>
      <c r="K35" s="2">
        <f t="shared" si="46"/>
        <v>0</v>
      </c>
      <c r="L35" s="2">
        <f t="shared" si="71"/>
        <v>0</v>
      </c>
      <c r="M35" s="2">
        <f t="shared" si="47"/>
        <v>0</v>
      </c>
      <c r="N35" s="2">
        <f t="shared" si="48"/>
        <v>0</v>
      </c>
      <c r="O35" s="2">
        <f t="shared" si="49"/>
        <v>0</v>
      </c>
      <c r="P35" s="2">
        <f t="shared" si="50"/>
        <v>0</v>
      </c>
      <c r="Q35" s="2">
        <f t="shared" si="51"/>
        <v>0</v>
      </c>
      <c r="R35" s="2">
        <f t="shared" si="52"/>
        <v>5289.2035999999998</v>
      </c>
      <c r="S35" s="2">
        <f t="shared" si="53"/>
        <v>0</v>
      </c>
      <c r="T35" s="2">
        <f t="shared" si="54"/>
        <v>5048.8320000000003</v>
      </c>
      <c r="U35" s="2">
        <f t="shared" si="55"/>
        <v>0</v>
      </c>
      <c r="V35" s="2">
        <f t="shared" si="72"/>
        <v>0</v>
      </c>
      <c r="W35" s="2">
        <f t="shared" si="56"/>
        <v>0</v>
      </c>
      <c r="X35" s="27">
        <f t="shared" si="57"/>
        <v>0</v>
      </c>
      <c r="Y35" s="2">
        <f t="shared" si="58"/>
        <v>6612.0000000000009</v>
      </c>
      <c r="Z35" s="27">
        <f t="shared" si="59"/>
        <v>337</v>
      </c>
      <c r="AA35" s="27">
        <f t="shared" si="60"/>
        <v>0</v>
      </c>
      <c r="AB35" s="27">
        <f t="shared" si="61"/>
        <v>0</v>
      </c>
      <c r="AC35" s="27">
        <f t="shared" si="62"/>
        <v>0</v>
      </c>
      <c r="AD35" s="27">
        <f t="shared" si="63"/>
        <v>0</v>
      </c>
      <c r="AE35" s="27">
        <f>DO23*$DP$19</f>
        <v>0</v>
      </c>
      <c r="AF35" s="27">
        <f t="shared" si="64"/>
        <v>0</v>
      </c>
      <c r="AG35" s="27">
        <f>DS23*$DT$19</f>
        <v>0</v>
      </c>
      <c r="AH35" s="27">
        <f t="shared" si="65"/>
        <v>0</v>
      </c>
      <c r="AI35" s="27">
        <f>DW23*$DX$19</f>
        <v>0</v>
      </c>
      <c r="AJ35" s="27">
        <f t="shared" si="66"/>
        <v>0</v>
      </c>
      <c r="AK35" s="27">
        <f t="shared" si="67"/>
        <v>0</v>
      </c>
      <c r="AL35" s="27">
        <f t="shared" si="68"/>
        <v>0</v>
      </c>
      <c r="AM35" s="27">
        <f>EE23*$EF$19</f>
        <v>0</v>
      </c>
      <c r="AN35" s="27">
        <f>EG23*$EH$19</f>
        <v>0</v>
      </c>
      <c r="AO35" s="289">
        <f t="shared" si="69"/>
        <v>84127.629399999991</v>
      </c>
      <c r="AP35" s="279">
        <f>AO35/'SUIVI RABAIS PRODUCTION ET C '!H9</f>
        <v>659.82454431372537</v>
      </c>
      <c r="DE35" s="35"/>
    </row>
    <row r="36" spans="2:109" x14ac:dyDescent="0.35">
      <c r="B36" s="5" t="s">
        <v>121</v>
      </c>
      <c r="C36" s="5">
        <f t="shared" ref="C36:S36" si="73">SUM(C31:C35)</f>
        <v>0</v>
      </c>
      <c r="D36" s="5">
        <f t="shared" si="73"/>
        <v>0</v>
      </c>
      <c r="E36" s="5">
        <f t="shared" si="73"/>
        <v>228857.50799999997</v>
      </c>
      <c r="F36" s="5">
        <f t="shared" si="73"/>
        <v>0</v>
      </c>
      <c r="G36" s="5">
        <f t="shared" si="73"/>
        <v>20946.651999999998</v>
      </c>
      <c r="H36" s="5">
        <f t="shared" si="73"/>
        <v>163870.3026</v>
      </c>
      <c r="I36" s="5">
        <f t="shared" si="73"/>
        <v>1566</v>
      </c>
      <c r="J36" s="5">
        <f t="shared" si="73"/>
        <v>95.7</v>
      </c>
      <c r="K36" s="5">
        <f t="shared" si="73"/>
        <v>1278</v>
      </c>
      <c r="L36" s="5">
        <f t="shared" si="73"/>
        <v>0</v>
      </c>
      <c r="M36" s="5">
        <f t="shared" si="73"/>
        <v>0</v>
      </c>
      <c r="N36" s="5">
        <f t="shared" si="73"/>
        <v>0</v>
      </c>
      <c r="O36" s="5">
        <f t="shared" si="73"/>
        <v>0</v>
      </c>
      <c r="P36" s="5">
        <f t="shared" si="73"/>
        <v>0</v>
      </c>
      <c r="Q36" s="5">
        <f t="shared" si="73"/>
        <v>0</v>
      </c>
      <c r="R36" s="5">
        <f t="shared" si="73"/>
        <v>83101.537599999981</v>
      </c>
      <c r="S36" s="5">
        <f t="shared" si="73"/>
        <v>29.775000000000002</v>
      </c>
      <c r="T36" s="5">
        <f t="shared" ref="T36:AO36" si="74">SUM(T31:T35)</f>
        <v>53752.311000000009</v>
      </c>
      <c r="U36" s="5">
        <f t="shared" si="74"/>
        <v>0</v>
      </c>
      <c r="V36" s="5">
        <f t="shared" si="74"/>
        <v>0</v>
      </c>
      <c r="W36" s="5">
        <f t="shared" si="74"/>
        <v>0</v>
      </c>
      <c r="X36" s="5">
        <f t="shared" si="74"/>
        <v>0</v>
      </c>
      <c r="Y36" s="5">
        <f t="shared" si="74"/>
        <v>18183</v>
      </c>
      <c r="Z36" s="5">
        <f t="shared" si="74"/>
        <v>2022</v>
      </c>
      <c r="AA36" s="5">
        <f t="shared" si="74"/>
        <v>685</v>
      </c>
      <c r="AB36" s="5">
        <f t="shared" si="74"/>
        <v>0</v>
      </c>
      <c r="AC36" s="5">
        <f t="shared" si="74"/>
        <v>0</v>
      </c>
      <c r="AD36" s="5">
        <f t="shared" si="74"/>
        <v>0</v>
      </c>
      <c r="AE36" s="5">
        <f t="shared" si="74"/>
        <v>0</v>
      </c>
      <c r="AF36" s="5">
        <f t="shared" si="74"/>
        <v>0</v>
      </c>
      <c r="AG36" s="5">
        <f t="shared" si="74"/>
        <v>0</v>
      </c>
      <c r="AH36" s="5">
        <f t="shared" si="74"/>
        <v>0</v>
      </c>
      <c r="AI36" s="5">
        <f t="shared" si="74"/>
        <v>0</v>
      </c>
      <c r="AJ36" s="5">
        <f t="shared" si="74"/>
        <v>0</v>
      </c>
      <c r="AK36" s="5">
        <f t="shared" si="74"/>
        <v>0</v>
      </c>
      <c r="AL36" s="5">
        <f t="shared" si="74"/>
        <v>0</v>
      </c>
      <c r="AM36" s="5">
        <f t="shared" si="74"/>
        <v>0</v>
      </c>
      <c r="AN36" s="5">
        <f t="shared" si="74"/>
        <v>0</v>
      </c>
      <c r="AO36" s="290">
        <f t="shared" si="74"/>
        <v>574387.78619999997</v>
      </c>
    </row>
    <row r="37" spans="2:109" x14ac:dyDescent="0.35">
      <c r="G37">
        <f>SUM(E19,I19,M19,Q19,U19,Y19,BD19,BS19,CC19)</f>
        <v>17770.32</v>
      </c>
    </row>
    <row r="38" spans="2:109" x14ac:dyDescent="0.35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408"/>
      <c r="C39" s="368" t="s">
        <v>129</v>
      </c>
      <c r="D39" s="369"/>
      <c r="E39" s="369"/>
      <c r="F39" s="370"/>
      <c r="G39" s="368" t="s">
        <v>130</v>
      </c>
      <c r="H39" s="369"/>
      <c r="I39" s="369"/>
      <c r="J39" s="370"/>
      <c r="K39" s="412" t="s">
        <v>131</v>
      </c>
      <c r="L39" s="413"/>
      <c r="M39" s="413"/>
      <c r="N39" s="414"/>
      <c r="O39" s="416" t="s">
        <v>29</v>
      </c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8"/>
      <c r="AA39" s="416" t="s">
        <v>124</v>
      </c>
      <c r="AB39" s="417"/>
      <c r="AC39" s="417"/>
      <c r="AD39" s="417"/>
      <c r="AE39" s="417"/>
      <c r="AF39" s="417"/>
      <c r="AG39" s="417"/>
      <c r="AH39" s="417"/>
      <c r="AI39" s="417"/>
      <c r="AJ39" s="417"/>
      <c r="AK39" s="417"/>
      <c r="AL39" s="417"/>
      <c r="AM39" s="417"/>
      <c r="AN39" s="417"/>
      <c r="AO39" s="417"/>
      <c r="AP39" s="417"/>
      <c r="AQ39" s="417"/>
      <c r="AR39" s="417"/>
      <c r="AS39" s="417"/>
      <c r="AT39" s="418"/>
      <c r="AU39" s="486" t="s">
        <v>125</v>
      </c>
      <c r="AV39" s="397" t="s">
        <v>126</v>
      </c>
    </row>
    <row r="40" spans="2:109" ht="45" customHeight="1" thickBot="1" x14ac:dyDescent="0.4">
      <c r="B40" s="409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487"/>
      <c r="AV40" s="399"/>
    </row>
    <row r="41" spans="2:109" ht="15" customHeight="1" x14ac:dyDescent="0.35">
      <c r="B41" s="27" t="s">
        <v>66</v>
      </c>
      <c r="C41" s="2">
        <f>E19+I19+M19+Q19+U19+Y19+BD19+BS19+CC19</f>
        <v>17770.32</v>
      </c>
      <c r="D41" s="104">
        <f>C41*$I$49*$I$58</f>
        <v>118401.10354285713</v>
      </c>
      <c r="E41" s="2">
        <f>(C41*$I$51+C41*$I$53)*$I$58</f>
        <v>27676.257953142853</v>
      </c>
      <c r="F41" s="28">
        <f>SUM(D41:E41)</f>
        <v>146077.361496</v>
      </c>
      <c r="G41" s="121"/>
      <c r="H41" s="28">
        <f>G41*$I$50*$I$58</f>
        <v>0</v>
      </c>
      <c r="I41" s="28">
        <f>(G41*I52*+G41*I53)*$I$58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291">
        <f>F41+J41+L41+N41+P41+R41+T41+V41+X41+Z41+AB41+AD41+AF41+AH41+AJ41+AL41+AN41+AP41+AR41+AT41</f>
        <v>146077.361496</v>
      </c>
      <c r="AV41" s="280">
        <f>AU41/'SUIVI RABAIS PRODUCTION ET C '!D9</f>
        <v>1285.8922666901408</v>
      </c>
      <c r="AX41" s="360" t="s">
        <v>157</v>
      </c>
      <c r="AY41" s="361"/>
      <c r="AZ41" s="362"/>
    </row>
    <row r="42" spans="2:109" ht="15" customHeight="1" x14ac:dyDescent="0.35">
      <c r="B42" s="27" t="s">
        <v>67</v>
      </c>
      <c r="C42" s="2">
        <f t="shared" ref="C42:C45" si="75">E20+I20+M20+Q20+U20+Y20+BD20+BS20+CC20</f>
        <v>19410</v>
      </c>
      <c r="D42" s="104">
        <f t="shared" ref="D42:D45" si="76">C42*$I$49*$I$58</f>
        <v>129326.05714285713</v>
      </c>
      <c r="E42" s="2">
        <f t="shared" ref="E42:E45" si="77">(C42*$I$51+C42*$I$53)*$I$58</f>
        <v>30229.965857142848</v>
      </c>
      <c r="F42" s="28">
        <f t="shared" ref="F42:F45" si="78">SUM(D42:E42)</f>
        <v>159556.02299999999</v>
      </c>
      <c r="G42" s="121"/>
      <c r="H42" s="28">
        <f t="shared" ref="H42:H45" si="79">G42*$I$50*$I$58</f>
        <v>0</v>
      </c>
      <c r="I42" s="28">
        <f t="shared" ref="I42:I45" si="80">(G42*I53*+G42*I54)*$I$58</f>
        <v>0</v>
      </c>
      <c r="J42" s="28">
        <f t="shared" ref="J42:J45" si="81">SUM(H42:I42)</f>
        <v>0</v>
      </c>
      <c r="K42" s="2">
        <f t="shared" ref="K42:K45" si="82">CM20+CQ20</f>
        <v>0</v>
      </c>
      <c r="L42" s="36">
        <f>K42*$I$54</f>
        <v>0</v>
      </c>
      <c r="M42" s="27">
        <f t="shared" ref="M42:M45" si="83">CU20</f>
        <v>0</v>
      </c>
      <c r="N42" s="36">
        <f t="shared" ref="N42:N45" si="84">M42*$I$55</f>
        <v>0</v>
      </c>
      <c r="O42" s="2">
        <f t="shared" ref="O42:O45" si="85">$C$65/1000*DC20</f>
        <v>0</v>
      </c>
      <c r="P42" s="36">
        <f t="shared" ref="P42:P45" si="86">O42*$I$50+O42*$I$52+O42*$I$53</f>
        <v>0</v>
      </c>
      <c r="Q42" s="36">
        <f t="shared" ref="Q42:Q45" si="87">DE20*$D$65/1000</f>
        <v>0</v>
      </c>
      <c r="R42" s="36">
        <f t="shared" ref="R42:R45" si="88">Q42*$I$50+Q42*$I$52+Q42*$I$53</f>
        <v>0</v>
      </c>
      <c r="S42" s="36">
        <f t="shared" ref="S42:S45" si="89">DG20*$E$65/1000</f>
        <v>0</v>
      </c>
      <c r="T42" s="36">
        <f t="shared" ref="T42:T45" si="90">S42*$I$50+S42*$I$52+S42*$I$53</f>
        <v>0</v>
      </c>
      <c r="U42" s="36">
        <f t="shared" ref="U42:U45" si="91">DI20*$F$65/1000</f>
        <v>0</v>
      </c>
      <c r="V42" s="36">
        <f t="shared" ref="V42:V45" si="92">U42*$I$50+U42*$I$52+U42*$I$53</f>
        <v>0</v>
      </c>
      <c r="W42" s="36">
        <f t="shared" ref="W42:W45" si="93">DK20*$G$65/1000</f>
        <v>0</v>
      </c>
      <c r="X42" s="36">
        <f t="shared" ref="X42:X45" si="94">W42*$I$50+W42*$I$52+W42*$I$53</f>
        <v>0</v>
      </c>
      <c r="Y42" s="27">
        <f t="shared" ref="Y42:Y45" si="95">DM20*$H$65/1000</f>
        <v>0</v>
      </c>
      <c r="Z42" s="87">
        <f t="shared" ref="Z42:Z45" si="96">Y42*$I$50+Y42*$I$52+Y42*$I$53</f>
        <v>0</v>
      </c>
      <c r="AA42" s="27">
        <f t="shared" ref="AA42:AA45" si="97">DO20*1000*$I$65/1000</f>
        <v>0</v>
      </c>
      <c r="AB42" s="27">
        <f t="shared" ref="AB42:AB45" si="98">AA42*$I$50+AA42*$I$52+AA42*$I$53</f>
        <v>0</v>
      </c>
      <c r="AC42" s="27">
        <f t="shared" ref="AC42:AC45" si="99">DQ20*$J$65</f>
        <v>0</v>
      </c>
      <c r="AD42" s="27">
        <f t="shared" ref="AD42:AD45" si="100">AC42*$I$50+AC42*$I$52+AC42*$I$53</f>
        <v>0</v>
      </c>
      <c r="AE42" s="27">
        <f t="shared" ref="AE42:AE45" si="101">DS20*$K$65</f>
        <v>0</v>
      </c>
      <c r="AF42" s="27">
        <f t="shared" ref="AF42:AF45" si="102">AE42*$I$50+AE42*$I$52+AE42*$I$53</f>
        <v>0</v>
      </c>
      <c r="AG42" s="27">
        <f t="shared" ref="AG42:AG45" si="103">DU20*$L$65</f>
        <v>0</v>
      </c>
      <c r="AH42" s="27">
        <f t="shared" ref="AH42:AH45" si="104">AG42*$I$50+AG42*$I$52+AG42*$I$53</f>
        <v>0</v>
      </c>
      <c r="AI42" s="27">
        <f t="shared" ref="AI42:AI45" si="105">DW20*$M$65</f>
        <v>0</v>
      </c>
      <c r="AJ42" s="27">
        <f t="shared" ref="AJ42:AJ45" si="106">AI42*$I$50+AI42*$I$52+AI42*$I$53</f>
        <v>0</v>
      </c>
      <c r="AK42" s="27">
        <f t="shared" ref="AK42:AK45" si="107">DY20*$N$65</f>
        <v>0</v>
      </c>
      <c r="AL42" s="27">
        <f t="shared" ref="AL42:AL45" si="108">AK42*$I$50+AK42*$I$52+AK42*$I$53</f>
        <v>0</v>
      </c>
      <c r="AM42" s="27">
        <f t="shared" ref="AM42:AM45" si="109">EA20*$O$65</f>
        <v>0</v>
      </c>
      <c r="AN42" s="27">
        <f t="shared" ref="AN42:AN45" si="110">AM42*$I$50+AM42*$I$52+AM42*$I$53</f>
        <v>0</v>
      </c>
      <c r="AO42" s="27">
        <f t="shared" ref="AO42:AO45" si="111">EC20*$P$65</f>
        <v>0</v>
      </c>
      <c r="AP42" s="27">
        <f t="shared" ref="AP42:AP45" si="112">AO42*$I$50+AO42*$I$52+AO42*$I$53</f>
        <v>0</v>
      </c>
      <c r="AQ42" s="27">
        <f t="shared" ref="AQ42:AQ45" si="113">EE20*$Q$65</f>
        <v>0</v>
      </c>
      <c r="AR42" s="27">
        <f t="shared" ref="AR42:AR45" si="114">AQ42*$I$50+AQ42*$I$52+AQ42*$I$53</f>
        <v>0</v>
      </c>
      <c r="AS42" s="27">
        <f t="shared" ref="AS42:AS45" si="115">EG20*$R$65</f>
        <v>0</v>
      </c>
      <c r="AT42" s="27">
        <f t="shared" ref="AT42:AT45" si="116">AS42*$I$50+AS42*$I$52+AS42*$I$53</f>
        <v>0</v>
      </c>
      <c r="AU42" s="291">
        <f t="shared" ref="AU42:AU45" si="117">F42+J42+L42+N42+P42+R42+T42+V42+X42+Z42+AB42+AD42+AF42+AH42+AJ42+AL42+AN42+AP42+AR42+AT42</f>
        <v>159556.02299999999</v>
      </c>
      <c r="AV42" s="280">
        <f>AU42/'SUIVI RABAIS PRODUCTION ET C '!E9</f>
        <v>1433.5671428571427</v>
      </c>
      <c r="AX42" s="363"/>
      <c r="AY42" s="364"/>
      <c r="AZ42" s="365"/>
    </row>
    <row r="43" spans="2:109" ht="15" thickBot="1" x14ac:dyDescent="0.4">
      <c r="B43" s="27" t="s">
        <v>68</v>
      </c>
      <c r="C43" s="2">
        <f t="shared" si="75"/>
        <v>28608.45</v>
      </c>
      <c r="D43" s="104">
        <f t="shared" si="76"/>
        <v>190614.01542857141</v>
      </c>
      <c r="E43" s="2">
        <f t="shared" si="77"/>
        <v>44556.026106428566</v>
      </c>
      <c r="F43" s="28">
        <f t="shared" si="78"/>
        <v>235170.04153499997</v>
      </c>
      <c r="G43" s="121"/>
      <c r="H43" s="28">
        <f t="shared" si="79"/>
        <v>0</v>
      </c>
      <c r="I43" s="28">
        <f t="shared" si="80"/>
        <v>0</v>
      </c>
      <c r="J43" s="28">
        <f t="shared" si="81"/>
        <v>0</v>
      </c>
      <c r="K43" s="2">
        <f t="shared" si="82"/>
        <v>0</v>
      </c>
      <c r="L43" s="36">
        <f t="shared" ref="L43:L45" si="118">K43*$I$54</f>
        <v>0</v>
      </c>
      <c r="M43" s="27">
        <f t="shared" si="83"/>
        <v>0</v>
      </c>
      <c r="N43" s="36">
        <f t="shared" si="84"/>
        <v>0</v>
      </c>
      <c r="O43" s="2">
        <f t="shared" si="85"/>
        <v>0</v>
      </c>
      <c r="P43" s="36">
        <f t="shared" si="86"/>
        <v>0</v>
      </c>
      <c r="Q43" s="36">
        <f t="shared" si="87"/>
        <v>0</v>
      </c>
      <c r="R43" s="36">
        <f t="shared" si="88"/>
        <v>0</v>
      </c>
      <c r="S43" s="36">
        <f t="shared" si="89"/>
        <v>0</v>
      </c>
      <c r="T43" s="36">
        <f t="shared" si="90"/>
        <v>0</v>
      </c>
      <c r="U43" s="36">
        <f t="shared" si="91"/>
        <v>0</v>
      </c>
      <c r="V43" s="36">
        <f t="shared" si="92"/>
        <v>0</v>
      </c>
      <c r="W43" s="36">
        <f t="shared" si="93"/>
        <v>0</v>
      </c>
      <c r="X43" s="36">
        <f t="shared" si="94"/>
        <v>0</v>
      </c>
      <c r="Y43" s="27">
        <f t="shared" si="95"/>
        <v>0</v>
      </c>
      <c r="Z43" s="87">
        <f t="shared" si="96"/>
        <v>0</v>
      </c>
      <c r="AA43" s="27">
        <f t="shared" si="97"/>
        <v>0</v>
      </c>
      <c r="AB43" s="27">
        <f t="shared" si="98"/>
        <v>0</v>
      </c>
      <c r="AC43" s="27">
        <f t="shared" si="99"/>
        <v>0</v>
      </c>
      <c r="AD43" s="27">
        <f t="shared" si="100"/>
        <v>0</v>
      </c>
      <c r="AE43" s="27">
        <f t="shared" si="101"/>
        <v>0</v>
      </c>
      <c r="AF43" s="27">
        <f t="shared" si="102"/>
        <v>0</v>
      </c>
      <c r="AG43" s="27">
        <f t="shared" si="103"/>
        <v>0</v>
      </c>
      <c r="AH43" s="27">
        <f t="shared" si="104"/>
        <v>0</v>
      </c>
      <c r="AI43" s="27">
        <f t="shared" si="105"/>
        <v>0</v>
      </c>
      <c r="AJ43" s="27">
        <f t="shared" si="106"/>
        <v>0</v>
      </c>
      <c r="AK43" s="27">
        <f t="shared" si="107"/>
        <v>0</v>
      </c>
      <c r="AL43" s="27">
        <f t="shared" si="108"/>
        <v>0</v>
      </c>
      <c r="AM43" s="27">
        <f t="shared" si="109"/>
        <v>0</v>
      </c>
      <c r="AN43" s="27">
        <f t="shared" si="110"/>
        <v>0</v>
      </c>
      <c r="AO43" s="27">
        <f t="shared" si="111"/>
        <v>0</v>
      </c>
      <c r="AP43" s="27">
        <f t="shared" si="112"/>
        <v>0</v>
      </c>
      <c r="AQ43" s="27">
        <f t="shared" si="113"/>
        <v>0</v>
      </c>
      <c r="AR43" s="27">
        <f t="shared" si="114"/>
        <v>0</v>
      </c>
      <c r="AS43" s="27">
        <f t="shared" si="115"/>
        <v>0</v>
      </c>
      <c r="AT43" s="27">
        <f t="shared" si="116"/>
        <v>0</v>
      </c>
      <c r="AU43" s="291">
        <f t="shared" si="117"/>
        <v>235170.04153499997</v>
      </c>
      <c r="AV43" s="280">
        <f>AU43/'SUIVI RABAIS PRODUCTION ET C '!F9</f>
        <v>1844.4709139999998</v>
      </c>
      <c r="AX43" s="363"/>
      <c r="AY43" s="364"/>
      <c r="AZ43" s="365"/>
    </row>
    <row r="44" spans="2:109" ht="15" thickBot="1" x14ac:dyDescent="0.4">
      <c r="B44" s="27" t="s">
        <v>69</v>
      </c>
      <c r="C44" s="2">
        <f t="shared" si="75"/>
        <v>27470.65</v>
      </c>
      <c r="D44" s="104">
        <f t="shared" si="76"/>
        <v>183033.01657142857</v>
      </c>
      <c r="E44" s="2">
        <f t="shared" si="77"/>
        <v>42783.967623571429</v>
      </c>
      <c r="F44" s="28">
        <f t="shared" si="78"/>
        <v>225816.984195</v>
      </c>
      <c r="G44" s="121"/>
      <c r="H44" s="28">
        <f t="shared" si="79"/>
        <v>0</v>
      </c>
      <c r="I44" s="28">
        <f t="shared" si="80"/>
        <v>0</v>
      </c>
      <c r="J44" s="28">
        <f t="shared" si="81"/>
        <v>0</v>
      </c>
      <c r="K44" s="2">
        <f t="shared" si="82"/>
        <v>0</v>
      </c>
      <c r="L44" s="36">
        <f t="shared" si="118"/>
        <v>0</v>
      </c>
      <c r="M44" s="27">
        <f t="shared" si="83"/>
        <v>0</v>
      </c>
      <c r="N44" s="36">
        <f t="shared" si="84"/>
        <v>0</v>
      </c>
      <c r="O44" s="2">
        <f t="shared" si="85"/>
        <v>0</v>
      </c>
      <c r="P44" s="36">
        <f t="shared" si="86"/>
        <v>0</v>
      </c>
      <c r="Q44" s="36">
        <f t="shared" si="87"/>
        <v>0</v>
      </c>
      <c r="R44" s="36">
        <f t="shared" si="88"/>
        <v>0</v>
      </c>
      <c r="S44" s="36">
        <f t="shared" si="89"/>
        <v>0</v>
      </c>
      <c r="T44" s="36">
        <f t="shared" si="90"/>
        <v>0</v>
      </c>
      <c r="U44" s="36">
        <f t="shared" si="91"/>
        <v>0</v>
      </c>
      <c r="V44" s="36">
        <f t="shared" si="92"/>
        <v>0</v>
      </c>
      <c r="W44" s="36">
        <f t="shared" si="93"/>
        <v>0</v>
      </c>
      <c r="X44" s="36">
        <f t="shared" si="94"/>
        <v>0</v>
      </c>
      <c r="Y44" s="27">
        <f t="shared" si="95"/>
        <v>0</v>
      </c>
      <c r="Z44" s="87">
        <f t="shared" si="96"/>
        <v>0</v>
      </c>
      <c r="AA44" s="27">
        <f t="shared" si="97"/>
        <v>0</v>
      </c>
      <c r="AB44" s="27">
        <f t="shared" si="98"/>
        <v>0</v>
      </c>
      <c r="AC44" s="27">
        <f t="shared" si="99"/>
        <v>0</v>
      </c>
      <c r="AD44" s="27">
        <f t="shared" si="100"/>
        <v>0</v>
      </c>
      <c r="AE44" s="27">
        <f t="shared" si="101"/>
        <v>0</v>
      </c>
      <c r="AF44" s="27">
        <f t="shared" si="102"/>
        <v>0</v>
      </c>
      <c r="AG44" s="27">
        <f t="shared" si="103"/>
        <v>0</v>
      </c>
      <c r="AH44" s="27">
        <f t="shared" si="104"/>
        <v>0</v>
      </c>
      <c r="AI44" s="27">
        <f t="shared" si="105"/>
        <v>0</v>
      </c>
      <c r="AJ44" s="27">
        <f t="shared" si="106"/>
        <v>0</v>
      </c>
      <c r="AK44" s="27">
        <f t="shared" si="107"/>
        <v>0</v>
      </c>
      <c r="AL44" s="27">
        <f t="shared" si="108"/>
        <v>0</v>
      </c>
      <c r="AM44" s="27">
        <f t="shared" si="109"/>
        <v>0</v>
      </c>
      <c r="AN44" s="27">
        <f t="shared" si="110"/>
        <v>0</v>
      </c>
      <c r="AO44" s="27">
        <f t="shared" si="111"/>
        <v>0</v>
      </c>
      <c r="AP44" s="27">
        <f t="shared" si="112"/>
        <v>0</v>
      </c>
      <c r="AQ44" s="27">
        <f t="shared" si="113"/>
        <v>0</v>
      </c>
      <c r="AR44" s="27">
        <f t="shared" si="114"/>
        <v>0</v>
      </c>
      <c r="AS44" s="27">
        <f t="shared" si="115"/>
        <v>0</v>
      </c>
      <c r="AT44" s="27">
        <f t="shared" si="116"/>
        <v>0</v>
      </c>
      <c r="AU44" s="291">
        <f>F44+J44+L44+N44+P44+R44+T44+V44+X44+Z44+AB44+AD44+AF44+AH44+AJ44+AL44+AN44+AP44+AR44+AT44</f>
        <v>225816.984195</v>
      </c>
      <c r="AV44" s="280">
        <f>AU44/'SUIVI RABAIS PRODUCTION ET C '!G9</f>
        <v>1771.1136015294117</v>
      </c>
      <c r="AX44" s="293">
        <f>AU46+AO36</f>
        <v>1467786.1019879999</v>
      </c>
      <c r="AY44" s="7" t="s">
        <v>158</v>
      </c>
      <c r="AZ44" s="39"/>
    </row>
    <row r="45" spans="2:109" x14ac:dyDescent="0.35">
      <c r="B45" s="27" t="s">
        <v>70</v>
      </c>
      <c r="C45" s="2">
        <f t="shared" si="75"/>
        <v>15422.54</v>
      </c>
      <c r="D45" s="104">
        <f t="shared" si="76"/>
        <v>102758.18079999999</v>
      </c>
      <c r="E45" s="2">
        <f t="shared" si="77"/>
        <v>24019.724762000002</v>
      </c>
      <c r="F45" s="28">
        <f t="shared" si="78"/>
        <v>126777.90556199999</v>
      </c>
      <c r="G45" s="121"/>
      <c r="H45" s="28">
        <f t="shared" si="79"/>
        <v>0</v>
      </c>
      <c r="I45" s="28">
        <f t="shared" si="80"/>
        <v>0</v>
      </c>
      <c r="J45" s="28">
        <f t="shared" si="81"/>
        <v>0</v>
      </c>
      <c r="K45" s="2">
        <f t="shared" si="82"/>
        <v>0</v>
      </c>
      <c r="L45" s="36">
        <f t="shared" si="118"/>
        <v>0</v>
      </c>
      <c r="M45" s="27">
        <f t="shared" si="83"/>
        <v>0</v>
      </c>
      <c r="N45" s="36">
        <f t="shared" si="84"/>
        <v>0</v>
      </c>
      <c r="O45" s="2">
        <f t="shared" si="85"/>
        <v>0</v>
      </c>
      <c r="P45" s="36">
        <f t="shared" si="86"/>
        <v>0</v>
      </c>
      <c r="Q45" s="36">
        <f t="shared" si="87"/>
        <v>0</v>
      </c>
      <c r="R45" s="36">
        <f t="shared" si="88"/>
        <v>0</v>
      </c>
      <c r="S45" s="36">
        <f t="shared" si="89"/>
        <v>0</v>
      </c>
      <c r="T45" s="36">
        <f t="shared" si="90"/>
        <v>0</v>
      </c>
      <c r="U45" s="36">
        <f t="shared" si="91"/>
        <v>0</v>
      </c>
      <c r="V45" s="36">
        <f t="shared" si="92"/>
        <v>0</v>
      </c>
      <c r="W45" s="36">
        <f t="shared" si="93"/>
        <v>0</v>
      </c>
      <c r="X45" s="36">
        <f t="shared" si="94"/>
        <v>0</v>
      </c>
      <c r="Y45" s="27">
        <f t="shared" si="95"/>
        <v>0</v>
      </c>
      <c r="Z45" s="87">
        <f t="shared" si="96"/>
        <v>0</v>
      </c>
      <c r="AA45" s="27">
        <f t="shared" si="97"/>
        <v>0</v>
      </c>
      <c r="AB45" s="27">
        <f t="shared" si="98"/>
        <v>0</v>
      </c>
      <c r="AC45" s="27">
        <f t="shared" si="99"/>
        <v>0</v>
      </c>
      <c r="AD45" s="27">
        <f t="shared" si="100"/>
        <v>0</v>
      </c>
      <c r="AE45" s="27">
        <f t="shared" si="101"/>
        <v>0</v>
      </c>
      <c r="AF45" s="27">
        <f t="shared" si="102"/>
        <v>0</v>
      </c>
      <c r="AG45" s="27">
        <f t="shared" si="103"/>
        <v>0</v>
      </c>
      <c r="AH45" s="27">
        <f t="shared" si="104"/>
        <v>0</v>
      </c>
      <c r="AI45" s="27">
        <f t="shared" si="105"/>
        <v>0</v>
      </c>
      <c r="AJ45" s="27">
        <f t="shared" si="106"/>
        <v>0</v>
      </c>
      <c r="AK45" s="27">
        <f t="shared" si="107"/>
        <v>0</v>
      </c>
      <c r="AL45" s="27">
        <f t="shared" si="108"/>
        <v>0</v>
      </c>
      <c r="AM45" s="27">
        <f t="shared" si="109"/>
        <v>0</v>
      </c>
      <c r="AN45" s="27">
        <f t="shared" si="110"/>
        <v>0</v>
      </c>
      <c r="AO45" s="27">
        <f t="shared" si="111"/>
        <v>0</v>
      </c>
      <c r="AP45" s="27">
        <f t="shared" si="112"/>
        <v>0</v>
      </c>
      <c r="AQ45" s="27">
        <f t="shared" si="113"/>
        <v>0</v>
      </c>
      <c r="AR45" s="27">
        <f t="shared" si="114"/>
        <v>0</v>
      </c>
      <c r="AS45" s="27">
        <f t="shared" si="115"/>
        <v>0</v>
      </c>
      <c r="AT45" s="27">
        <f t="shared" si="116"/>
        <v>0</v>
      </c>
      <c r="AU45" s="291">
        <f t="shared" si="117"/>
        <v>126777.90556199999</v>
      </c>
      <c r="AV45" s="280">
        <f>AU45/'SUIVI RABAIS PRODUCTION ET C '!H9</f>
        <v>994.33651421176455</v>
      </c>
      <c r="AX45" s="294">
        <f>AX44/1000</f>
        <v>1467.7861019879999</v>
      </c>
      <c r="AY45" s="81" t="s">
        <v>159</v>
      </c>
    </row>
    <row r="46" spans="2:109" x14ac:dyDescent="0.35">
      <c r="B46" s="5" t="s">
        <v>121</v>
      </c>
      <c r="C46" s="80">
        <f>SUM(C41:C45)</f>
        <v>108681.96000000002</v>
      </c>
      <c r="D46" s="5">
        <f t="shared" ref="D46:J46" si="119">SUM(D41:D45)</f>
        <v>724132.3734857142</v>
      </c>
      <c r="E46" s="5">
        <f t="shared" si="119"/>
        <v>169265.94230228569</v>
      </c>
      <c r="F46" s="29">
        <f t="shared" si="119"/>
        <v>893398.31578800001</v>
      </c>
      <c r="G46" s="29">
        <f t="shared" si="119"/>
        <v>0</v>
      </c>
      <c r="H46" s="29">
        <f t="shared" si="119"/>
        <v>0</v>
      </c>
      <c r="I46" s="29">
        <f t="shared" si="119"/>
        <v>0</v>
      </c>
      <c r="J46" s="5">
        <f t="shared" si="119"/>
        <v>0</v>
      </c>
      <c r="K46" s="5">
        <f t="shared" ref="K46:AT46" si="120">SUM(K41:K45)</f>
        <v>0</v>
      </c>
      <c r="L46" s="29">
        <f t="shared" si="120"/>
        <v>0</v>
      </c>
      <c r="M46" s="5">
        <f t="shared" si="120"/>
        <v>0</v>
      </c>
      <c r="N46" s="29">
        <f t="shared" si="120"/>
        <v>0</v>
      </c>
      <c r="O46" s="5">
        <f t="shared" si="120"/>
        <v>0</v>
      </c>
      <c r="P46" s="29">
        <f t="shared" si="120"/>
        <v>0</v>
      </c>
      <c r="Q46" s="5">
        <f t="shared" si="120"/>
        <v>0</v>
      </c>
      <c r="R46" s="5">
        <f t="shared" si="120"/>
        <v>0</v>
      </c>
      <c r="S46" s="5">
        <f t="shared" si="120"/>
        <v>0</v>
      </c>
      <c r="T46" s="5">
        <f t="shared" si="120"/>
        <v>0</v>
      </c>
      <c r="U46" s="5">
        <f t="shared" si="120"/>
        <v>0</v>
      </c>
      <c r="V46" s="5">
        <f t="shared" si="120"/>
        <v>0</v>
      </c>
      <c r="W46" s="5">
        <f t="shared" si="120"/>
        <v>0</v>
      </c>
      <c r="X46" s="5">
        <f t="shared" si="120"/>
        <v>0</v>
      </c>
      <c r="Y46" s="5">
        <f t="shared" si="120"/>
        <v>0</v>
      </c>
      <c r="Z46" s="5">
        <f t="shared" si="120"/>
        <v>0</v>
      </c>
      <c r="AA46" s="5">
        <f t="shared" si="120"/>
        <v>0</v>
      </c>
      <c r="AB46" s="5">
        <f t="shared" si="120"/>
        <v>0</v>
      </c>
      <c r="AC46" s="5">
        <f t="shared" si="120"/>
        <v>0</v>
      </c>
      <c r="AD46" s="5">
        <f t="shared" si="120"/>
        <v>0</v>
      </c>
      <c r="AE46" s="5">
        <f t="shared" si="120"/>
        <v>0</v>
      </c>
      <c r="AF46" s="5">
        <f t="shared" si="120"/>
        <v>0</v>
      </c>
      <c r="AG46" s="5">
        <f t="shared" si="120"/>
        <v>0</v>
      </c>
      <c r="AH46" s="5">
        <f t="shared" si="120"/>
        <v>0</v>
      </c>
      <c r="AI46" s="5">
        <f t="shared" si="120"/>
        <v>0</v>
      </c>
      <c r="AJ46" s="5">
        <f t="shared" si="120"/>
        <v>0</v>
      </c>
      <c r="AK46" s="5">
        <f t="shared" si="120"/>
        <v>0</v>
      </c>
      <c r="AL46" s="5">
        <f t="shared" si="120"/>
        <v>0</v>
      </c>
      <c r="AM46" s="5">
        <f t="shared" si="120"/>
        <v>0</v>
      </c>
      <c r="AN46" s="5">
        <f t="shared" si="120"/>
        <v>0</v>
      </c>
      <c r="AO46" s="5">
        <f t="shared" si="120"/>
        <v>0</v>
      </c>
      <c r="AP46" s="5">
        <f t="shared" si="120"/>
        <v>0</v>
      </c>
      <c r="AQ46" s="5">
        <f t="shared" si="120"/>
        <v>0</v>
      </c>
      <c r="AR46" s="5">
        <f t="shared" si="120"/>
        <v>0</v>
      </c>
      <c r="AS46" s="5">
        <f t="shared" si="120"/>
        <v>0</v>
      </c>
      <c r="AT46" s="5">
        <f t="shared" si="120"/>
        <v>0</v>
      </c>
      <c r="AU46" s="292">
        <f>SUM(AU41:AU45)</f>
        <v>893398.31578800001</v>
      </c>
      <c r="AV46" s="172"/>
    </row>
    <row r="47" spans="2:109" x14ac:dyDescent="0.35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160</v>
      </c>
      <c r="C48" s="77"/>
      <c r="D48" s="77"/>
      <c r="E48" s="77"/>
      <c r="F48" s="77"/>
      <c r="G48" s="77"/>
      <c r="H48" s="77"/>
      <c r="I48" s="77"/>
    </row>
    <row r="49" spans="2:18" x14ac:dyDescent="0.35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</row>
    <row r="50" spans="2:18" x14ac:dyDescent="0.35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</row>
    <row r="51" spans="2:18" x14ac:dyDescent="0.35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</row>
    <row r="52" spans="2:18" x14ac:dyDescent="0.35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</row>
    <row r="53" spans="2:18" x14ac:dyDescent="0.35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</row>
    <row r="54" spans="2:18" x14ac:dyDescent="0.35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18" x14ac:dyDescent="0.35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18" x14ac:dyDescent="0.35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18" x14ac:dyDescent="0.35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18" x14ac:dyDescent="0.35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18" x14ac:dyDescent="0.35">
      <c r="C61" s="386" t="s">
        <v>29</v>
      </c>
      <c r="D61" s="387"/>
      <c r="E61" s="387"/>
      <c r="F61" s="387"/>
      <c r="G61" s="387"/>
      <c r="H61" s="388"/>
      <c r="I61" s="386" t="s">
        <v>124</v>
      </c>
      <c r="J61" s="387"/>
      <c r="K61" s="387"/>
      <c r="L61" s="387"/>
      <c r="M61" s="387"/>
      <c r="N61" s="387"/>
      <c r="O61" s="387"/>
      <c r="P61" s="387"/>
      <c r="Q61" s="387"/>
      <c r="R61" s="388"/>
    </row>
    <row r="62" spans="2:18" x14ac:dyDescent="0.35">
      <c r="C62" s="374" t="str">
        <f>BQ5</f>
        <v>Bactériosol concentré</v>
      </c>
      <c r="D62" s="374" t="str">
        <f>BT5</f>
        <v>Bactériolit concentré</v>
      </c>
      <c r="E62" s="374" t="str">
        <f>BW5</f>
        <v>Quaterna Plant</v>
      </c>
      <c r="F62" s="374">
        <f>BZ5</f>
        <v>0</v>
      </c>
      <c r="G62" s="374">
        <f>CC5</f>
        <v>0</v>
      </c>
      <c r="H62" s="374">
        <f>CF5</f>
        <v>0</v>
      </c>
      <c r="I62" s="377" t="s">
        <v>50</v>
      </c>
      <c r="J62" s="377" t="s">
        <v>51</v>
      </c>
      <c r="K62" s="377" t="s">
        <v>52</v>
      </c>
      <c r="L62" s="383" t="s">
        <v>53</v>
      </c>
      <c r="M62" s="383" t="s">
        <v>54</v>
      </c>
      <c r="N62" s="383" t="s">
        <v>55</v>
      </c>
      <c r="O62" s="383" t="s">
        <v>56</v>
      </c>
      <c r="P62" s="383" t="s">
        <v>57</v>
      </c>
      <c r="Q62" s="383" t="s">
        <v>58</v>
      </c>
      <c r="R62" s="383" t="s">
        <v>59</v>
      </c>
    </row>
    <row r="63" spans="2:18" x14ac:dyDescent="0.35">
      <c r="C63" s="375"/>
      <c r="D63" s="375"/>
      <c r="E63" s="375"/>
      <c r="F63" s="375"/>
      <c r="G63" s="375"/>
      <c r="H63" s="375"/>
      <c r="I63" s="378"/>
      <c r="J63" s="378"/>
      <c r="K63" s="378"/>
      <c r="L63" s="384"/>
      <c r="M63" s="384"/>
      <c r="N63" s="384"/>
      <c r="O63" s="384"/>
      <c r="P63" s="384"/>
      <c r="Q63" s="384"/>
      <c r="R63" s="384"/>
    </row>
    <row r="64" spans="2:18" ht="22.9" customHeight="1" x14ac:dyDescent="0.35">
      <c r="C64" s="376"/>
      <c r="D64" s="376"/>
      <c r="E64" s="376"/>
      <c r="F64" s="376"/>
      <c r="G64" s="376"/>
      <c r="H64" s="376"/>
      <c r="I64" s="378"/>
      <c r="J64" s="378"/>
      <c r="K64" s="378"/>
      <c r="L64" s="384"/>
      <c r="M64" s="384"/>
      <c r="N64" s="384"/>
      <c r="O64" s="384"/>
      <c r="P64" s="384"/>
      <c r="Q64" s="384"/>
      <c r="R64" s="384"/>
    </row>
    <row r="65" spans="2:27" x14ac:dyDescent="0.35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35">
      <c r="U69" s="172"/>
      <c r="V69" s="172"/>
      <c r="W69" s="172"/>
      <c r="X69" s="172"/>
      <c r="Y69" s="172"/>
      <c r="Z69" s="172"/>
      <c r="AA69" s="172"/>
    </row>
    <row r="70" spans="2:27" x14ac:dyDescent="0.35">
      <c r="U70" s="172"/>
      <c r="V70" s="172"/>
      <c r="W70" s="172"/>
      <c r="X70" s="172"/>
      <c r="Y70" s="172"/>
      <c r="Z70" s="172"/>
      <c r="AA70" s="172"/>
    </row>
    <row r="71" spans="2:27" x14ac:dyDescent="0.35">
      <c r="U71" s="172"/>
      <c r="V71" s="172"/>
      <c r="W71" s="172"/>
      <c r="X71" s="172"/>
      <c r="Y71" s="172"/>
      <c r="Z71" s="172"/>
      <c r="AA71" s="172"/>
    </row>
    <row r="72" spans="2:27" x14ac:dyDescent="0.35">
      <c r="U72" s="172"/>
      <c r="V72" s="172"/>
      <c r="W72" s="172"/>
      <c r="X72" s="172"/>
      <c r="Y72" s="172"/>
      <c r="Z72" s="172"/>
      <c r="AA72" s="172"/>
    </row>
    <row r="73" spans="2:27" x14ac:dyDescent="0.35">
      <c r="E73" s="170"/>
      <c r="U73" s="172"/>
      <c r="V73" s="172"/>
      <c r="W73" s="172"/>
      <c r="X73" s="172"/>
      <c r="Y73" s="172"/>
      <c r="Z73" s="172"/>
      <c r="AA73" s="172"/>
    </row>
    <row r="74" spans="2:27" x14ac:dyDescent="0.35">
      <c r="L74" s="170"/>
      <c r="U74" s="172"/>
      <c r="V74" s="172"/>
      <c r="W74" s="172"/>
      <c r="X74" s="172"/>
      <c r="Y74" s="172"/>
      <c r="Z74" s="172"/>
      <c r="AA74" s="172"/>
    </row>
    <row r="75" spans="2:27" x14ac:dyDescent="0.35">
      <c r="E75" s="170"/>
      <c r="U75" s="172"/>
      <c r="V75" s="172"/>
      <c r="W75" s="172"/>
      <c r="X75" s="172"/>
      <c r="Y75" s="172"/>
      <c r="Z75" s="172"/>
      <c r="AA75" s="172"/>
    </row>
    <row r="76" spans="2:27" x14ac:dyDescent="0.35">
      <c r="U76" s="172"/>
      <c r="V76" s="172"/>
      <c r="W76" s="172"/>
      <c r="X76" s="172"/>
      <c r="Y76" s="172"/>
      <c r="Z76" s="172"/>
      <c r="AA76" s="172"/>
    </row>
    <row r="77" spans="2:27" x14ac:dyDescent="0.35">
      <c r="E77" s="170"/>
      <c r="U77" s="172"/>
      <c r="V77" s="172"/>
      <c r="W77" s="172"/>
      <c r="X77" s="172"/>
      <c r="Y77" s="172"/>
      <c r="Z77" s="172"/>
      <c r="AA77" s="172"/>
    </row>
    <row r="78" spans="2:27" x14ac:dyDescent="0.35">
      <c r="U78" s="172"/>
      <c r="V78" s="172"/>
      <c r="W78" s="172"/>
      <c r="X78" s="172"/>
      <c r="Y78" s="172"/>
      <c r="Z78" s="172"/>
      <c r="AA78" s="172"/>
    </row>
    <row r="79" spans="2:27" x14ac:dyDescent="0.35">
      <c r="U79" s="172"/>
      <c r="V79" s="172"/>
      <c r="W79" s="172"/>
      <c r="X79" s="172"/>
      <c r="Y79" s="172"/>
      <c r="Z79" s="172"/>
      <c r="AA79" s="172"/>
    </row>
    <row r="80" spans="2:27" x14ac:dyDescent="0.35">
      <c r="U80" s="172"/>
      <c r="V80" s="172"/>
      <c r="W80" s="172"/>
      <c r="X80" s="172"/>
      <c r="Y80" s="172"/>
      <c r="Z80" s="172"/>
      <c r="AA80" s="172"/>
    </row>
    <row r="81" spans="21:27" x14ac:dyDescent="0.35">
      <c r="U81" s="172"/>
      <c r="V81" s="172"/>
      <c r="W81" s="172"/>
      <c r="X81" s="172"/>
      <c r="Y81" s="172"/>
      <c r="Z81" s="172"/>
      <c r="AA81" s="172"/>
    </row>
    <row r="82" spans="21:27" x14ac:dyDescent="0.35">
      <c r="U82" s="172"/>
      <c r="V82" s="172"/>
      <c r="W82" s="172"/>
      <c r="X82" s="172"/>
      <c r="Y82" s="172"/>
      <c r="Z82" s="172"/>
      <c r="AA82" s="172"/>
    </row>
    <row r="83" spans="21:27" x14ac:dyDescent="0.35">
      <c r="U83" s="172"/>
      <c r="V83" s="172"/>
      <c r="W83" s="172"/>
      <c r="X83" s="172"/>
      <c r="Y83" s="172"/>
      <c r="Z83" s="172"/>
      <c r="AA83" s="172"/>
    </row>
    <row r="84" spans="21:27" x14ac:dyDescent="0.35">
      <c r="U84" s="172"/>
      <c r="V84" s="172"/>
      <c r="W84" s="172"/>
      <c r="X84" s="172"/>
      <c r="Y84" s="172"/>
      <c r="Z84" s="172"/>
      <c r="AA84" s="172"/>
    </row>
    <row r="85" spans="21:27" x14ac:dyDescent="0.35">
      <c r="U85" s="172"/>
      <c r="V85" s="172"/>
      <c r="W85" s="172"/>
      <c r="X85" s="172"/>
      <c r="Y85" s="172"/>
      <c r="Z85" s="172"/>
      <c r="AA85" s="172"/>
    </row>
    <row r="86" spans="21:27" x14ac:dyDescent="0.35">
      <c r="U86" s="172"/>
      <c r="V86" s="172"/>
      <c r="W86" s="172"/>
      <c r="X86" s="172"/>
      <c r="Y86" s="172"/>
      <c r="Z86" s="172"/>
      <c r="AA86" s="172"/>
    </row>
    <row r="87" spans="21:27" x14ac:dyDescent="0.35">
      <c r="U87" s="172"/>
      <c r="V87" s="172"/>
      <c r="W87" s="172"/>
      <c r="X87" s="172"/>
      <c r="Y87" s="172"/>
      <c r="Z87" s="172"/>
      <c r="AA87" s="172"/>
    </row>
  </sheetData>
  <mergeCells count="231">
    <mergeCell ref="BT5:BV5"/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  <mergeCell ref="BJ17:BL17"/>
    <mergeCell ref="BN5:BP5"/>
    <mergeCell ref="AY5:BA5"/>
    <mergeCell ref="BE19:BE23"/>
    <mergeCell ref="AT19:AT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EG15:EH17"/>
    <mergeCell ref="EH19:EH23"/>
    <mergeCell ref="CF5:CH5"/>
    <mergeCell ref="BZ5:CB5"/>
    <mergeCell ref="CC5:CE5"/>
    <mergeCell ref="BA19:BA23"/>
    <mergeCell ref="BB16:BH16"/>
    <mergeCell ref="BB17:BB18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BQ5:BS5"/>
    <mergeCell ref="BW5:BY5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A1:EH65"/>
  <sheetViews>
    <sheetView zoomScale="71" zoomScaleNormal="40" workbookViewId="0">
      <pane xSplit="2" topLeftCell="C1" activePane="topRight" state="frozenSplit"/>
      <selection pane="topRight" activeCell="AX53" sqref="AX53"/>
    </sheetView>
  </sheetViews>
  <sheetFormatPr baseColWidth="10" defaultColWidth="11.453125" defaultRowHeight="14.5" x14ac:dyDescent="0.35"/>
  <cols>
    <col min="53" max="53" width="21" customWidth="1"/>
    <col min="54" max="54" width="19" bestFit="1" customWidth="1"/>
  </cols>
  <sheetData>
    <row r="1" spans="1:138" ht="15" customHeight="1" x14ac:dyDescent="0.35">
      <c r="A1" s="7"/>
      <c r="B1" s="403" t="s">
        <v>172</v>
      </c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</row>
    <row r="2" spans="1:138" ht="15" customHeight="1" x14ac:dyDescent="0.35"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  <c r="AG2" s="403"/>
      <c r="AH2" s="403"/>
      <c r="AI2" s="403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T2" s="40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</row>
    <row r="3" spans="1:138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05"/>
      <c r="BQ3" s="405"/>
      <c r="BR3" s="405"/>
      <c r="BS3" s="405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405"/>
      <c r="CK3" s="405"/>
      <c r="CL3" s="405"/>
      <c r="CM3" s="405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8" ht="15" customHeight="1" x14ac:dyDescent="0.75">
      <c r="B4" s="12"/>
      <c r="C4" s="391" t="s">
        <v>24</v>
      </c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92"/>
      <c r="AF4" s="393"/>
      <c r="AG4" s="391" t="s">
        <v>25</v>
      </c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3"/>
      <c r="AV4" s="391" t="s">
        <v>26</v>
      </c>
      <c r="AW4" s="392"/>
      <c r="AX4" s="450"/>
      <c r="AY4" s="404" t="s">
        <v>26</v>
      </c>
      <c r="AZ4" s="392"/>
      <c r="BA4" s="393"/>
      <c r="BB4" s="456" t="s">
        <v>27</v>
      </c>
      <c r="BC4" s="457"/>
      <c r="BD4" s="458"/>
      <c r="BE4" s="453" t="s">
        <v>28</v>
      </c>
      <c r="BF4" s="454"/>
      <c r="BG4" s="454"/>
      <c r="BH4" s="454"/>
      <c r="BI4" s="454"/>
      <c r="BJ4" s="454"/>
      <c r="BK4" s="454"/>
      <c r="BL4" s="454"/>
      <c r="BM4" s="454"/>
      <c r="BN4" s="454"/>
      <c r="BO4" s="454"/>
      <c r="BP4" s="455"/>
      <c r="BQ4" s="459" t="s">
        <v>29</v>
      </c>
      <c r="BR4" s="420"/>
      <c r="BS4" s="420"/>
      <c r="BT4" s="420"/>
      <c r="BU4" s="420"/>
      <c r="BV4" s="420"/>
      <c r="BW4" s="420"/>
      <c r="BX4" s="420"/>
      <c r="BY4" s="420"/>
      <c r="BZ4" s="420"/>
      <c r="CA4" s="420"/>
      <c r="CB4" s="420"/>
      <c r="CC4" s="420"/>
      <c r="CD4" s="420"/>
      <c r="CE4" s="420"/>
      <c r="CF4" s="420"/>
      <c r="CG4" s="420"/>
      <c r="CH4" s="421"/>
      <c r="CI4" s="459" t="s">
        <v>29</v>
      </c>
      <c r="CJ4" s="420"/>
      <c r="CK4" s="420"/>
      <c r="CL4" s="420"/>
      <c r="CM4" s="420"/>
      <c r="CN4" s="420"/>
      <c r="CO4" s="420"/>
      <c r="CP4" s="420"/>
      <c r="CQ4" s="420"/>
      <c r="CR4" s="420"/>
      <c r="CS4" s="420"/>
      <c r="CT4" s="420"/>
      <c r="CU4" s="420"/>
      <c r="CV4" s="420"/>
      <c r="CW4" s="420"/>
      <c r="CX4" s="420"/>
      <c r="CY4" s="420"/>
      <c r="CZ4" s="420"/>
      <c r="DA4" s="420"/>
      <c r="DB4" s="420"/>
      <c r="DC4" s="420"/>
      <c r="DD4" s="420"/>
      <c r="DE4" s="420"/>
      <c r="DF4" s="420"/>
      <c r="DG4" s="420"/>
      <c r="DH4" s="420"/>
      <c r="DI4" s="420"/>
      <c r="DJ4" s="420"/>
      <c r="DK4" s="420"/>
      <c r="DL4" s="421"/>
    </row>
    <row r="5" spans="1:138" s="67" customFormat="1" ht="30" customHeight="1" x14ac:dyDescent="0.35">
      <c r="B5" s="68"/>
      <c r="C5" s="367" t="s">
        <v>30</v>
      </c>
      <c r="D5" s="366"/>
      <c r="E5" s="366"/>
      <c r="F5" s="366" t="s">
        <v>31</v>
      </c>
      <c r="G5" s="366"/>
      <c r="H5" s="366"/>
      <c r="I5" s="366" t="s">
        <v>32</v>
      </c>
      <c r="J5" s="366"/>
      <c r="K5" s="366"/>
      <c r="L5" s="366" t="s">
        <v>33</v>
      </c>
      <c r="M5" s="366"/>
      <c r="N5" s="366"/>
      <c r="O5" s="366" t="s">
        <v>34</v>
      </c>
      <c r="P5" s="366"/>
      <c r="Q5" s="366"/>
      <c r="R5" s="366" t="s">
        <v>272</v>
      </c>
      <c r="S5" s="366"/>
      <c r="T5" s="366"/>
      <c r="U5" s="366" t="s">
        <v>36</v>
      </c>
      <c r="V5" s="366"/>
      <c r="W5" s="366"/>
      <c r="X5" s="366" t="s">
        <v>37</v>
      </c>
      <c r="Y5" s="366"/>
      <c r="Z5" s="366"/>
      <c r="AA5" s="366" t="s">
        <v>38</v>
      </c>
      <c r="AB5" s="366"/>
      <c r="AC5" s="366"/>
      <c r="AD5" s="366" t="s">
        <v>39</v>
      </c>
      <c r="AE5" s="366"/>
      <c r="AF5" s="406"/>
      <c r="AG5" s="367" t="s">
        <v>40</v>
      </c>
      <c r="AH5" s="366"/>
      <c r="AI5" s="366"/>
      <c r="AJ5" s="394" t="s">
        <v>41</v>
      </c>
      <c r="AK5" s="395"/>
      <c r="AL5" s="396"/>
      <c r="AM5" s="366" t="s">
        <v>42</v>
      </c>
      <c r="AN5" s="366"/>
      <c r="AO5" s="366"/>
      <c r="AP5" s="366" t="s">
        <v>43</v>
      </c>
      <c r="AQ5" s="366"/>
      <c r="AR5" s="366"/>
      <c r="AS5" s="366" t="s">
        <v>274</v>
      </c>
      <c r="AT5" s="366"/>
      <c r="AU5" s="406"/>
      <c r="AV5" s="367" t="s">
        <v>44</v>
      </c>
      <c r="AW5" s="366"/>
      <c r="AX5" s="366"/>
      <c r="AY5" s="366" t="s">
        <v>276</v>
      </c>
      <c r="AZ5" s="366"/>
      <c r="BA5" s="406"/>
      <c r="BB5" s="380" t="s">
        <v>273</v>
      </c>
      <c r="BC5" s="381"/>
      <c r="BD5" s="382"/>
      <c r="BE5" s="451" t="s">
        <v>45</v>
      </c>
      <c r="BF5" s="452"/>
      <c r="BG5" s="452"/>
      <c r="BH5" s="452" t="s">
        <v>46</v>
      </c>
      <c r="BI5" s="452"/>
      <c r="BJ5" s="452"/>
      <c r="BK5" s="452" t="s">
        <v>47</v>
      </c>
      <c r="BL5" s="452"/>
      <c r="BM5" s="452"/>
      <c r="BN5" s="452" t="s">
        <v>48</v>
      </c>
      <c r="BO5" s="452"/>
      <c r="BP5" s="488"/>
      <c r="BQ5" s="485" t="s">
        <v>277</v>
      </c>
      <c r="BR5" s="449"/>
      <c r="BS5" s="449"/>
      <c r="BT5" s="449" t="s">
        <v>278</v>
      </c>
      <c r="BU5" s="449"/>
      <c r="BV5" s="449"/>
      <c r="BW5" s="493"/>
      <c r="BX5" s="493"/>
      <c r="BY5" s="493"/>
      <c r="BZ5" s="493"/>
      <c r="CA5" s="493"/>
      <c r="CB5" s="493"/>
      <c r="CC5" s="493"/>
      <c r="CD5" s="493"/>
      <c r="CE5" s="493"/>
      <c r="CF5" s="493"/>
      <c r="CG5" s="493"/>
      <c r="CH5" s="494"/>
      <c r="CI5" s="492" t="s">
        <v>50</v>
      </c>
      <c r="CJ5" s="422"/>
      <c r="CK5" s="422"/>
      <c r="CL5" s="422" t="s">
        <v>51</v>
      </c>
      <c r="CM5" s="422"/>
      <c r="CN5" s="422"/>
      <c r="CO5" s="422" t="s">
        <v>52</v>
      </c>
      <c r="CP5" s="422"/>
      <c r="CQ5" s="422"/>
      <c r="CR5" s="422" t="s">
        <v>53</v>
      </c>
      <c r="CS5" s="422"/>
      <c r="CT5" s="422"/>
      <c r="CU5" s="422" t="s">
        <v>54</v>
      </c>
      <c r="CV5" s="422"/>
      <c r="CW5" s="422"/>
      <c r="CX5" s="423" t="s">
        <v>55</v>
      </c>
      <c r="CY5" s="423"/>
      <c r="CZ5" s="423"/>
      <c r="DA5" s="422" t="s">
        <v>56</v>
      </c>
      <c r="DB5" s="422"/>
      <c r="DC5" s="422"/>
      <c r="DD5" s="422" t="s">
        <v>57</v>
      </c>
      <c r="DE5" s="422"/>
      <c r="DF5" s="422"/>
      <c r="DG5" s="423" t="s">
        <v>58</v>
      </c>
      <c r="DH5" s="423"/>
      <c r="DI5" s="423"/>
      <c r="DJ5" s="422" t="s">
        <v>59</v>
      </c>
      <c r="DK5" s="422"/>
      <c r="DL5" s="424"/>
    </row>
    <row r="6" spans="1:138" ht="33.75" customHeight="1" x14ac:dyDescent="0.35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21" t="s">
        <v>62</v>
      </c>
      <c r="CI6" s="20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</row>
    <row r="7" spans="1:138" x14ac:dyDescent="0.35">
      <c r="B7" s="27" t="s">
        <v>173</v>
      </c>
      <c r="C7" s="168"/>
      <c r="D7" s="112"/>
      <c r="E7" s="112"/>
      <c r="F7" s="226"/>
      <c r="G7" s="112"/>
      <c r="H7" s="112"/>
      <c r="I7" s="305">
        <v>25580</v>
      </c>
      <c r="J7" s="112"/>
      <c r="K7" s="112"/>
      <c r="L7" s="226"/>
      <c r="M7" s="112"/>
      <c r="N7" s="112"/>
      <c r="O7" s="226"/>
      <c r="P7" s="112"/>
      <c r="Q7" s="112"/>
      <c r="R7" s="305">
        <v>29380</v>
      </c>
      <c r="S7" s="112"/>
      <c r="T7" s="112"/>
      <c r="U7" s="226"/>
      <c r="V7" s="112"/>
      <c r="W7" s="112"/>
      <c r="X7" s="226"/>
      <c r="Y7" s="112"/>
      <c r="Z7" s="112"/>
      <c r="AA7" s="226"/>
      <c r="AB7" s="112"/>
      <c r="AC7" s="112"/>
      <c r="AD7" s="226"/>
      <c r="AE7" s="112"/>
      <c r="AF7" s="113"/>
      <c r="AG7" s="168"/>
      <c r="AH7" s="112"/>
      <c r="AI7" s="112"/>
      <c r="AJ7" s="226"/>
      <c r="AK7" s="112"/>
      <c r="AL7" s="112"/>
      <c r="AM7" s="226"/>
      <c r="AN7" s="112"/>
      <c r="AO7" s="112"/>
      <c r="AP7" s="226"/>
      <c r="AQ7" s="112"/>
      <c r="AR7" s="112"/>
      <c r="AS7" s="226"/>
      <c r="AT7" s="112"/>
      <c r="AU7" s="113"/>
      <c r="AV7" s="168"/>
      <c r="AW7" s="112"/>
      <c r="AX7" s="112"/>
      <c r="AY7" s="226"/>
      <c r="AZ7" s="112"/>
      <c r="BA7" s="113"/>
      <c r="BB7" s="111">
        <v>400</v>
      </c>
      <c r="BC7" s="112"/>
      <c r="BD7" s="113"/>
      <c r="BE7" s="111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3"/>
      <c r="BQ7" s="111">
        <v>12000</v>
      </c>
      <c r="BR7" s="112"/>
      <c r="BS7" s="112"/>
      <c r="BT7" s="112">
        <v>5000</v>
      </c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3"/>
      <c r="CI7" s="111"/>
      <c r="CJ7" s="112"/>
      <c r="CK7" s="112"/>
      <c r="CL7" s="112"/>
      <c r="CM7" s="112"/>
      <c r="CN7" s="112"/>
      <c r="CO7" s="226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3"/>
    </row>
    <row r="8" spans="1:138" x14ac:dyDescent="0.35">
      <c r="B8" s="27" t="s">
        <v>174</v>
      </c>
      <c r="C8" s="168"/>
      <c r="D8" s="112"/>
      <c r="E8" s="112"/>
      <c r="F8" s="226"/>
      <c r="G8" s="112"/>
      <c r="H8" s="112"/>
      <c r="I8" s="305">
        <v>25580</v>
      </c>
      <c r="J8" s="112"/>
      <c r="K8" s="112"/>
      <c r="L8" s="226"/>
      <c r="M8" s="112"/>
      <c r="N8" s="112"/>
      <c r="O8" s="226"/>
      <c r="P8" s="112"/>
      <c r="Q8" s="112"/>
      <c r="R8" s="305">
        <v>29380</v>
      </c>
      <c r="S8" s="112"/>
      <c r="T8" s="112"/>
      <c r="U8" s="226"/>
      <c r="V8" s="112"/>
      <c r="W8" s="112"/>
      <c r="X8" s="226"/>
      <c r="Y8" s="112"/>
      <c r="Z8" s="112"/>
      <c r="AA8" s="226"/>
      <c r="AB8" s="112"/>
      <c r="AC8" s="112"/>
      <c r="AD8" s="226"/>
      <c r="AE8" s="112"/>
      <c r="AF8" s="113"/>
      <c r="AG8" s="168"/>
      <c r="AH8" s="112"/>
      <c r="AI8" s="112"/>
      <c r="AJ8" s="226"/>
      <c r="AK8" s="112"/>
      <c r="AL8" s="112"/>
      <c r="AM8" s="226"/>
      <c r="AN8" s="112"/>
      <c r="AO8" s="112"/>
      <c r="AP8" s="226"/>
      <c r="AQ8" s="112"/>
      <c r="AR8" s="112"/>
      <c r="AS8" s="226"/>
      <c r="AT8" s="112"/>
      <c r="AU8" s="113"/>
      <c r="AV8" s="168"/>
      <c r="AW8" s="112"/>
      <c r="AX8" s="112"/>
      <c r="AY8" s="226"/>
      <c r="AZ8" s="112"/>
      <c r="BA8" s="113"/>
      <c r="BB8" s="111">
        <v>400</v>
      </c>
      <c r="BC8" s="112"/>
      <c r="BD8" s="113"/>
      <c r="BE8" s="111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3"/>
      <c r="BQ8" s="111">
        <v>12000</v>
      </c>
      <c r="BR8" s="112"/>
      <c r="BS8" s="112"/>
      <c r="BT8" s="112">
        <v>5000</v>
      </c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3"/>
      <c r="CI8" s="111"/>
      <c r="CJ8" s="112"/>
      <c r="CK8" s="112"/>
      <c r="CL8" s="112"/>
      <c r="CM8" s="112"/>
      <c r="CN8" s="112"/>
      <c r="CO8" s="226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</row>
    <row r="9" spans="1:138" x14ac:dyDescent="0.35">
      <c r="B9" s="27" t="s">
        <v>175</v>
      </c>
      <c r="C9" s="168"/>
      <c r="D9" s="112"/>
      <c r="E9" s="112"/>
      <c r="F9" s="226"/>
      <c r="G9" s="112"/>
      <c r="H9" s="112"/>
      <c r="I9" s="305">
        <v>25580</v>
      </c>
      <c r="J9" s="112"/>
      <c r="K9" s="112"/>
      <c r="L9" s="226"/>
      <c r="M9" s="112"/>
      <c r="N9" s="112"/>
      <c r="O9" s="226"/>
      <c r="P9" s="112"/>
      <c r="Q9" s="112"/>
      <c r="R9" s="305">
        <v>29380</v>
      </c>
      <c r="S9" s="112"/>
      <c r="T9" s="112"/>
      <c r="U9" s="226"/>
      <c r="V9" s="112"/>
      <c r="W9" s="112"/>
      <c r="X9" s="226"/>
      <c r="Y9" s="112"/>
      <c r="Z9" s="112"/>
      <c r="AA9" s="226"/>
      <c r="AB9" s="112"/>
      <c r="AC9" s="112"/>
      <c r="AD9" s="226"/>
      <c r="AE9" s="112"/>
      <c r="AF9" s="113"/>
      <c r="AG9" s="168"/>
      <c r="AH9" s="112"/>
      <c r="AI9" s="112"/>
      <c r="AJ9" s="226"/>
      <c r="AK9" s="112"/>
      <c r="AL9" s="112"/>
      <c r="AM9" s="226"/>
      <c r="AN9" s="112"/>
      <c r="AO9" s="112"/>
      <c r="AP9" s="226"/>
      <c r="AQ9" s="112"/>
      <c r="AR9" s="112"/>
      <c r="AS9" s="226"/>
      <c r="AT9" s="112"/>
      <c r="AU9" s="113"/>
      <c r="AV9" s="168"/>
      <c r="AW9" s="112"/>
      <c r="AX9" s="112"/>
      <c r="AY9" s="226"/>
      <c r="AZ9" s="112"/>
      <c r="BA9" s="113"/>
      <c r="BB9" s="111">
        <v>400</v>
      </c>
      <c r="BC9" s="112"/>
      <c r="BD9" s="113"/>
      <c r="BE9" s="111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3"/>
      <c r="BQ9" s="111">
        <v>12000</v>
      </c>
      <c r="BR9" s="112"/>
      <c r="BS9" s="112"/>
      <c r="BT9" s="112">
        <v>5000</v>
      </c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3"/>
      <c r="CI9" s="111"/>
      <c r="CJ9" s="112"/>
      <c r="CK9" s="112"/>
      <c r="CL9" s="112"/>
      <c r="CM9" s="112"/>
      <c r="CN9" s="112"/>
      <c r="CO9" s="226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</row>
    <row r="10" spans="1:138" x14ac:dyDescent="0.35">
      <c r="B10" s="27" t="s">
        <v>176</v>
      </c>
      <c r="C10" s="168"/>
      <c r="D10" s="112"/>
      <c r="E10" s="112"/>
      <c r="F10" s="226"/>
      <c r="G10" s="112"/>
      <c r="H10" s="112"/>
      <c r="I10" s="305">
        <v>25580</v>
      </c>
      <c r="J10" s="112"/>
      <c r="K10" s="112"/>
      <c r="L10" s="226"/>
      <c r="M10" s="112"/>
      <c r="N10" s="112"/>
      <c r="O10" s="226"/>
      <c r="P10" s="112"/>
      <c r="Q10" s="112"/>
      <c r="R10" s="305">
        <v>29380</v>
      </c>
      <c r="S10" s="112"/>
      <c r="T10" s="112"/>
      <c r="U10" s="226"/>
      <c r="V10" s="112"/>
      <c r="W10" s="112"/>
      <c r="X10" s="226"/>
      <c r="Y10" s="112"/>
      <c r="Z10" s="112"/>
      <c r="AA10" s="226"/>
      <c r="AB10" s="112"/>
      <c r="AC10" s="112"/>
      <c r="AD10" s="226"/>
      <c r="AE10" s="112"/>
      <c r="AF10" s="113"/>
      <c r="AG10" s="168"/>
      <c r="AH10" s="112"/>
      <c r="AI10" s="112"/>
      <c r="AJ10" s="226"/>
      <c r="AK10" s="112"/>
      <c r="AL10" s="112"/>
      <c r="AM10" s="226"/>
      <c r="AN10" s="112"/>
      <c r="AO10" s="112"/>
      <c r="AP10" s="226"/>
      <c r="AQ10" s="112"/>
      <c r="AR10" s="112"/>
      <c r="AS10" s="226"/>
      <c r="AT10" s="112"/>
      <c r="AU10" s="113"/>
      <c r="AV10" s="168"/>
      <c r="AW10" s="112"/>
      <c r="AX10" s="112"/>
      <c r="AY10" s="226"/>
      <c r="AZ10" s="112"/>
      <c r="BA10" s="113"/>
      <c r="BB10" s="111">
        <v>400</v>
      </c>
      <c r="BC10" s="112"/>
      <c r="BD10" s="113"/>
      <c r="BE10" s="111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3"/>
      <c r="BQ10" s="111">
        <v>12000</v>
      </c>
      <c r="BR10" s="112"/>
      <c r="BS10" s="112"/>
      <c r="BT10" s="112">
        <v>5000</v>
      </c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3"/>
      <c r="CI10" s="111"/>
      <c r="CJ10" s="112"/>
      <c r="CK10" s="112"/>
      <c r="CL10" s="112"/>
      <c r="CM10" s="112"/>
      <c r="CN10" s="112"/>
      <c r="CO10" s="226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</row>
    <row r="11" spans="1:138" ht="15" customHeight="1" thickBot="1" x14ac:dyDescent="0.4">
      <c r="B11" s="27" t="s">
        <v>177</v>
      </c>
      <c r="C11" s="229"/>
      <c r="D11" s="116"/>
      <c r="E11" s="116"/>
      <c r="F11" s="116"/>
      <c r="G11" s="116"/>
      <c r="H11" s="116"/>
      <c r="I11" s="306">
        <v>25580</v>
      </c>
      <c r="J11" s="116"/>
      <c r="K11" s="116"/>
      <c r="L11" s="116"/>
      <c r="M11" s="116"/>
      <c r="N11" s="116"/>
      <c r="O11" s="116"/>
      <c r="P11" s="116"/>
      <c r="Q11" s="116"/>
      <c r="R11" s="306">
        <v>29380</v>
      </c>
      <c r="S11" s="116"/>
      <c r="T11" s="116"/>
      <c r="U11" s="230"/>
      <c r="V11" s="116"/>
      <c r="W11" s="116"/>
      <c r="X11" s="230"/>
      <c r="Y11" s="116"/>
      <c r="Z11" s="116"/>
      <c r="AA11" s="230"/>
      <c r="AB11" s="116"/>
      <c r="AC11" s="116"/>
      <c r="AD11" s="230"/>
      <c r="AE11" s="116"/>
      <c r="AF11" s="117"/>
      <c r="AG11" s="229"/>
      <c r="AH11" s="116"/>
      <c r="AI11" s="116"/>
      <c r="AJ11" s="230"/>
      <c r="AK11" s="116"/>
      <c r="AL11" s="116"/>
      <c r="AM11" s="230"/>
      <c r="AN11" s="116"/>
      <c r="AO11" s="116"/>
      <c r="AP11" s="230"/>
      <c r="AQ11" s="116"/>
      <c r="AR11" s="116"/>
      <c r="AS11" s="230"/>
      <c r="AT11" s="116"/>
      <c r="AU11" s="117"/>
      <c r="AV11" s="229"/>
      <c r="AW11" s="116"/>
      <c r="AX11" s="116"/>
      <c r="AY11" s="230"/>
      <c r="AZ11" s="116"/>
      <c r="BA11" s="117"/>
      <c r="BB11" s="111">
        <v>400</v>
      </c>
      <c r="BC11" s="116"/>
      <c r="BD11" s="117"/>
      <c r="BE11" s="115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7"/>
      <c r="BQ11" s="115">
        <v>12000</v>
      </c>
      <c r="BR11" s="116"/>
      <c r="BS11" s="116"/>
      <c r="BT11" s="116">
        <v>5000</v>
      </c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7"/>
      <c r="CI11" s="115"/>
      <c r="CJ11" s="116"/>
      <c r="CK11" s="116"/>
      <c r="CL11" s="116"/>
      <c r="CM11" s="116"/>
      <c r="CN11" s="116"/>
      <c r="CO11" s="230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</row>
    <row r="12" spans="1:138" x14ac:dyDescent="0.35">
      <c r="B12" s="183"/>
      <c r="C12" s="227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8"/>
      <c r="DE12" s="228"/>
      <c r="DF12" s="228"/>
      <c r="DG12" s="228"/>
      <c r="DH12" s="228"/>
      <c r="DI12" s="228"/>
      <c r="DJ12" s="228"/>
      <c r="DK12" s="228"/>
      <c r="DL12" s="228"/>
    </row>
    <row r="13" spans="1:138" ht="14.5" customHeight="1" x14ac:dyDescent="0.35">
      <c r="B13" s="425" t="s">
        <v>243</v>
      </c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6"/>
      <c r="AI13" s="426"/>
      <c r="AJ13" s="426"/>
      <c r="AK13" s="426"/>
      <c r="AL13" s="426"/>
      <c r="AM13" s="426"/>
      <c r="AN13" s="426"/>
      <c r="AO13" s="426"/>
      <c r="AP13" s="426"/>
      <c r="AQ13" s="426"/>
      <c r="AR13" s="426"/>
      <c r="AS13" s="426"/>
      <c r="AT13" s="426"/>
      <c r="AU13" s="426"/>
      <c r="AV13" s="426"/>
      <c r="AW13" s="426"/>
      <c r="AX13" s="426"/>
      <c r="AY13" s="426"/>
      <c r="AZ13" s="426"/>
      <c r="BA13" s="426"/>
      <c r="BB13" s="426"/>
      <c r="BC13" s="426"/>
      <c r="BD13" s="426"/>
      <c r="BE13" s="426"/>
      <c r="BF13" s="426"/>
      <c r="BG13" s="426"/>
      <c r="BH13" s="426"/>
      <c r="BI13" s="426"/>
      <c r="BJ13" s="426"/>
      <c r="BK13" s="426"/>
      <c r="BL13" s="426"/>
      <c r="BM13" s="426"/>
      <c r="BN13" s="426"/>
      <c r="BO13" s="426"/>
      <c r="BP13" s="426"/>
      <c r="BQ13" s="426"/>
      <c r="BR13" s="426"/>
      <c r="BS13" s="426"/>
      <c r="BT13" s="426"/>
      <c r="BU13" s="426"/>
      <c r="BV13" s="426"/>
      <c r="BW13" s="426"/>
      <c r="BX13" s="426"/>
      <c r="BY13" s="426"/>
      <c r="BZ13" s="426"/>
      <c r="CA13" s="426"/>
      <c r="CB13" s="426"/>
      <c r="CC13" s="426"/>
      <c r="CD13" s="426"/>
      <c r="CE13" s="426"/>
      <c r="CF13" s="426"/>
      <c r="CG13" s="426"/>
      <c r="CH13" s="426"/>
      <c r="CI13" s="426"/>
      <c r="CJ13" s="426"/>
      <c r="CK13" s="426"/>
      <c r="CL13" s="426"/>
      <c r="CM13" s="426"/>
      <c r="CN13" s="426"/>
      <c r="CO13" s="426"/>
      <c r="CP13" s="426"/>
      <c r="CQ13" s="426"/>
      <c r="CR13" s="426"/>
      <c r="CS13" s="426"/>
      <c r="CT13" s="426"/>
      <c r="CU13" s="426"/>
      <c r="CV13" s="426"/>
      <c r="CW13" s="426"/>
      <c r="CX13" s="426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</row>
    <row r="14" spans="1:138" ht="30" customHeight="1" thickBot="1" x14ac:dyDescent="0.4">
      <c r="B14" s="408"/>
      <c r="C14" s="427" t="s">
        <v>71</v>
      </c>
      <c r="D14" s="428"/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8"/>
      <c r="AD14" s="428"/>
      <c r="AE14" s="428"/>
      <c r="AF14" s="428"/>
      <c r="AG14" s="428"/>
      <c r="AH14" s="428"/>
      <c r="AI14" s="428"/>
      <c r="AJ14" s="428"/>
      <c r="AK14" s="428"/>
      <c r="AL14" s="428"/>
      <c r="AM14" s="428"/>
      <c r="AN14" s="428"/>
      <c r="AO14" s="428"/>
      <c r="AP14" s="428"/>
      <c r="AQ14" s="428"/>
      <c r="AR14" s="428"/>
      <c r="AS14" s="428"/>
      <c r="AT14" s="428"/>
      <c r="AU14" s="428"/>
      <c r="AV14" s="428"/>
      <c r="AW14" s="428"/>
      <c r="AX14" s="428"/>
      <c r="AY14" s="428"/>
      <c r="AZ14" s="428"/>
      <c r="BA14" s="428"/>
      <c r="BB14" s="428"/>
      <c r="BC14" s="428"/>
      <c r="BD14" s="428"/>
      <c r="BE14" s="428"/>
      <c r="BF14" s="428"/>
      <c r="BG14" s="428"/>
      <c r="BH14" s="428"/>
      <c r="BI14" s="428"/>
      <c r="BJ14" s="428"/>
      <c r="BK14" s="428"/>
      <c r="BL14" s="428"/>
      <c r="BM14" s="428"/>
      <c r="BN14" s="428"/>
      <c r="BO14" s="428"/>
      <c r="BP14" s="428"/>
      <c r="BQ14" s="428"/>
      <c r="BR14" s="429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52" t="s">
        <v>27</v>
      </c>
      <c r="CL14" s="353"/>
      <c r="CM14" s="349" t="s">
        <v>72</v>
      </c>
      <c r="CN14" s="350"/>
      <c r="CO14" s="350"/>
      <c r="CP14" s="350"/>
      <c r="CQ14" s="350"/>
      <c r="CR14" s="350"/>
      <c r="CS14" s="350"/>
      <c r="CT14" s="350"/>
      <c r="CU14" s="350"/>
      <c r="CV14" s="350"/>
      <c r="CW14" s="350"/>
      <c r="CX14" s="350"/>
      <c r="CY14" s="350"/>
      <c r="CZ14" s="350"/>
      <c r="DA14" s="350"/>
      <c r="DB14" s="351"/>
      <c r="DC14" s="320" t="s">
        <v>29</v>
      </c>
      <c r="DD14" s="321"/>
      <c r="DE14" s="321"/>
      <c r="DF14" s="321"/>
      <c r="DG14" s="321"/>
      <c r="DH14" s="321"/>
      <c r="DI14" s="321"/>
      <c r="DJ14" s="321"/>
      <c r="DK14" s="321"/>
      <c r="DL14" s="321"/>
      <c r="DM14" s="321"/>
      <c r="DN14" s="322"/>
      <c r="DO14" s="461" t="s">
        <v>29</v>
      </c>
      <c r="DP14" s="462"/>
      <c r="DQ14" s="462"/>
      <c r="DR14" s="462"/>
      <c r="DS14" s="462"/>
      <c r="DT14" s="462"/>
      <c r="DU14" s="462"/>
      <c r="DV14" s="462"/>
      <c r="DW14" s="462"/>
      <c r="DX14" s="462"/>
      <c r="DY14" s="462"/>
      <c r="DZ14" s="462"/>
      <c r="EA14" s="462"/>
      <c r="EB14" s="462"/>
      <c r="EC14" s="462"/>
      <c r="ED14" s="462"/>
      <c r="EE14" s="462"/>
      <c r="EF14" s="462"/>
      <c r="EG14" s="462"/>
      <c r="EH14" s="463"/>
    </row>
    <row r="15" spans="1:138" ht="15" customHeight="1" x14ac:dyDescent="0.35">
      <c r="B15" s="410"/>
      <c r="C15" s="391" t="s">
        <v>24</v>
      </c>
      <c r="D15" s="392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3"/>
      <c r="AQ15" s="357" t="s">
        <v>25</v>
      </c>
      <c r="AR15" s="358"/>
      <c r="AS15" s="358"/>
      <c r="AT15" s="358"/>
      <c r="AU15" s="358"/>
      <c r="AV15" s="358"/>
      <c r="AW15" s="358"/>
      <c r="AX15" s="358"/>
      <c r="AY15" s="358"/>
      <c r="AZ15" s="358"/>
      <c r="BA15" s="358"/>
      <c r="BB15" s="358"/>
      <c r="BC15" s="358"/>
      <c r="BD15" s="358"/>
      <c r="BE15" s="358"/>
      <c r="BF15" s="358"/>
      <c r="BG15" s="358"/>
      <c r="BH15" s="358"/>
      <c r="BI15" s="358"/>
      <c r="BJ15" s="358"/>
      <c r="BK15" s="358"/>
      <c r="BL15" s="358"/>
      <c r="BM15" s="358"/>
      <c r="BN15" s="358"/>
      <c r="BO15" s="358"/>
      <c r="BP15" s="359"/>
      <c r="BQ15" s="357" t="s">
        <v>26</v>
      </c>
      <c r="BR15" s="358"/>
      <c r="BS15" s="358"/>
      <c r="BT15" s="358"/>
      <c r="BU15" s="358"/>
      <c r="BV15" s="358"/>
      <c r="BW15" s="358"/>
      <c r="BX15" s="358"/>
      <c r="BY15" s="358"/>
      <c r="BZ15" s="358"/>
      <c r="CA15" s="358"/>
      <c r="CB15" s="358"/>
      <c r="CC15" s="358"/>
      <c r="CD15" s="358"/>
      <c r="CE15" s="358"/>
      <c r="CF15" s="358"/>
      <c r="CG15" s="358"/>
      <c r="CH15" s="358"/>
      <c r="CI15" s="358"/>
      <c r="CJ15" s="359"/>
      <c r="CK15" s="434" t="s">
        <v>73</v>
      </c>
      <c r="CL15" s="435"/>
      <c r="CM15" s="440" t="s">
        <v>74</v>
      </c>
      <c r="CN15" s="441"/>
      <c r="CO15" s="441"/>
      <c r="CP15" s="442"/>
      <c r="CQ15" s="340" t="s">
        <v>75</v>
      </c>
      <c r="CR15" s="341"/>
      <c r="CS15" s="341"/>
      <c r="CT15" s="431"/>
      <c r="CU15" s="340" t="s">
        <v>76</v>
      </c>
      <c r="CV15" s="341"/>
      <c r="CW15" s="341"/>
      <c r="CX15" s="431"/>
      <c r="CY15" s="340" t="s">
        <v>77</v>
      </c>
      <c r="CZ15" s="341"/>
      <c r="DA15" s="341"/>
      <c r="DB15" s="342"/>
      <c r="DC15" s="331" t="str">
        <f>BQ5</f>
        <v>Bactériosol concentré</v>
      </c>
      <c r="DD15" s="332"/>
      <c r="DE15" s="337" t="str">
        <f>BT5</f>
        <v>Bactériolit concentré</v>
      </c>
      <c r="DF15" s="332"/>
      <c r="DG15" s="337">
        <f>BW5</f>
        <v>0</v>
      </c>
      <c r="DH15" s="332"/>
      <c r="DI15" s="337">
        <f>BZ5</f>
        <v>0</v>
      </c>
      <c r="DJ15" s="332"/>
      <c r="DK15" s="337">
        <f>CC5</f>
        <v>0</v>
      </c>
      <c r="DL15" s="332"/>
      <c r="DM15" s="337">
        <f>CF5</f>
        <v>0</v>
      </c>
      <c r="DN15" s="495"/>
      <c r="DO15" s="498" t="s">
        <v>50</v>
      </c>
      <c r="DP15" s="465"/>
      <c r="DQ15" s="464" t="s">
        <v>51</v>
      </c>
      <c r="DR15" s="465"/>
      <c r="DS15" s="464" t="s">
        <v>52</v>
      </c>
      <c r="DT15" s="465"/>
      <c r="DU15" s="464" t="s">
        <v>53</v>
      </c>
      <c r="DV15" s="465"/>
      <c r="DW15" s="470" t="s">
        <v>54</v>
      </c>
      <c r="DX15" s="471"/>
      <c r="DY15" s="470" t="s">
        <v>55</v>
      </c>
      <c r="DZ15" s="471"/>
      <c r="EA15" s="464" t="s">
        <v>56</v>
      </c>
      <c r="EB15" s="465"/>
      <c r="EC15" s="464" t="s">
        <v>57</v>
      </c>
      <c r="ED15" s="465"/>
      <c r="EE15" s="476" t="s">
        <v>58</v>
      </c>
      <c r="EF15" s="477"/>
      <c r="EG15" s="464" t="s">
        <v>59</v>
      </c>
      <c r="EH15" s="482"/>
    </row>
    <row r="16" spans="1:138" x14ac:dyDescent="0.35">
      <c r="B16" s="410"/>
      <c r="C16" s="371" t="s">
        <v>78</v>
      </c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Z16" s="373"/>
      <c r="AA16" s="390" t="s">
        <v>79</v>
      </c>
      <c r="AB16" s="372"/>
      <c r="AC16" s="372"/>
      <c r="AD16" s="372"/>
      <c r="AE16" s="372"/>
      <c r="AF16" s="372"/>
      <c r="AG16" s="372"/>
      <c r="AH16" s="373"/>
      <c r="AI16" s="325" t="s">
        <v>80</v>
      </c>
      <c r="AJ16" s="326"/>
      <c r="AK16" s="326"/>
      <c r="AL16" s="326"/>
      <c r="AM16" s="326"/>
      <c r="AN16" s="326"/>
      <c r="AO16" s="326"/>
      <c r="AP16" s="407"/>
      <c r="AQ16" s="371" t="s">
        <v>81</v>
      </c>
      <c r="AR16" s="372"/>
      <c r="AS16" s="372"/>
      <c r="AT16" s="372"/>
      <c r="AU16" s="372"/>
      <c r="AV16" s="372"/>
      <c r="AW16" s="373"/>
      <c r="AX16" s="390" t="s">
        <v>82</v>
      </c>
      <c r="AY16" s="372"/>
      <c r="AZ16" s="372"/>
      <c r="BA16" s="373"/>
      <c r="BB16" s="390" t="s">
        <v>83</v>
      </c>
      <c r="BC16" s="372"/>
      <c r="BD16" s="372"/>
      <c r="BE16" s="372"/>
      <c r="BF16" s="372"/>
      <c r="BG16" s="372"/>
      <c r="BH16" s="373"/>
      <c r="BI16" s="390" t="s">
        <v>84</v>
      </c>
      <c r="BJ16" s="372"/>
      <c r="BK16" s="372"/>
      <c r="BL16" s="373"/>
      <c r="BM16" s="390" t="s">
        <v>85</v>
      </c>
      <c r="BN16" s="372"/>
      <c r="BO16" s="372"/>
      <c r="BP16" s="430"/>
      <c r="BQ16" s="371" t="s">
        <v>86</v>
      </c>
      <c r="BR16" s="372"/>
      <c r="BS16" s="372"/>
      <c r="BT16" s="372"/>
      <c r="BU16" s="372"/>
      <c r="BV16" s="372"/>
      <c r="BW16" s="372"/>
      <c r="BX16" s="372"/>
      <c r="BY16" s="372"/>
      <c r="BZ16" s="373"/>
      <c r="CA16" s="390" t="s">
        <v>87</v>
      </c>
      <c r="CB16" s="372"/>
      <c r="CC16" s="372"/>
      <c r="CD16" s="372"/>
      <c r="CE16" s="372"/>
      <c r="CF16" s="372"/>
      <c r="CG16" s="372"/>
      <c r="CH16" s="372"/>
      <c r="CI16" s="372"/>
      <c r="CJ16" s="430"/>
      <c r="CK16" s="436"/>
      <c r="CL16" s="437"/>
      <c r="CM16" s="443"/>
      <c r="CN16" s="444"/>
      <c r="CO16" s="444"/>
      <c r="CP16" s="445"/>
      <c r="CQ16" s="343"/>
      <c r="CR16" s="344"/>
      <c r="CS16" s="344"/>
      <c r="CT16" s="432"/>
      <c r="CU16" s="343"/>
      <c r="CV16" s="344"/>
      <c r="CW16" s="344"/>
      <c r="CX16" s="432"/>
      <c r="CY16" s="343"/>
      <c r="CZ16" s="344"/>
      <c r="DA16" s="344"/>
      <c r="DB16" s="345"/>
      <c r="DC16" s="333"/>
      <c r="DD16" s="334"/>
      <c r="DE16" s="338"/>
      <c r="DF16" s="334"/>
      <c r="DG16" s="338"/>
      <c r="DH16" s="334"/>
      <c r="DI16" s="338"/>
      <c r="DJ16" s="334"/>
      <c r="DK16" s="338"/>
      <c r="DL16" s="334"/>
      <c r="DM16" s="338"/>
      <c r="DN16" s="496"/>
      <c r="DO16" s="499"/>
      <c r="DP16" s="467"/>
      <c r="DQ16" s="466"/>
      <c r="DR16" s="467"/>
      <c r="DS16" s="466"/>
      <c r="DT16" s="467"/>
      <c r="DU16" s="466"/>
      <c r="DV16" s="467"/>
      <c r="DW16" s="472"/>
      <c r="DX16" s="473"/>
      <c r="DY16" s="472"/>
      <c r="DZ16" s="473"/>
      <c r="EA16" s="466"/>
      <c r="EB16" s="467"/>
      <c r="EC16" s="466"/>
      <c r="ED16" s="467"/>
      <c r="EE16" s="478"/>
      <c r="EF16" s="479"/>
      <c r="EG16" s="466"/>
      <c r="EH16" s="483"/>
    </row>
    <row r="17" spans="2:138" x14ac:dyDescent="0.35">
      <c r="B17" s="410"/>
      <c r="C17" s="371" t="s">
        <v>30</v>
      </c>
      <c r="D17" s="372"/>
      <c r="E17" s="372"/>
      <c r="F17" s="373"/>
      <c r="G17" s="390" t="s">
        <v>31</v>
      </c>
      <c r="H17" s="372"/>
      <c r="I17" s="372"/>
      <c r="J17" s="373"/>
      <c r="K17" s="390" t="s">
        <v>32</v>
      </c>
      <c r="L17" s="372"/>
      <c r="M17" s="372"/>
      <c r="N17" s="373"/>
      <c r="O17" s="390" t="s">
        <v>33</v>
      </c>
      <c r="P17" s="372"/>
      <c r="Q17" s="372"/>
      <c r="R17" s="373"/>
      <c r="S17" s="390" t="s">
        <v>34</v>
      </c>
      <c r="T17" s="372"/>
      <c r="U17" s="372"/>
      <c r="V17" s="373"/>
      <c r="W17" s="325" t="s">
        <v>272</v>
      </c>
      <c r="X17" s="326"/>
      <c r="Y17" s="326"/>
      <c r="Z17" s="327"/>
      <c r="AA17" s="390" t="s">
        <v>36</v>
      </c>
      <c r="AB17" s="372"/>
      <c r="AC17" s="372"/>
      <c r="AD17" s="373"/>
      <c r="AE17" s="325" t="s">
        <v>37</v>
      </c>
      <c r="AF17" s="326"/>
      <c r="AG17" s="326"/>
      <c r="AH17" s="327"/>
      <c r="AI17" s="325" t="s">
        <v>38</v>
      </c>
      <c r="AJ17" s="326"/>
      <c r="AK17" s="326"/>
      <c r="AL17" s="327"/>
      <c r="AM17" s="325" t="s">
        <v>39</v>
      </c>
      <c r="AN17" s="326"/>
      <c r="AO17" s="326"/>
      <c r="AP17" s="407"/>
      <c r="AQ17" s="323" t="s">
        <v>88</v>
      </c>
      <c r="AR17" s="325" t="s">
        <v>89</v>
      </c>
      <c r="AS17" s="326"/>
      <c r="AT17" s="327"/>
      <c r="AU17" s="325" t="s">
        <v>90</v>
      </c>
      <c r="AV17" s="326"/>
      <c r="AW17" s="327"/>
      <c r="AX17" s="374" t="s">
        <v>88</v>
      </c>
      <c r="AY17" s="325" t="s">
        <v>90</v>
      </c>
      <c r="AZ17" s="326"/>
      <c r="BA17" s="327"/>
      <c r="BB17" s="374" t="s">
        <v>88</v>
      </c>
      <c r="BC17" s="325" t="s">
        <v>91</v>
      </c>
      <c r="BD17" s="326"/>
      <c r="BE17" s="327"/>
      <c r="BF17" s="325" t="s">
        <v>90</v>
      </c>
      <c r="BG17" s="326"/>
      <c r="BH17" s="327"/>
      <c r="BI17" s="374" t="s">
        <v>88</v>
      </c>
      <c r="BJ17" s="325" t="s">
        <v>90</v>
      </c>
      <c r="BK17" s="326"/>
      <c r="BL17" s="327"/>
      <c r="BM17" s="374" t="s">
        <v>88</v>
      </c>
      <c r="BN17" s="325" t="s">
        <v>90</v>
      </c>
      <c r="BO17" s="326"/>
      <c r="BP17" s="407"/>
      <c r="BQ17" s="323" t="s">
        <v>88</v>
      </c>
      <c r="BR17" s="325" t="s">
        <v>91</v>
      </c>
      <c r="BS17" s="326"/>
      <c r="BT17" s="327"/>
      <c r="BU17" s="325" t="s">
        <v>89</v>
      </c>
      <c r="BV17" s="326"/>
      <c r="BW17" s="327"/>
      <c r="BX17" s="325" t="s">
        <v>90</v>
      </c>
      <c r="BY17" s="326"/>
      <c r="BZ17" s="327"/>
      <c r="CA17" s="374" t="s">
        <v>88</v>
      </c>
      <c r="CB17" s="325" t="s">
        <v>91</v>
      </c>
      <c r="CC17" s="326"/>
      <c r="CD17" s="327"/>
      <c r="CE17" s="325" t="s">
        <v>89</v>
      </c>
      <c r="CF17" s="326"/>
      <c r="CG17" s="327"/>
      <c r="CH17" s="325" t="s">
        <v>90</v>
      </c>
      <c r="CI17" s="326"/>
      <c r="CJ17" s="407"/>
      <c r="CK17" s="438"/>
      <c r="CL17" s="439"/>
      <c r="CM17" s="446"/>
      <c r="CN17" s="447"/>
      <c r="CO17" s="447"/>
      <c r="CP17" s="448"/>
      <c r="CQ17" s="346"/>
      <c r="CR17" s="347"/>
      <c r="CS17" s="347"/>
      <c r="CT17" s="433"/>
      <c r="CU17" s="346"/>
      <c r="CV17" s="347"/>
      <c r="CW17" s="347"/>
      <c r="CX17" s="433"/>
      <c r="CY17" s="346"/>
      <c r="CZ17" s="347"/>
      <c r="DA17" s="347"/>
      <c r="DB17" s="348"/>
      <c r="DC17" s="335"/>
      <c r="DD17" s="336"/>
      <c r="DE17" s="339"/>
      <c r="DF17" s="336"/>
      <c r="DG17" s="339"/>
      <c r="DH17" s="336"/>
      <c r="DI17" s="339"/>
      <c r="DJ17" s="336"/>
      <c r="DK17" s="339"/>
      <c r="DL17" s="336"/>
      <c r="DM17" s="339"/>
      <c r="DN17" s="497"/>
      <c r="DO17" s="500"/>
      <c r="DP17" s="469"/>
      <c r="DQ17" s="468"/>
      <c r="DR17" s="469"/>
      <c r="DS17" s="468"/>
      <c r="DT17" s="469"/>
      <c r="DU17" s="468"/>
      <c r="DV17" s="469"/>
      <c r="DW17" s="474"/>
      <c r="DX17" s="475"/>
      <c r="DY17" s="474"/>
      <c r="DZ17" s="475"/>
      <c r="EA17" s="468"/>
      <c r="EB17" s="469"/>
      <c r="EC17" s="468"/>
      <c r="ED17" s="469"/>
      <c r="EE17" s="480"/>
      <c r="EF17" s="481"/>
      <c r="EG17" s="468"/>
      <c r="EH17" s="484"/>
    </row>
    <row r="18" spans="2:138" x14ac:dyDescent="0.35">
      <c r="B18" s="411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324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76"/>
      <c r="AY18" s="76" t="s">
        <v>101</v>
      </c>
      <c r="AZ18" s="76" t="s">
        <v>99</v>
      </c>
      <c r="BA18" s="205" t="s">
        <v>100</v>
      </c>
      <c r="BB18" s="376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76"/>
      <c r="BJ18" s="76" t="s">
        <v>102</v>
      </c>
      <c r="BK18" s="76" t="s">
        <v>103</v>
      </c>
      <c r="BL18" s="205" t="s">
        <v>104</v>
      </c>
      <c r="BM18" s="376"/>
      <c r="BN18" s="76" t="s">
        <v>102</v>
      </c>
      <c r="BO18" s="76" t="s">
        <v>103</v>
      </c>
      <c r="BP18" s="235" t="s">
        <v>104</v>
      </c>
      <c r="BQ18" s="324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76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254" t="s">
        <v>118</v>
      </c>
      <c r="DO18" s="253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5">
      <c r="B19" s="27" t="s">
        <v>173</v>
      </c>
      <c r="C19" s="236">
        <f>C7+D7-E7</f>
        <v>0</v>
      </c>
      <c r="D19" s="10">
        <v>0.82</v>
      </c>
      <c r="E19" s="2">
        <f>C19*D19</f>
        <v>0</v>
      </c>
      <c r="F19" s="354">
        <v>2.9260000000000002</v>
      </c>
      <c r="G19" s="171">
        <f>F7+G7-H7</f>
        <v>0</v>
      </c>
      <c r="H19" s="8">
        <v>0.33500000000000002</v>
      </c>
      <c r="I19" s="2">
        <f>G19*H19</f>
        <v>0</v>
      </c>
      <c r="J19" s="354">
        <v>3.97</v>
      </c>
      <c r="K19" s="2">
        <f>I7+J7-K7</f>
        <v>25580</v>
      </c>
      <c r="L19" s="10">
        <v>0.27</v>
      </c>
      <c r="M19" s="2">
        <f>K19*L19</f>
        <v>6906.6</v>
      </c>
      <c r="N19" s="354">
        <v>4.18</v>
      </c>
      <c r="O19" s="2">
        <f>L7+M7-N7</f>
        <v>0</v>
      </c>
      <c r="P19" s="10">
        <v>0.39</v>
      </c>
      <c r="Q19" s="2">
        <f>O19*P19/1.3</f>
        <v>0</v>
      </c>
      <c r="R19" s="354">
        <v>4.99</v>
      </c>
      <c r="S19" s="75">
        <f>O7+P7-Q7</f>
        <v>0</v>
      </c>
      <c r="T19" s="9">
        <v>0.46</v>
      </c>
      <c r="U19" s="2">
        <f>S19*T19</f>
        <v>0</v>
      </c>
      <c r="V19" s="354">
        <v>4.54</v>
      </c>
      <c r="W19" s="75">
        <f>R7+S7-T7</f>
        <v>29380</v>
      </c>
      <c r="X19" s="118">
        <v>0.25900000000000001</v>
      </c>
      <c r="Y19" s="75">
        <f>W19*X19</f>
        <v>7609.42</v>
      </c>
      <c r="Z19" s="354">
        <v>4.99</v>
      </c>
      <c r="AA19" s="75">
        <f>U7+V7-W7</f>
        <v>0</v>
      </c>
      <c r="AB19" s="66">
        <v>0.46</v>
      </c>
      <c r="AC19" s="2">
        <f>AA19*AB19</f>
        <v>0</v>
      </c>
      <c r="AD19" s="354">
        <v>1.45</v>
      </c>
      <c r="AE19" s="75">
        <f>X7+Y7-Z7</f>
        <v>0</v>
      </c>
      <c r="AF19" s="119"/>
      <c r="AG19" s="2">
        <f>AE19*AF19</f>
        <v>0</v>
      </c>
      <c r="AH19" s="354">
        <v>1.45</v>
      </c>
      <c r="AI19" s="75">
        <f>AA7+AB7-AC7</f>
        <v>0</v>
      </c>
      <c r="AJ19" s="11">
        <v>0.6</v>
      </c>
      <c r="AK19" s="2">
        <f>AI19*AJ19</f>
        <v>0</v>
      </c>
      <c r="AL19" s="354">
        <v>0.71</v>
      </c>
      <c r="AM19" s="75">
        <f>AD7+AE7-AF7</f>
        <v>0</v>
      </c>
      <c r="AN19" s="119"/>
      <c r="AO19" s="2">
        <f>AM19*AN19</f>
        <v>0</v>
      </c>
      <c r="AP19" s="328">
        <v>0.71</v>
      </c>
      <c r="AQ19" s="248">
        <f>AG7+AH7-AI7</f>
        <v>0</v>
      </c>
      <c r="AR19" s="119"/>
      <c r="AS19" s="2">
        <f>AQ19*AR19</f>
        <v>0</v>
      </c>
      <c r="AT19" s="354">
        <v>1.45</v>
      </c>
      <c r="AU19" s="119"/>
      <c r="AV19" s="2">
        <f>AQ19*AU19</f>
        <v>0</v>
      </c>
      <c r="AW19" s="354">
        <v>0.71</v>
      </c>
      <c r="AX19" s="2">
        <f>AJ7+AK7-AL7</f>
        <v>0</v>
      </c>
      <c r="AY19" s="22">
        <v>0.44</v>
      </c>
      <c r="AZ19" s="2">
        <f>AX19*AY19</f>
        <v>0</v>
      </c>
      <c r="BA19" s="354">
        <v>2.74</v>
      </c>
      <c r="BB19" s="75">
        <f>AM7+AN7-AO7</f>
        <v>0</v>
      </c>
      <c r="BC19" s="118"/>
      <c r="BD19" s="2">
        <f>BB19*BC19</f>
        <v>0</v>
      </c>
      <c r="BE19" s="354">
        <v>2.74</v>
      </c>
      <c r="BF19" s="118"/>
      <c r="BG19" s="75">
        <f>BB19*BF19</f>
        <v>0</v>
      </c>
      <c r="BH19" s="354">
        <v>0.71</v>
      </c>
      <c r="BI19" s="2">
        <f>AP7+AQ7-AR7</f>
        <v>0</v>
      </c>
      <c r="BJ19" s="10">
        <v>0.54</v>
      </c>
      <c r="BK19" s="2">
        <f>BI19*BJ19</f>
        <v>0</v>
      </c>
      <c r="BL19" s="354">
        <v>1.82</v>
      </c>
      <c r="BM19" s="2">
        <f>AS7+AT7-AU7</f>
        <v>0</v>
      </c>
      <c r="BN19" s="22">
        <v>0.46</v>
      </c>
      <c r="BO19" s="2">
        <f>BM19*BN19</f>
        <v>0</v>
      </c>
      <c r="BP19" s="328">
        <v>3.02</v>
      </c>
      <c r="BQ19" s="304">
        <f>AV7+AW7-AX7</f>
        <v>0</v>
      </c>
      <c r="BR19" s="118"/>
      <c r="BS19" s="2">
        <f>BQ19*BR19</f>
        <v>0</v>
      </c>
      <c r="BT19" s="354">
        <v>3.97</v>
      </c>
      <c r="BU19" s="120"/>
      <c r="BV19" s="2">
        <f>BQ19*BU19</f>
        <v>0</v>
      </c>
      <c r="BW19" s="354">
        <v>1.83</v>
      </c>
      <c r="BX19" s="120"/>
      <c r="BY19" s="2">
        <f>BQ19*BX19</f>
        <v>0</v>
      </c>
      <c r="BZ19" s="354">
        <v>0.71</v>
      </c>
      <c r="CA19" s="75">
        <f>AY7+AZ7-BA7</f>
        <v>0</v>
      </c>
      <c r="CB19" s="118"/>
      <c r="CC19" s="2">
        <f>CA19*CB19</f>
        <v>0</v>
      </c>
      <c r="CD19" s="354">
        <v>3.97</v>
      </c>
      <c r="CE19" s="120"/>
      <c r="CF19" s="2">
        <f>CA19*CE19</f>
        <v>0</v>
      </c>
      <c r="CG19" s="354">
        <v>1.83</v>
      </c>
      <c r="CH19" s="120"/>
      <c r="CI19" s="2">
        <f>CA19*CH19</f>
        <v>0</v>
      </c>
      <c r="CJ19" s="328">
        <v>0.71</v>
      </c>
      <c r="CK19" s="236">
        <f>BB7+BC7-BD7</f>
        <v>400</v>
      </c>
      <c r="CL19" s="328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54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54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54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8">
        <v>0.1</v>
      </c>
      <c r="DC19" s="248">
        <f>BQ7+BR7-BS7</f>
        <v>12000</v>
      </c>
      <c r="DD19" s="317">
        <v>0.55100000000000005</v>
      </c>
      <c r="DE19" s="75">
        <f>BT7+BU7-BV7</f>
        <v>5000</v>
      </c>
      <c r="DF19" s="317">
        <v>0.67400000000000004</v>
      </c>
      <c r="DG19" s="75">
        <f>BW7+BX7-BY7</f>
        <v>0</v>
      </c>
      <c r="DH19" s="317"/>
      <c r="DI19" s="75">
        <f>BZ7+CA7-CB7</f>
        <v>0</v>
      </c>
      <c r="DJ19" s="317"/>
      <c r="DK19" s="75">
        <f>CC7+CD7-CE7</f>
        <v>0</v>
      </c>
      <c r="DL19" s="317"/>
      <c r="DM19" s="2">
        <f>CF7+CG7-CH7</f>
        <v>0</v>
      </c>
      <c r="DN19" s="489"/>
      <c r="DO19" s="61">
        <f>CI7+CJ7-CK7</f>
        <v>0</v>
      </c>
      <c r="DP19" s="354">
        <v>625</v>
      </c>
      <c r="DQ19" s="1">
        <f>CL7+CM7-CN7</f>
        <v>0</v>
      </c>
      <c r="DR19" s="354">
        <v>517</v>
      </c>
      <c r="DS19" s="1">
        <f>CO7+CP7-CQ7</f>
        <v>0</v>
      </c>
      <c r="DT19" s="354">
        <v>14.6</v>
      </c>
      <c r="DU19" s="1">
        <f>CR7+CS7-CT7</f>
        <v>0</v>
      </c>
      <c r="DV19" s="354">
        <v>234</v>
      </c>
      <c r="DW19" s="1">
        <f>CU7+CV7-CW7</f>
        <v>0</v>
      </c>
      <c r="DX19" s="354">
        <v>701</v>
      </c>
      <c r="DY19" s="1">
        <f>CX7+CY7-CZ7</f>
        <v>0</v>
      </c>
      <c r="DZ19" s="354">
        <v>1190</v>
      </c>
      <c r="EA19" s="1">
        <f>DA7+DB7-DC7</f>
        <v>0</v>
      </c>
      <c r="EB19" s="354">
        <v>1486</v>
      </c>
      <c r="EC19" s="1">
        <f>DD7+DE7-DF7</f>
        <v>0</v>
      </c>
      <c r="ED19" s="354">
        <v>3084</v>
      </c>
      <c r="EE19" s="1">
        <f>DG7+DH7-DI7</f>
        <v>0</v>
      </c>
      <c r="EF19" s="354">
        <v>193</v>
      </c>
      <c r="EG19" s="1">
        <f>DJ7+DK7-DL7</f>
        <v>0</v>
      </c>
      <c r="EH19" s="328">
        <v>320</v>
      </c>
    </row>
    <row r="20" spans="2:138" x14ac:dyDescent="0.35">
      <c r="B20" s="27" t="s">
        <v>174</v>
      </c>
      <c r="C20" s="236">
        <f>C8+D8-E8</f>
        <v>0</v>
      </c>
      <c r="D20" s="10">
        <v>0.82</v>
      </c>
      <c r="E20" s="2">
        <f>C20*D20</f>
        <v>0</v>
      </c>
      <c r="F20" s="355"/>
      <c r="G20" s="171">
        <f t="shared" ref="G20:G23" si="0">F8+G8-H8</f>
        <v>0</v>
      </c>
      <c r="H20" s="8">
        <v>0.33500000000000002</v>
      </c>
      <c r="I20" s="2">
        <f>G20*H20</f>
        <v>0</v>
      </c>
      <c r="J20" s="355"/>
      <c r="K20" s="2">
        <f>I8+J8-K8</f>
        <v>25580</v>
      </c>
      <c r="L20" s="10">
        <v>0.27</v>
      </c>
      <c r="M20" s="2">
        <f>K20*L20</f>
        <v>6906.6</v>
      </c>
      <c r="N20" s="355"/>
      <c r="O20" s="2">
        <f>L8+M8-N8</f>
        <v>0</v>
      </c>
      <c r="P20" s="10">
        <v>0.39</v>
      </c>
      <c r="Q20" s="2">
        <f t="shared" ref="Q20:Q23" si="1">O20*P20/1.3</f>
        <v>0</v>
      </c>
      <c r="R20" s="355"/>
      <c r="S20" s="75">
        <f>O8+P8-Q8</f>
        <v>0</v>
      </c>
      <c r="T20" s="9">
        <v>0.46</v>
      </c>
      <c r="U20" s="2">
        <f>S20*T20</f>
        <v>0</v>
      </c>
      <c r="V20" s="355"/>
      <c r="W20" s="75">
        <f>R8+S8-T8</f>
        <v>29380</v>
      </c>
      <c r="X20" s="118">
        <v>0.25900000000000001</v>
      </c>
      <c r="Y20" s="75">
        <f>W20*X20</f>
        <v>7609.42</v>
      </c>
      <c r="Z20" s="355"/>
      <c r="AA20" s="75">
        <f>U8+V8-W8</f>
        <v>0</v>
      </c>
      <c r="AB20" s="66">
        <v>0.46</v>
      </c>
      <c r="AC20" s="2">
        <f t="shared" ref="AC20:AC23" si="2">AA20*AB20</f>
        <v>0</v>
      </c>
      <c r="AD20" s="355"/>
      <c r="AE20" s="75">
        <f>X8+Y8-Z8</f>
        <v>0</v>
      </c>
      <c r="AF20" s="119"/>
      <c r="AG20" s="2">
        <f t="shared" ref="AG20:AG23" si="3">AE20*AF20</f>
        <v>0</v>
      </c>
      <c r="AH20" s="355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5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29"/>
      <c r="AQ20" s="248">
        <f t="shared" ref="AQ20:AQ23" si="8">AG8+AH8-AI8</f>
        <v>0</v>
      </c>
      <c r="AR20" s="119"/>
      <c r="AS20" s="2">
        <f t="shared" ref="AS20:AS23" si="9">AQ20*AR20</f>
        <v>0</v>
      </c>
      <c r="AT20" s="355"/>
      <c r="AU20" s="119"/>
      <c r="AV20" s="2">
        <f t="shared" ref="AV20:AV23" si="10">AQ20*AU20</f>
        <v>0</v>
      </c>
      <c r="AW20" s="355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5"/>
      <c r="BB20" s="75">
        <f t="shared" ref="BB20:BB23" si="13">AM8+AN8-AO8</f>
        <v>0</v>
      </c>
      <c r="BC20" s="118"/>
      <c r="BD20" s="2">
        <f t="shared" ref="BD20:BD23" si="14">BB20*BC20</f>
        <v>0</v>
      </c>
      <c r="BE20" s="355"/>
      <c r="BF20" s="118"/>
      <c r="BG20" s="75">
        <f t="shared" ref="BG20:BG23" si="15">BB20*BF20</f>
        <v>0</v>
      </c>
      <c r="BH20" s="355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5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29"/>
      <c r="BQ20" s="304">
        <f t="shared" ref="BQ20:BQ23" si="20">AV8+AW8-AX8</f>
        <v>0</v>
      </c>
      <c r="BR20" s="118"/>
      <c r="BS20" s="2">
        <f t="shared" ref="BS20:BS23" si="21">BQ20*BR20</f>
        <v>0</v>
      </c>
      <c r="BT20" s="355"/>
      <c r="BU20" s="120"/>
      <c r="BV20" s="2">
        <f t="shared" ref="BV20:BV23" si="22">BQ20*BU20</f>
        <v>0</v>
      </c>
      <c r="BW20" s="355"/>
      <c r="BX20" s="120"/>
      <c r="BY20" s="2">
        <f t="shared" ref="BY20:BY23" si="23">BQ20*BX20</f>
        <v>0</v>
      </c>
      <c r="BZ20" s="355"/>
      <c r="CA20" s="75">
        <f>AY8+AZ8-BA8</f>
        <v>0</v>
      </c>
      <c r="CB20" s="118"/>
      <c r="CC20" s="2">
        <f t="shared" ref="CC20:CC23" si="24">CA20*CB20</f>
        <v>0</v>
      </c>
      <c r="CD20" s="355"/>
      <c r="CE20" s="119"/>
      <c r="CF20" s="2">
        <f t="shared" ref="CF20:CF23" si="25">CA20*CE20</f>
        <v>0</v>
      </c>
      <c r="CG20" s="355"/>
      <c r="CH20" s="119"/>
      <c r="CI20" s="2">
        <f t="shared" ref="CI20:CI23" si="26">CA20*CH20</f>
        <v>0</v>
      </c>
      <c r="CJ20" s="329"/>
      <c r="CK20" s="236">
        <f>BB8+BC8-BD8</f>
        <v>400</v>
      </c>
      <c r="CL20" s="329"/>
      <c r="CM20" s="236">
        <f t="shared" ref="CM20:CM23" si="27">BE8+BF8-BG8</f>
        <v>0</v>
      </c>
      <c r="CN20" s="10">
        <v>0.94</v>
      </c>
      <c r="CO20" s="204">
        <f t="shared" ref="CO20:CO23" si="28">CM20*CN20</f>
        <v>0</v>
      </c>
      <c r="CP20" s="355"/>
      <c r="CQ20" s="75">
        <f t="shared" ref="CQ20:CQ23" si="29">BH8+BI8-BJ8</f>
        <v>0</v>
      </c>
      <c r="CR20" s="25">
        <v>0.55000000000000004</v>
      </c>
      <c r="CS20" s="75">
        <f t="shared" ref="CS20:CS23" si="30">CQ20*CR20</f>
        <v>0</v>
      </c>
      <c r="CT20" s="355"/>
      <c r="CU20" s="75">
        <f t="shared" ref="CU20:CU23" si="31">BK8+BL8-BM8</f>
        <v>0</v>
      </c>
      <c r="CV20" s="25">
        <v>0.55000000000000004</v>
      </c>
      <c r="CW20" s="75">
        <f t="shared" ref="CW20:CW23" si="32">CU20*CV20</f>
        <v>0</v>
      </c>
      <c r="CX20" s="355"/>
      <c r="CY20" s="75">
        <f t="shared" ref="CY20:CY23" si="33">BN8+BO8-BP8</f>
        <v>0</v>
      </c>
      <c r="CZ20" s="25">
        <v>0.35</v>
      </c>
      <c r="DA20" s="75">
        <f t="shared" ref="DA20:DA23" si="34">CY20*CZ20</f>
        <v>0</v>
      </c>
      <c r="DB20" s="329"/>
      <c r="DC20" s="248">
        <f>BQ8+BR8-BS8</f>
        <v>12000</v>
      </c>
      <c r="DD20" s="318"/>
      <c r="DE20" s="75">
        <f t="shared" ref="DE20:DE23" si="35">BT8+BU8-BV8</f>
        <v>5000</v>
      </c>
      <c r="DF20" s="318"/>
      <c r="DG20" s="75">
        <f t="shared" ref="DG20:DG23" si="36">BW8+BX8-BY8</f>
        <v>0</v>
      </c>
      <c r="DH20" s="318"/>
      <c r="DI20" s="75">
        <f t="shared" ref="DI20:DI23" si="37">BZ8+CA8-CB8</f>
        <v>0</v>
      </c>
      <c r="DJ20" s="318"/>
      <c r="DK20" s="75">
        <f t="shared" ref="DK20:DK23" si="38">CC8+CD8-CE8</f>
        <v>0</v>
      </c>
      <c r="DL20" s="318"/>
      <c r="DM20" s="2">
        <f>CF8+CG8-CH8</f>
        <v>0</v>
      </c>
      <c r="DN20" s="490"/>
      <c r="DO20" s="61">
        <f>CI8+CJ8-CK8</f>
        <v>0</v>
      </c>
      <c r="DP20" s="355"/>
      <c r="DQ20" s="1">
        <f>CL8+CM8-CN8</f>
        <v>0</v>
      </c>
      <c r="DR20" s="355"/>
      <c r="DS20" s="1">
        <f>CO8+CP8-CQ8</f>
        <v>0</v>
      </c>
      <c r="DT20" s="355"/>
      <c r="DU20" s="1">
        <f>CR8+CS8-CT8</f>
        <v>0</v>
      </c>
      <c r="DV20" s="355"/>
      <c r="DW20" s="1">
        <f>CU8+CV8-CW8</f>
        <v>0</v>
      </c>
      <c r="DX20" s="355"/>
      <c r="DY20" s="1">
        <f>CX8+CY8-CZ8</f>
        <v>0</v>
      </c>
      <c r="DZ20" s="355"/>
      <c r="EA20" s="1">
        <f>DA8+DB8-DC8</f>
        <v>0</v>
      </c>
      <c r="EB20" s="355"/>
      <c r="EC20" s="1">
        <f>DD8+DE8-DF8</f>
        <v>0</v>
      </c>
      <c r="ED20" s="355"/>
      <c r="EE20" s="1">
        <f>DG8+DH8-DI8</f>
        <v>0</v>
      </c>
      <c r="EF20" s="355"/>
      <c r="EG20" s="1">
        <f>DJ8+DK8-DL8</f>
        <v>0</v>
      </c>
      <c r="EH20" s="329"/>
    </row>
    <row r="21" spans="2:138" x14ac:dyDescent="0.35">
      <c r="B21" s="27" t="s">
        <v>175</v>
      </c>
      <c r="C21" s="236">
        <f>C9+D9-E9</f>
        <v>0</v>
      </c>
      <c r="D21" s="10">
        <v>0.82</v>
      </c>
      <c r="E21" s="2">
        <f>C21*D21</f>
        <v>0</v>
      </c>
      <c r="F21" s="355"/>
      <c r="G21" s="171">
        <f t="shared" si="0"/>
        <v>0</v>
      </c>
      <c r="H21" s="8">
        <v>0.33500000000000002</v>
      </c>
      <c r="I21" s="2">
        <f>G21*H21</f>
        <v>0</v>
      </c>
      <c r="J21" s="355"/>
      <c r="K21" s="2">
        <f>I9+J9-K9</f>
        <v>25580</v>
      </c>
      <c r="L21" s="10">
        <v>0.27</v>
      </c>
      <c r="M21" s="2">
        <f>K21*L21</f>
        <v>6906.6</v>
      </c>
      <c r="N21" s="355"/>
      <c r="O21" s="2">
        <f>L9+M9-N9</f>
        <v>0</v>
      </c>
      <c r="P21" s="10">
        <v>0.39</v>
      </c>
      <c r="Q21" s="2">
        <f t="shared" si="1"/>
        <v>0</v>
      </c>
      <c r="R21" s="355"/>
      <c r="S21" s="75">
        <f>O9+P9-Q9</f>
        <v>0</v>
      </c>
      <c r="T21" s="9">
        <v>0.46</v>
      </c>
      <c r="U21" s="2">
        <f>S21*T21</f>
        <v>0</v>
      </c>
      <c r="V21" s="355"/>
      <c r="W21" s="75">
        <f>R9+S9-T9</f>
        <v>29380</v>
      </c>
      <c r="X21" s="118">
        <v>0.25900000000000001</v>
      </c>
      <c r="Y21" s="75">
        <f t="shared" ref="Y21:Y23" si="39">W21*X21</f>
        <v>7609.42</v>
      </c>
      <c r="Z21" s="355"/>
      <c r="AA21" s="75">
        <f>U9+V9-W9</f>
        <v>0</v>
      </c>
      <c r="AB21" s="66">
        <v>0.46</v>
      </c>
      <c r="AC21" s="2">
        <f t="shared" si="2"/>
        <v>0</v>
      </c>
      <c r="AD21" s="355"/>
      <c r="AE21" s="75">
        <f>X9+Y9-Z9</f>
        <v>0</v>
      </c>
      <c r="AF21" s="119"/>
      <c r="AG21" s="2">
        <f t="shared" si="3"/>
        <v>0</v>
      </c>
      <c r="AH21" s="355"/>
      <c r="AI21" s="75">
        <f t="shared" si="4"/>
        <v>0</v>
      </c>
      <c r="AJ21" s="11">
        <v>0.6</v>
      </c>
      <c r="AK21" s="2">
        <f t="shared" si="5"/>
        <v>0</v>
      </c>
      <c r="AL21" s="355"/>
      <c r="AM21" s="75">
        <f t="shared" si="6"/>
        <v>0</v>
      </c>
      <c r="AN21" s="119"/>
      <c r="AO21" s="2">
        <f t="shared" si="7"/>
        <v>0</v>
      </c>
      <c r="AP21" s="329"/>
      <c r="AQ21" s="248">
        <f t="shared" si="8"/>
        <v>0</v>
      </c>
      <c r="AR21" s="119"/>
      <c r="AS21" s="2">
        <f t="shared" si="9"/>
        <v>0</v>
      </c>
      <c r="AT21" s="355"/>
      <c r="AU21" s="119"/>
      <c r="AV21" s="2">
        <f t="shared" si="10"/>
        <v>0</v>
      </c>
      <c r="AW21" s="355"/>
      <c r="AX21" s="2">
        <f t="shared" si="11"/>
        <v>0</v>
      </c>
      <c r="AY21" s="22">
        <v>0.44</v>
      </c>
      <c r="AZ21" s="2">
        <f t="shared" si="12"/>
        <v>0</v>
      </c>
      <c r="BA21" s="355"/>
      <c r="BB21" s="75">
        <f t="shared" si="13"/>
        <v>0</v>
      </c>
      <c r="BC21" s="118"/>
      <c r="BD21" s="2">
        <f t="shared" si="14"/>
        <v>0</v>
      </c>
      <c r="BE21" s="355"/>
      <c r="BF21" s="118"/>
      <c r="BG21" s="75">
        <f t="shared" si="15"/>
        <v>0</v>
      </c>
      <c r="BH21" s="355"/>
      <c r="BI21" s="2">
        <f t="shared" si="16"/>
        <v>0</v>
      </c>
      <c r="BJ21" s="10">
        <v>0.54</v>
      </c>
      <c r="BK21" s="2">
        <f t="shared" si="17"/>
        <v>0</v>
      </c>
      <c r="BL21" s="355"/>
      <c r="BM21" s="2">
        <f t="shared" si="18"/>
        <v>0</v>
      </c>
      <c r="BN21" s="22">
        <v>0.46</v>
      </c>
      <c r="BO21" s="2">
        <f t="shared" si="19"/>
        <v>0</v>
      </c>
      <c r="BP21" s="329"/>
      <c r="BQ21" s="304">
        <f t="shared" si="20"/>
        <v>0</v>
      </c>
      <c r="BR21" s="118"/>
      <c r="BS21" s="2">
        <f t="shared" si="21"/>
        <v>0</v>
      </c>
      <c r="BT21" s="355"/>
      <c r="BU21" s="120"/>
      <c r="BV21" s="2">
        <f t="shared" si="22"/>
        <v>0</v>
      </c>
      <c r="BW21" s="355"/>
      <c r="BX21" s="120"/>
      <c r="BY21" s="2">
        <f t="shared" si="23"/>
        <v>0</v>
      </c>
      <c r="BZ21" s="355"/>
      <c r="CA21" s="75">
        <f>AY9+AZ9-BA9</f>
        <v>0</v>
      </c>
      <c r="CB21" s="118"/>
      <c r="CC21" s="2">
        <f t="shared" si="24"/>
        <v>0</v>
      </c>
      <c r="CD21" s="355"/>
      <c r="CE21" s="119"/>
      <c r="CF21" s="2">
        <f t="shared" si="25"/>
        <v>0</v>
      </c>
      <c r="CG21" s="355"/>
      <c r="CH21" s="119"/>
      <c r="CI21" s="2">
        <f t="shared" si="26"/>
        <v>0</v>
      </c>
      <c r="CJ21" s="329"/>
      <c r="CK21" s="236">
        <f>BB9+BC9-BD9</f>
        <v>400</v>
      </c>
      <c r="CL21" s="329"/>
      <c r="CM21" s="236">
        <f t="shared" si="27"/>
        <v>0</v>
      </c>
      <c r="CN21" s="10">
        <v>0.94</v>
      </c>
      <c r="CO21" s="204">
        <f t="shared" si="28"/>
        <v>0</v>
      </c>
      <c r="CP21" s="355"/>
      <c r="CQ21" s="75">
        <f t="shared" si="29"/>
        <v>0</v>
      </c>
      <c r="CR21" s="25">
        <v>0.55000000000000004</v>
      </c>
      <c r="CS21" s="75">
        <f t="shared" si="30"/>
        <v>0</v>
      </c>
      <c r="CT21" s="355"/>
      <c r="CU21" s="75">
        <f t="shared" si="31"/>
        <v>0</v>
      </c>
      <c r="CV21" s="25">
        <v>0.55000000000000004</v>
      </c>
      <c r="CW21" s="75">
        <f t="shared" si="32"/>
        <v>0</v>
      </c>
      <c r="CX21" s="355"/>
      <c r="CY21" s="75">
        <f t="shared" si="33"/>
        <v>0</v>
      </c>
      <c r="CZ21" s="25">
        <v>0.35</v>
      </c>
      <c r="DA21" s="75">
        <f t="shared" si="34"/>
        <v>0</v>
      </c>
      <c r="DB21" s="329"/>
      <c r="DC21" s="248">
        <f>BQ9+BR9-BS9</f>
        <v>12000</v>
      </c>
      <c r="DD21" s="318"/>
      <c r="DE21" s="75">
        <f t="shared" si="35"/>
        <v>5000</v>
      </c>
      <c r="DF21" s="318"/>
      <c r="DG21" s="75">
        <f t="shared" si="36"/>
        <v>0</v>
      </c>
      <c r="DH21" s="318"/>
      <c r="DI21" s="75">
        <f t="shared" si="37"/>
        <v>0</v>
      </c>
      <c r="DJ21" s="318"/>
      <c r="DK21" s="75">
        <f t="shared" si="38"/>
        <v>0</v>
      </c>
      <c r="DL21" s="318"/>
      <c r="DM21" s="2">
        <f>CF9+CG9-CH9</f>
        <v>0</v>
      </c>
      <c r="DN21" s="490"/>
      <c r="DO21" s="61">
        <f>CI9+CJ9-CK9</f>
        <v>0</v>
      </c>
      <c r="DP21" s="355"/>
      <c r="DQ21" s="1">
        <f>CL9+CM9-CN9</f>
        <v>0</v>
      </c>
      <c r="DR21" s="355"/>
      <c r="DS21" s="1">
        <f>CO9+CP9-CQ9</f>
        <v>0</v>
      </c>
      <c r="DT21" s="355"/>
      <c r="DU21" s="1">
        <f>CR9+CS9-CT9</f>
        <v>0</v>
      </c>
      <c r="DV21" s="355"/>
      <c r="DW21" s="1">
        <f>CU9+CV9-CW9</f>
        <v>0</v>
      </c>
      <c r="DX21" s="355"/>
      <c r="DY21" s="1">
        <f>CX9+CY9-CZ9</f>
        <v>0</v>
      </c>
      <c r="DZ21" s="355"/>
      <c r="EA21" s="1">
        <f>DA9+DB9-DC9</f>
        <v>0</v>
      </c>
      <c r="EB21" s="355"/>
      <c r="EC21" s="1">
        <f>DD9+DE9-DF9</f>
        <v>0</v>
      </c>
      <c r="ED21" s="355"/>
      <c r="EE21" s="1">
        <f>DG9+DH9-DI9</f>
        <v>0</v>
      </c>
      <c r="EF21" s="355"/>
      <c r="EG21" s="1">
        <f>DJ9+DK9-DL9</f>
        <v>0</v>
      </c>
      <c r="EH21" s="329"/>
    </row>
    <row r="22" spans="2:138" x14ac:dyDescent="0.35">
      <c r="B22" s="27" t="s">
        <v>176</v>
      </c>
      <c r="C22" s="236">
        <f>C10+D10-E10</f>
        <v>0</v>
      </c>
      <c r="D22" s="10">
        <v>0.82</v>
      </c>
      <c r="E22" s="2">
        <f>C22*D22</f>
        <v>0</v>
      </c>
      <c r="F22" s="355"/>
      <c r="G22" s="171">
        <f t="shared" si="0"/>
        <v>0</v>
      </c>
      <c r="H22" s="8">
        <v>0.33500000000000002</v>
      </c>
      <c r="I22" s="2">
        <f>G22*H22</f>
        <v>0</v>
      </c>
      <c r="J22" s="355"/>
      <c r="K22" s="2">
        <f>I10+J10-K10</f>
        <v>25580</v>
      </c>
      <c r="L22" s="10">
        <v>0.27</v>
      </c>
      <c r="M22" s="2">
        <f>K22*L22</f>
        <v>6906.6</v>
      </c>
      <c r="N22" s="355"/>
      <c r="O22" s="2">
        <f>L10+M10-N10</f>
        <v>0</v>
      </c>
      <c r="P22" s="10">
        <v>0.39</v>
      </c>
      <c r="Q22" s="2">
        <f t="shared" si="1"/>
        <v>0</v>
      </c>
      <c r="R22" s="355"/>
      <c r="S22" s="75">
        <f>O10+P10-Q10</f>
        <v>0</v>
      </c>
      <c r="T22" s="9">
        <v>0.46</v>
      </c>
      <c r="U22" s="2">
        <f>S22*T22</f>
        <v>0</v>
      </c>
      <c r="V22" s="355"/>
      <c r="W22" s="75">
        <f>R10+S10-T10</f>
        <v>29380</v>
      </c>
      <c r="X22" s="118">
        <v>0.25900000000000001</v>
      </c>
      <c r="Y22" s="75">
        <f t="shared" si="39"/>
        <v>7609.42</v>
      </c>
      <c r="Z22" s="355"/>
      <c r="AA22" s="75">
        <f>U10+V10-W10</f>
        <v>0</v>
      </c>
      <c r="AB22" s="66">
        <v>0.46</v>
      </c>
      <c r="AC22" s="2">
        <f t="shared" si="2"/>
        <v>0</v>
      </c>
      <c r="AD22" s="355"/>
      <c r="AE22" s="75">
        <f>X10+Y10-Z10</f>
        <v>0</v>
      </c>
      <c r="AF22" s="119"/>
      <c r="AG22" s="2">
        <f t="shared" si="3"/>
        <v>0</v>
      </c>
      <c r="AH22" s="355"/>
      <c r="AI22" s="75">
        <f t="shared" si="4"/>
        <v>0</v>
      </c>
      <c r="AJ22" s="11">
        <v>0.6</v>
      </c>
      <c r="AK22" s="2">
        <f t="shared" si="5"/>
        <v>0</v>
      </c>
      <c r="AL22" s="355"/>
      <c r="AM22" s="75">
        <f t="shared" si="6"/>
        <v>0</v>
      </c>
      <c r="AN22" s="119"/>
      <c r="AO22" s="2">
        <f t="shared" si="7"/>
        <v>0</v>
      </c>
      <c r="AP22" s="329"/>
      <c r="AQ22" s="248">
        <f t="shared" si="8"/>
        <v>0</v>
      </c>
      <c r="AR22" s="119"/>
      <c r="AS22" s="2">
        <f t="shared" si="9"/>
        <v>0</v>
      </c>
      <c r="AT22" s="355"/>
      <c r="AU22" s="119"/>
      <c r="AV22" s="2">
        <f t="shared" si="10"/>
        <v>0</v>
      </c>
      <c r="AW22" s="355"/>
      <c r="AX22" s="2">
        <f t="shared" si="11"/>
        <v>0</v>
      </c>
      <c r="AY22" s="22">
        <v>0.44</v>
      </c>
      <c r="AZ22" s="2">
        <f t="shared" si="12"/>
        <v>0</v>
      </c>
      <c r="BA22" s="355"/>
      <c r="BB22" s="75">
        <f t="shared" si="13"/>
        <v>0</v>
      </c>
      <c r="BC22" s="118"/>
      <c r="BD22" s="2">
        <f t="shared" si="14"/>
        <v>0</v>
      </c>
      <c r="BE22" s="355"/>
      <c r="BF22" s="118"/>
      <c r="BG22" s="75">
        <f t="shared" si="15"/>
        <v>0</v>
      </c>
      <c r="BH22" s="355"/>
      <c r="BI22" s="2">
        <f t="shared" si="16"/>
        <v>0</v>
      </c>
      <c r="BJ22" s="10">
        <v>0.54</v>
      </c>
      <c r="BK22" s="2">
        <f t="shared" si="17"/>
        <v>0</v>
      </c>
      <c r="BL22" s="355"/>
      <c r="BM22" s="2">
        <f t="shared" si="18"/>
        <v>0</v>
      </c>
      <c r="BN22" s="22">
        <v>0.46</v>
      </c>
      <c r="BO22" s="2">
        <f t="shared" si="19"/>
        <v>0</v>
      </c>
      <c r="BP22" s="329"/>
      <c r="BQ22" s="304">
        <f t="shared" si="20"/>
        <v>0</v>
      </c>
      <c r="BR22" s="118"/>
      <c r="BS22" s="2">
        <f t="shared" si="21"/>
        <v>0</v>
      </c>
      <c r="BT22" s="355"/>
      <c r="BU22" s="120"/>
      <c r="BV22" s="2">
        <f t="shared" si="22"/>
        <v>0</v>
      </c>
      <c r="BW22" s="355"/>
      <c r="BX22" s="120"/>
      <c r="BY22" s="2">
        <f t="shared" si="23"/>
        <v>0</v>
      </c>
      <c r="BZ22" s="355"/>
      <c r="CA22" s="75">
        <f>AY10+AZ10-BA10</f>
        <v>0</v>
      </c>
      <c r="CB22" s="118"/>
      <c r="CC22" s="2">
        <f t="shared" si="24"/>
        <v>0</v>
      </c>
      <c r="CD22" s="355"/>
      <c r="CE22" s="119"/>
      <c r="CF22" s="2">
        <f t="shared" si="25"/>
        <v>0</v>
      </c>
      <c r="CG22" s="355"/>
      <c r="CH22" s="119"/>
      <c r="CI22" s="2">
        <f t="shared" si="26"/>
        <v>0</v>
      </c>
      <c r="CJ22" s="329"/>
      <c r="CK22" s="236">
        <f>BB10+BC10-BD10</f>
        <v>400</v>
      </c>
      <c r="CL22" s="329"/>
      <c r="CM22" s="236">
        <f t="shared" si="27"/>
        <v>0</v>
      </c>
      <c r="CN22" s="10">
        <v>0.94</v>
      </c>
      <c r="CO22" s="204">
        <f t="shared" si="28"/>
        <v>0</v>
      </c>
      <c r="CP22" s="355"/>
      <c r="CQ22" s="75">
        <f t="shared" si="29"/>
        <v>0</v>
      </c>
      <c r="CR22" s="25">
        <v>0.55000000000000004</v>
      </c>
      <c r="CS22" s="75">
        <f t="shared" si="30"/>
        <v>0</v>
      </c>
      <c r="CT22" s="355"/>
      <c r="CU22" s="75">
        <f t="shared" si="31"/>
        <v>0</v>
      </c>
      <c r="CV22" s="25">
        <v>0.55000000000000004</v>
      </c>
      <c r="CW22" s="75">
        <f t="shared" si="32"/>
        <v>0</v>
      </c>
      <c r="CX22" s="355"/>
      <c r="CY22" s="75">
        <f t="shared" si="33"/>
        <v>0</v>
      </c>
      <c r="CZ22" s="25">
        <v>0.35</v>
      </c>
      <c r="DA22" s="75">
        <f t="shared" si="34"/>
        <v>0</v>
      </c>
      <c r="DB22" s="329"/>
      <c r="DC22" s="248">
        <f>BQ10+BR10-BS10</f>
        <v>12000</v>
      </c>
      <c r="DD22" s="318"/>
      <c r="DE22" s="75">
        <f t="shared" si="35"/>
        <v>5000</v>
      </c>
      <c r="DF22" s="318"/>
      <c r="DG22" s="75">
        <f t="shared" si="36"/>
        <v>0</v>
      </c>
      <c r="DH22" s="318"/>
      <c r="DI22" s="75">
        <f t="shared" si="37"/>
        <v>0</v>
      </c>
      <c r="DJ22" s="318"/>
      <c r="DK22" s="75">
        <f t="shared" si="38"/>
        <v>0</v>
      </c>
      <c r="DL22" s="318"/>
      <c r="DM22" s="2">
        <f>CF10+CG10-CH10</f>
        <v>0</v>
      </c>
      <c r="DN22" s="490"/>
      <c r="DO22" s="61">
        <f>CI10+CJ10-CK10</f>
        <v>0</v>
      </c>
      <c r="DP22" s="355"/>
      <c r="DQ22" s="1">
        <f>CL10+CM10-CN10</f>
        <v>0</v>
      </c>
      <c r="DR22" s="355"/>
      <c r="DS22" s="1">
        <f>CO10+CP10-CQ10</f>
        <v>0</v>
      </c>
      <c r="DT22" s="355"/>
      <c r="DU22" s="1">
        <f>CR10+CS10-CT10</f>
        <v>0</v>
      </c>
      <c r="DV22" s="355"/>
      <c r="DW22" s="1">
        <f>CU10+CV10-CW10</f>
        <v>0</v>
      </c>
      <c r="DX22" s="355"/>
      <c r="DY22" s="1">
        <f>CX10+CY10-CZ10</f>
        <v>0</v>
      </c>
      <c r="DZ22" s="355"/>
      <c r="EA22" s="1">
        <f>DA10+DB10-DC10</f>
        <v>0</v>
      </c>
      <c r="EB22" s="355"/>
      <c r="EC22" s="1">
        <f>DD10+DE10-DF10</f>
        <v>0</v>
      </c>
      <c r="ED22" s="355"/>
      <c r="EE22" s="1">
        <f>DG10+DH10-DI10</f>
        <v>0</v>
      </c>
      <c r="EF22" s="355"/>
      <c r="EG22" s="1">
        <f>DJ10+DK10-DL10</f>
        <v>0</v>
      </c>
      <c r="EH22" s="329"/>
    </row>
    <row r="23" spans="2:138" ht="15" thickBot="1" x14ac:dyDescent="0.4">
      <c r="B23" s="27" t="s">
        <v>177</v>
      </c>
      <c r="C23" s="237">
        <f>C11+D11-E11</f>
        <v>0</v>
      </c>
      <c r="D23" s="238">
        <v>0.82</v>
      </c>
      <c r="E23" s="239">
        <f>C23*D23</f>
        <v>0</v>
      </c>
      <c r="F23" s="356"/>
      <c r="G23" s="240">
        <f t="shared" si="0"/>
        <v>0</v>
      </c>
      <c r="H23" s="241">
        <v>0.33500000000000002</v>
      </c>
      <c r="I23" s="239">
        <f>G23*H23</f>
        <v>0</v>
      </c>
      <c r="J23" s="356"/>
      <c r="K23" s="239">
        <f>I11+J11-K11</f>
        <v>25580</v>
      </c>
      <c r="L23" s="238">
        <v>0.27</v>
      </c>
      <c r="M23" s="239">
        <f>K23*L23</f>
        <v>6906.6</v>
      </c>
      <c r="N23" s="356"/>
      <c r="O23" s="239">
        <f>L11+M11-N11</f>
        <v>0</v>
      </c>
      <c r="P23" s="238">
        <v>0.39</v>
      </c>
      <c r="Q23" s="2">
        <f t="shared" si="1"/>
        <v>0</v>
      </c>
      <c r="R23" s="356"/>
      <c r="S23" s="242">
        <f>O11+P11-Q11</f>
        <v>0</v>
      </c>
      <c r="T23" s="243">
        <v>0.46</v>
      </c>
      <c r="U23" s="239">
        <f>S23*T23</f>
        <v>0</v>
      </c>
      <c r="V23" s="356"/>
      <c r="W23" s="242">
        <f>R11+S11-T11</f>
        <v>29380</v>
      </c>
      <c r="X23" s="244">
        <v>0.25900000000000001</v>
      </c>
      <c r="Y23" s="242">
        <f t="shared" si="39"/>
        <v>7609.42</v>
      </c>
      <c r="Z23" s="356"/>
      <c r="AA23" s="242">
        <f>U11+V11-W11</f>
        <v>0</v>
      </c>
      <c r="AB23" s="245">
        <v>0.46</v>
      </c>
      <c r="AC23" s="239">
        <f t="shared" si="2"/>
        <v>0</v>
      </c>
      <c r="AD23" s="356"/>
      <c r="AE23" s="242">
        <f>X11+Y11-Z11</f>
        <v>0</v>
      </c>
      <c r="AF23" s="246"/>
      <c r="AG23" s="239">
        <f t="shared" si="3"/>
        <v>0</v>
      </c>
      <c r="AH23" s="356"/>
      <c r="AI23" s="242">
        <f t="shared" si="4"/>
        <v>0</v>
      </c>
      <c r="AJ23" s="247">
        <v>0.6</v>
      </c>
      <c r="AK23" s="239">
        <f t="shared" si="5"/>
        <v>0</v>
      </c>
      <c r="AL23" s="356"/>
      <c r="AM23" s="242">
        <f t="shared" si="6"/>
        <v>0</v>
      </c>
      <c r="AN23" s="246"/>
      <c r="AO23" s="239">
        <f t="shared" si="7"/>
        <v>0</v>
      </c>
      <c r="AP23" s="330"/>
      <c r="AQ23" s="249">
        <f t="shared" si="8"/>
        <v>0</v>
      </c>
      <c r="AR23" s="246"/>
      <c r="AS23" s="239">
        <f t="shared" si="9"/>
        <v>0</v>
      </c>
      <c r="AT23" s="356"/>
      <c r="AU23" s="246"/>
      <c r="AV23" s="239">
        <f t="shared" si="10"/>
        <v>0</v>
      </c>
      <c r="AW23" s="356"/>
      <c r="AX23" s="239">
        <f t="shared" si="11"/>
        <v>0</v>
      </c>
      <c r="AY23" s="250">
        <v>0.44</v>
      </c>
      <c r="AZ23" s="239">
        <f t="shared" si="12"/>
        <v>0</v>
      </c>
      <c r="BA23" s="356"/>
      <c r="BB23" s="242">
        <f t="shared" si="13"/>
        <v>0</v>
      </c>
      <c r="BC23" s="244"/>
      <c r="BD23" s="239">
        <f t="shared" si="14"/>
        <v>0</v>
      </c>
      <c r="BE23" s="356"/>
      <c r="BF23" s="244"/>
      <c r="BG23" s="242">
        <f t="shared" si="15"/>
        <v>0</v>
      </c>
      <c r="BH23" s="356"/>
      <c r="BI23" s="239">
        <f t="shared" si="16"/>
        <v>0</v>
      </c>
      <c r="BJ23" s="238">
        <v>0.54</v>
      </c>
      <c r="BK23" s="239">
        <f t="shared" si="17"/>
        <v>0</v>
      </c>
      <c r="BL23" s="356"/>
      <c r="BM23" s="239">
        <f t="shared" si="18"/>
        <v>0</v>
      </c>
      <c r="BN23" s="250">
        <v>0.46</v>
      </c>
      <c r="BO23" s="239">
        <f t="shared" si="19"/>
        <v>0</v>
      </c>
      <c r="BP23" s="330"/>
      <c r="BQ23" s="304">
        <f t="shared" si="20"/>
        <v>0</v>
      </c>
      <c r="BR23" s="244"/>
      <c r="BS23" s="239">
        <f t="shared" si="21"/>
        <v>0</v>
      </c>
      <c r="BT23" s="356"/>
      <c r="BU23" s="252"/>
      <c r="BV23" s="239">
        <f t="shared" si="22"/>
        <v>0</v>
      </c>
      <c r="BW23" s="356"/>
      <c r="BX23" s="252"/>
      <c r="BY23" s="239">
        <f t="shared" si="23"/>
        <v>0</v>
      </c>
      <c r="BZ23" s="356"/>
      <c r="CA23" s="242">
        <f>AY11+AZ11-BA11</f>
        <v>0</v>
      </c>
      <c r="CB23" s="244"/>
      <c r="CC23" s="239">
        <f t="shared" si="24"/>
        <v>0</v>
      </c>
      <c r="CD23" s="356"/>
      <c r="CE23" s="246"/>
      <c r="CF23" s="239">
        <f t="shared" si="25"/>
        <v>0</v>
      </c>
      <c r="CG23" s="356"/>
      <c r="CH23" s="246"/>
      <c r="CI23" s="239">
        <f t="shared" si="26"/>
        <v>0</v>
      </c>
      <c r="CJ23" s="330"/>
      <c r="CK23" s="237">
        <f>BB11+BC11-BD11</f>
        <v>400</v>
      </c>
      <c r="CL23" s="330"/>
      <c r="CM23" s="237">
        <f t="shared" si="27"/>
        <v>0</v>
      </c>
      <c r="CN23" s="238">
        <v>0.94</v>
      </c>
      <c r="CO23" s="239">
        <f t="shared" si="28"/>
        <v>0</v>
      </c>
      <c r="CP23" s="356"/>
      <c r="CQ23" s="242">
        <f t="shared" si="29"/>
        <v>0</v>
      </c>
      <c r="CR23" s="257">
        <v>0.55000000000000004</v>
      </c>
      <c r="CS23" s="242">
        <f t="shared" si="30"/>
        <v>0</v>
      </c>
      <c r="CT23" s="356"/>
      <c r="CU23" s="242">
        <f t="shared" si="31"/>
        <v>0</v>
      </c>
      <c r="CV23" s="257">
        <v>0.55000000000000004</v>
      </c>
      <c r="CW23" s="242">
        <f t="shared" si="32"/>
        <v>0</v>
      </c>
      <c r="CX23" s="356"/>
      <c r="CY23" s="242">
        <f t="shared" si="33"/>
        <v>0</v>
      </c>
      <c r="CZ23" s="257">
        <v>0.35</v>
      </c>
      <c r="DA23" s="242">
        <f t="shared" si="34"/>
        <v>0</v>
      </c>
      <c r="DB23" s="330"/>
      <c r="DC23" s="249">
        <f>BQ11+BR11-BS11</f>
        <v>12000</v>
      </c>
      <c r="DD23" s="319"/>
      <c r="DE23" s="242">
        <f t="shared" si="35"/>
        <v>5000</v>
      </c>
      <c r="DF23" s="319"/>
      <c r="DG23" s="242">
        <f t="shared" si="36"/>
        <v>0</v>
      </c>
      <c r="DH23" s="319"/>
      <c r="DI23" s="242">
        <f t="shared" si="37"/>
        <v>0</v>
      </c>
      <c r="DJ23" s="319"/>
      <c r="DK23" s="242">
        <f t="shared" si="38"/>
        <v>0</v>
      </c>
      <c r="DL23" s="319"/>
      <c r="DM23" s="239">
        <f>CF11+CG11-CH11</f>
        <v>0</v>
      </c>
      <c r="DN23" s="491"/>
      <c r="DO23" s="258">
        <f>CI11+CJ11-CK11</f>
        <v>0</v>
      </c>
      <c r="DP23" s="356"/>
      <c r="DQ23" s="259">
        <f>CL11+CM11-CN11</f>
        <v>0</v>
      </c>
      <c r="DR23" s="356"/>
      <c r="DS23" s="259">
        <f>CO11+CP11-CQ11</f>
        <v>0</v>
      </c>
      <c r="DT23" s="356"/>
      <c r="DU23" s="259">
        <f>CR11+CS11-CT11</f>
        <v>0</v>
      </c>
      <c r="DV23" s="356"/>
      <c r="DW23" s="259">
        <f>CU11+CV11-CW11</f>
        <v>0</v>
      </c>
      <c r="DX23" s="356"/>
      <c r="DY23" s="259">
        <f>CX11+CY11-CZ11</f>
        <v>0</v>
      </c>
      <c r="DZ23" s="356"/>
      <c r="EA23" s="259">
        <f>DA11+DB11-DC11</f>
        <v>0</v>
      </c>
      <c r="EB23" s="356"/>
      <c r="EC23" s="259">
        <f>DD11+DE11-DF11</f>
        <v>0</v>
      </c>
      <c r="ED23" s="356"/>
      <c r="EE23" s="259">
        <f>DG11+DH11-DI11</f>
        <v>0</v>
      </c>
      <c r="EF23" s="356"/>
      <c r="EG23" s="259">
        <f>DJ11+DK11-DL11</f>
        <v>0</v>
      </c>
      <c r="EH23" s="330"/>
    </row>
    <row r="24" spans="2:138" x14ac:dyDescent="0.35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127900</v>
      </c>
      <c r="M24" s="80">
        <f>SUM(M19:M23)</f>
        <v>34533</v>
      </c>
      <c r="O24" s="80">
        <f>SUM(O19:O23)</f>
        <v>0</v>
      </c>
      <c r="Q24" s="233">
        <f>SUM(Q19:Q23)</f>
        <v>0</v>
      </c>
      <c r="S24" s="80">
        <f>SUM(S19:S23)</f>
        <v>0</v>
      </c>
      <c r="U24" s="80">
        <f>SUM(U19:U23)</f>
        <v>0</v>
      </c>
      <c r="W24" s="80">
        <f>SUM(W19:W23)</f>
        <v>146900</v>
      </c>
      <c r="Y24" s="80">
        <f>SUM(Y19:Y23)</f>
        <v>38047.1</v>
      </c>
      <c r="AA24" s="80">
        <f>SUM(AA19:AA23)</f>
        <v>0</v>
      </c>
      <c r="AC24" s="233">
        <f>SUM(AC19:AC23)</f>
        <v>0</v>
      </c>
      <c r="AE24" s="233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3">
        <f>SUM(AM19:AM23)</f>
        <v>0</v>
      </c>
      <c r="AO24" s="233">
        <f>SUM(AO19:AO23)</f>
        <v>0</v>
      </c>
      <c r="AQ24" s="80">
        <f>SUM(AQ19:AQ23)</f>
        <v>0</v>
      </c>
      <c r="AS24" s="80">
        <f>SUM(AS19:AS23)</f>
        <v>0</v>
      </c>
      <c r="AV24" s="233">
        <f>SUM(AV19:AV23)</f>
        <v>0</v>
      </c>
      <c r="AZ24" s="233">
        <f>SUM(AZ19:AZ23)</f>
        <v>0</v>
      </c>
      <c r="BB24" s="233">
        <f>SUM(BB19:BB23)</f>
        <v>0</v>
      </c>
      <c r="BD24" s="233">
        <f>SUM(BD19:BD23)</f>
        <v>0</v>
      </c>
      <c r="BG24" s="233">
        <f>SUM(BG19:BG23)</f>
        <v>0</v>
      </c>
      <c r="BK24" s="233">
        <f>SUM(BK19:BK23)</f>
        <v>0</v>
      </c>
      <c r="BO24" s="233">
        <f>SUM(BO19:BO23)</f>
        <v>0</v>
      </c>
      <c r="BQ24" s="233">
        <f>SUM(BQ19:BQ23)</f>
        <v>0</v>
      </c>
      <c r="BS24" s="233">
        <f>SUM(BS19:BS23)</f>
        <v>0</v>
      </c>
      <c r="BV24" s="233">
        <f>SUM(BV19:BV23)</f>
        <v>0</v>
      </c>
      <c r="BY24" s="233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2000</v>
      </c>
      <c r="CM24" s="255">
        <f>SUM(CM19:CM23)</f>
        <v>0</v>
      </c>
      <c r="CN24" s="30"/>
      <c r="CO24" s="256">
        <f t="shared" ref="CO24" si="40">SUM(CO19:CO23)</f>
        <v>0</v>
      </c>
      <c r="CQ24" s="233">
        <f>SUM(CQ19:CQ23)</f>
        <v>0</v>
      </c>
      <c r="CR24" s="34"/>
      <c r="CS24" s="33">
        <f xml:space="preserve"> SUM(CS19:CS23)</f>
        <v>0</v>
      </c>
      <c r="CT24" s="34"/>
      <c r="CU24" s="233">
        <f>SUM(CU19:CU23)</f>
        <v>0</v>
      </c>
      <c r="CV24" s="34"/>
      <c r="CW24" s="33">
        <f xml:space="preserve"> SUM(CW19:CW23)</f>
        <v>0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60000</v>
      </c>
      <c r="DE24" s="233">
        <f>SUM(DE19:DE23)</f>
        <v>25000</v>
      </c>
      <c r="DG24" s="233">
        <f>SUM(DG19:DG23)</f>
        <v>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0</v>
      </c>
      <c r="DU24" s="233">
        <f>SUM(DU19:DU23)</f>
        <v>0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6" spans="2:138" ht="14.5" customHeight="1" thickBot="1" x14ac:dyDescent="0.4">
      <c r="B26" s="14" t="s">
        <v>122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14"/>
      <c r="AP26" s="16"/>
      <c r="AQ26" s="3"/>
      <c r="AR26" s="3"/>
      <c r="AS26" s="3"/>
    </row>
    <row r="27" spans="2:138" ht="15" customHeight="1" x14ac:dyDescent="0.35">
      <c r="B27" s="501"/>
      <c r="C27" s="260" t="s">
        <v>71</v>
      </c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2"/>
      <c r="T27" s="267" t="s">
        <v>123</v>
      </c>
      <c r="U27" s="502" t="s">
        <v>28</v>
      </c>
      <c r="V27" s="503"/>
      <c r="W27" s="503"/>
      <c r="X27" s="504"/>
      <c r="Y27" s="505" t="s">
        <v>29</v>
      </c>
      <c r="Z27" s="506"/>
      <c r="AA27" s="506"/>
      <c r="AB27" s="506"/>
      <c r="AC27" s="506"/>
      <c r="AD27" s="507"/>
      <c r="AE27" s="505" t="s">
        <v>124</v>
      </c>
      <c r="AF27" s="506"/>
      <c r="AG27" s="506"/>
      <c r="AH27" s="506"/>
      <c r="AI27" s="506"/>
      <c r="AJ27" s="506"/>
      <c r="AK27" s="506"/>
      <c r="AL27" s="506"/>
      <c r="AM27" s="506"/>
      <c r="AN27" s="507"/>
      <c r="AO27" s="508" t="s">
        <v>125</v>
      </c>
      <c r="AP27" s="397" t="s">
        <v>126</v>
      </c>
      <c r="AR27" s="4"/>
    </row>
    <row r="28" spans="2:138" ht="15" customHeight="1" x14ac:dyDescent="0.35">
      <c r="B28" s="410"/>
      <c r="C28" s="367" t="s">
        <v>24</v>
      </c>
      <c r="D28" s="366"/>
      <c r="E28" s="366"/>
      <c r="F28" s="366"/>
      <c r="G28" s="366"/>
      <c r="H28" s="366"/>
      <c r="I28" s="366"/>
      <c r="J28" s="366"/>
      <c r="K28" s="366"/>
      <c r="L28" s="366"/>
      <c r="M28" s="394" t="s">
        <v>25</v>
      </c>
      <c r="N28" s="395"/>
      <c r="O28" s="395"/>
      <c r="P28" s="395"/>
      <c r="Q28" s="396"/>
      <c r="R28" s="394" t="s">
        <v>26</v>
      </c>
      <c r="S28" s="525"/>
      <c r="T28" s="512" t="s">
        <v>275</v>
      </c>
      <c r="U28" s="323" t="s">
        <v>45</v>
      </c>
      <c r="V28" s="374" t="s">
        <v>46</v>
      </c>
      <c r="W28" s="408" t="s">
        <v>47</v>
      </c>
      <c r="X28" s="519" t="s">
        <v>127</v>
      </c>
      <c r="Y28" s="323" t="str">
        <f>DC15</f>
        <v>Bactériosol concentré</v>
      </c>
      <c r="Z28" s="374" t="str">
        <f>DE15</f>
        <v>Bactériolit concentré</v>
      </c>
      <c r="AA28" s="374">
        <f>DG15</f>
        <v>0</v>
      </c>
      <c r="AB28" s="374" t="s">
        <v>49</v>
      </c>
      <c r="AC28" s="374">
        <f>DK15</f>
        <v>0</v>
      </c>
      <c r="AD28" s="519">
        <f>DM15</f>
        <v>0</v>
      </c>
      <c r="AE28" s="522" t="s">
        <v>50</v>
      </c>
      <c r="AF28" s="377" t="s">
        <v>51</v>
      </c>
      <c r="AG28" s="377" t="s">
        <v>52</v>
      </c>
      <c r="AH28" s="383" t="s">
        <v>53</v>
      </c>
      <c r="AI28" s="383" t="s">
        <v>54</v>
      </c>
      <c r="AJ28" s="383" t="s">
        <v>55</v>
      </c>
      <c r="AK28" s="383" t="s">
        <v>56</v>
      </c>
      <c r="AL28" s="383" t="s">
        <v>57</v>
      </c>
      <c r="AM28" s="383" t="s">
        <v>58</v>
      </c>
      <c r="AN28" s="516" t="s">
        <v>59</v>
      </c>
      <c r="AO28" s="509"/>
      <c r="AP28" s="398"/>
    </row>
    <row r="29" spans="2:138" ht="15" customHeight="1" x14ac:dyDescent="0.35">
      <c r="B29" s="410"/>
      <c r="C29" s="511" t="s">
        <v>78</v>
      </c>
      <c r="D29" s="389"/>
      <c r="E29" s="389"/>
      <c r="F29" s="389"/>
      <c r="G29" s="389"/>
      <c r="H29" s="389"/>
      <c r="I29" s="389" t="s">
        <v>79</v>
      </c>
      <c r="J29" s="389"/>
      <c r="K29" s="389" t="s">
        <v>80</v>
      </c>
      <c r="L29" s="389"/>
      <c r="M29" s="374" t="s">
        <v>81</v>
      </c>
      <c r="N29" s="374" t="s">
        <v>41</v>
      </c>
      <c r="O29" s="374" t="s">
        <v>83</v>
      </c>
      <c r="P29" s="374" t="s">
        <v>84</v>
      </c>
      <c r="Q29" s="374" t="s">
        <v>85</v>
      </c>
      <c r="R29" s="374" t="s">
        <v>86</v>
      </c>
      <c r="S29" s="519" t="s">
        <v>87</v>
      </c>
      <c r="T29" s="513"/>
      <c r="U29" s="515"/>
      <c r="V29" s="375"/>
      <c r="W29" s="409"/>
      <c r="X29" s="520"/>
      <c r="Y29" s="515"/>
      <c r="Z29" s="375"/>
      <c r="AA29" s="375"/>
      <c r="AB29" s="375"/>
      <c r="AC29" s="375"/>
      <c r="AD29" s="520"/>
      <c r="AE29" s="523"/>
      <c r="AF29" s="378"/>
      <c r="AG29" s="378"/>
      <c r="AH29" s="384"/>
      <c r="AI29" s="384"/>
      <c r="AJ29" s="384"/>
      <c r="AK29" s="384"/>
      <c r="AL29" s="384"/>
      <c r="AM29" s="384"/>
      <c r="AN29" s="517"/>
      <c r="AO29" s="509"/>
      <c r="AP29" s="398"/>
    </row>
    <row r="30" spans="2:138" x14ac:dyDescent="0.35">
      <c r="B30" s="411"/>
      <c r="C30" s="234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76"/>
      <c r="N30" s="376"/>
      <c r="O30" s="376"/>
      <c r="P30" s="376"/>
      <c r="Q30" s="376"/>
      <c r="R30" s="376"/>
      <c r="S30" s="521"/>
      <c r="T30" s="514"/>
      <c r="U30" s="324"/>
      <c r="V30" s="376"/>
      <c r="W30" s="415"/>
      <c r="X30" s="521"/>
      <c r="Y30" s="324"/>
      <c r="Z30" s="376"/>
      <c r="AA30" s="376"/>
      <c r="AB30" s="376"/>
      <c r="AC30" s="376"/>
      <c r="AD30" s="521"/>
      <c r="AE30" s="524"/>
      <c r="AF30" s="379"/>
      <c r="AG30" s="379"/>
      <c r="AH30" s="385"/>
      <c r="AI30" s="385"/>
      <c r="AJ30" s="385"/>
      <c r="AK30" s="385"/>
      <c r="AL30" s="385"/>
      <c r="AM30" s="385"/>
      <c r="AN30" s="518"/>
      <c r="AO30" s="510"/>
      <c r="AP30" s="399"/>
    </row>
    <row r="31" spans="2:138" x14ac:dyDescent="0.35">
      <c r="B31" s="27" t="s">
        <v>173</v>
      </c>
      <c r="C31" s="236">
        <f>E19*$F$19</f>
        <v>0</v>
      </c>
      <c r="D31" s="2">
        <f>I19*$J$19</f>
        <v>0</v>
      </c>
      <c r="E31" s="2">
        <f>M19*$N$19</f>
        <v>28869.588</v>
      </c>
      <c r="F31" s="2">
        <f>Q19*$R$19</f>
        <v>0</v>
      </c>
      <c r="G31" s="2">
        <f>U19*$V$19</f>
        <v>0</v>
      </c>
      <c r="H31" s="2">
        <f>Y19*$Z$19</f>
        <v>37971.005799999999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63">
        <f>CC19*$CD$19+CF19*$CG$19+CI19*$CJ$19</f>
        <v>0</v>
      </c>
      <c r="T31" s="220">
        <f>CK19*$CL$19</f>
        <v>3944.4</v>
      </c>
      <c r="U31" s="236">
        <f>CO19*$CP$19</f>
        <v>0</v>
      </c>
      <c r="V31" s="2">
        <f>CS19*$CT$19</f>
        <v>0</v>
      </c>
      <c r="W31" s="2">
        <f>CW19*$CX$19</f>
        <v>0</v>
      </c>
      <c r="X31" s="263">
        <f>DA19*$DB$19</f>
        <v>0</v>
      </c>
      <c r="Y31" s="236">
        <f>DC19*$DD$19</f>
        <v>6612.0000000000009</v>
      </c>
      <c r="Z31" s="27">
        <f>DE19*$DF$19</f>
        <v>3370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63">
        <f>DM19*$DN$19</f>
        <v>0</v>
      </c>
      <c r="AE31" s="206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63">
        <f>EG19*$EH$19</f>
        <v>0</v>
      </c>
      <c r="AO31" s="269">
        <f>SUM(C31:AN31)</f>
        <v>80766.993799999997</v>
      </c>
      <c r="AP31" s="38">
        <f>AO31/'SUIVI RABAIS PRODUCTION ET C '!O9</f>
        <v>633.46661803921563</v>
      </c>
    </row>
    <row r="32" spans="2:138" x14ac:dyDescent="0.35">
      <c r="B32" s="27" t="s">
        <v>174</v>
      </c>
      <c r="C32" s="236">
        <f t="shared" ref="C32:C35" si="41">E20*$F$19</f>
        <v>0</v>
      </c>
      <c r="D32" s="2">
        <f t="shared" ref="D32:D35" si="42">I20*$J$19</f>
        <v>0</v>
      </c>
      <c r="E32" s="2">
        <f t="shared" ref="E32:E35" si="43">M20*$N$19</f>
        <v>28869.588</v>
      </c>
      <c r="F32" s="2">
        <f t="shared" ref="F32:F35" si="44">Q20*$R$19</f>
        <v>0</v>
      </c>
      <c r="G32" s="2">
        <f t="shared" ref="G32:G35" si="45">U20*$V$19</f>
        <v>0</v>
      </c>
      <c r="H32" s="2">
        <f t="shared" ref="H32:H35" si="46">Y20*$Z$19</f>
        <v>37971.005799999999</v>
      </c>
      <c r="I32" s="2">
        <f t="shared" ref="I32:I35" si="47">AC20*$AD$19</f>
        <v>0</v>
      </c>
      <c r="J32" s="2">
        <f t="shared" ref="J32:J35" si="48">AG20*$AH$19</f>
        <v>0</v>
      </c>
      <c r="K32" s="2">
        <f t="shared" ref="K32:K35" si="49">AK20*$AL$19</f>
        <v>0</v>
      </c>
      <c r="L32" s="2">
        <f t="shared" ref="L32:L35" si="50">AO20*$AP$19</f>
        <v>0</v>
      </c>
      <c r="M32" s="2">
        <f t="shared" ref="M32:M35" si="51">AS20*$AT$19+AV20*$AW$19</f>
        <v>0</v>
      </c>
      <c r="N32" s="2">
        <f t="shared" ref="N32:N35" si="52">AZ20*$BA$19</f>
        <v>0</v>
      </c>
      <c r="O32" s="2">
        <f t="shared" ref="O32:O35" si="53">BD20*$BE$19+BG20*$BH$19</f>
        <v>0</v>
      </c>
      <c r="P32" s="2">
        <f t="shared" ref="P32:P35" si="54">BK20*$BL$19</f>
        <v>0</v>
      </c>
      <c r="Q32" s="2">
        <f t="shared" ref="Q32:Q35" si="55">BO20*$BP$19</f>
        <v>0</v>
      </c>
      <c r="R32" s="2">
        <f t="shared" ref="R32:R35" si="56">BS20*$BT$19+BV20*$BW$19+BY20*$BZ$19</f>
        <v>0</v>
      </c>
      <c r="S32" s="263">
        <f t="shared" ref="S32:S35" si="57">CC20*$CD$19+CF20*$CG$19+CI20*$CJ$19</f>
        <v>0</v>
      </c>
      <c r="T32" s="220">
        <f t="shared" ref="T32:T35" si="58">CK20*$CL$19</f>
        <v>3944.4</v>
      </c>
      <c r="U32" s="236">
        <f t="shared" ref="U32:U35" si="59">CO20*$CP$19</f>
        <v>0</v>
      </c>
      <c r="V32" s="2">
        <f t="shared" ref="V32:V35" si="60">CS20*$CT$19</f>
        <v>0</v>
      </c>
      <c r="W32" s="2">
        <f t="shared" ref="W32:W35" si="61">CW20*$CX$19</f>
        <v>0</v>
      </c>
      <c r="X32" s="263">
        <f t="shared" ref="X32:X35" si="62">DA20*$DB$19</f>
        <v>0</v>
      </c>
      <c r="Y32" s="236">
        <f t="shared" ref="Y32:Y35" si="63">DC20*$DD$19</f>
        <v>6612.0000000000009</v>
      </c>
      <c r="Z32" s="27">
        <f t="shared" ref="Z32:Z35" si="64">DE20*$DF$19</f>
        <v>3370</v>
      </c>
      <c r="AA32" s="27">
        <f t="shared" ref="AA32:AA35" si="65">DG20*$DH$19</f>
        <v>0</v>
      </c>
      <c r="AB32" s="27">
        <f t="shared" ref="AB32:AB35" si="66">DI20*$DJ$19</f>
        <v>0</v>
      </c>
      <c r="AC32" s="27">
        <f t="shared" ref="AC32:AC35" si="67">DK20*$DL$19</f>
        <v>0</v>
      </c>
      <c r="AD32" s="263">
        <f t="shared" ref="AD32:AD35" si="68">DM20*$DN$19</f>
        <v>0</v>
      </c>
      <c r="AE32" s="206">
        <f>DO20*$DP$19</f>
        <v>0</v>
      </c>
      <c r="AF32" s="27">
        <f t="shared" ref="AF32:AF35" si="69">DQ20*$DR$19</f>
        <v>0</v>
      </c>
      <c r="AG32" s="27">
        <f>DS20*$DT$19</f>
        <v>0</v>
      </c>
      <c r="AH32" s="27">
        <f t="shared" ref="AH32:AH35" si="70">DU20*$DV$19</f>
        <v>0</v>
      </c>
      <c r="AI32" s="27">
        <f>DW20*$DX$19</f>
        <v>0</v>
      </c>
      <c r="AJ32" s="27">
        <f t="shared" ref="AJ32:AJ35" si="71">DY20*$DZ$19</f>
        <v>0</v>
      </c>
      <c r="AK32" s="27">
        <f t="shared" ref="AK32:AK35" si="72">EA20*$EB$19</f>
        <v>0</v>
      </c>
      <c r="AL32" s="27">
        <f t="shared" ref="AL32:AL35" si="73">EC20*$ED$19</f>
        <v>0</v>
      </c>
      <c r="AM32" s="27">
        <f>EE20*$EF$19</f>
        <v>0</v>
      </c>
      <c r="AN32" s="263">
        <f>EG20*$EH$19</f>
        <v>0</v>
      </c>
      <c r="AO32" s="269">
        <f t="shared" ref="AO32:AO35" si="74">SUM(C32:AN32)</f>
        <v>80766.993799999997</v>
      </c>
      <c r="AP32" s="38">
        <f>AO32/'SUIVI RABAIS PRODUCTION ET C '!P9</f>
        <v>633.46661803921563</v>
      </c>
    </row>
    <row r="33" spans="2:109" x14ac:dyDescent="0.35">
      <c r="B33" s="27" t="s">
        <v>175</v>
      </c>
      <c r="C33" s="236">
        <f t="shared" si="41"/>
        <v>0</v>
      </c>
      <c r="D33" s="2">
        <f t="shared" si="42"/>
        <v>0</v>
      </c>
      <c r="E33" s="2">
        <f t="shared" si="43"/>
        <v>28869.588</v>
      </c>
      <c r="F33" s="2">
        <f t="shared" si="44"/>
        <v>0</v>
      </c>
      <c r="G33" s="2">
        <f t="shared" si="45"/>
        <v>0</v>
      </c>
      <c r="H33" s="2">
        <f t="shared" si="46"/>
        <v>37971.005799999999</v>
      </c>
      <c r="I33" s="2">
        <f t="shared" si="47"/>
        <v>0</v>
      </c>
      <c r="J33" s="2">
        <f t="shared" si="48"/>
        <v>0</v>
      </c>
      <c r="K33" s="2">
        <f t="shared" si="49"/>
        <v>0</v>
      </c>
      <c r="L33" s="2">
        <f t="shared" si="50"/>
        <v>0</v>
      </c>
      <c r="M33" s="2">
        <f t="shared" si="51"/>
        <v>0</v>
      </c>
      <c r="N33" s="2">
        <f t="shared" si="52"/>
        <v>0</v>
      </c>
      <c r="O33" s="2">
        <f t="shared" si="53"/>
        <v>0</v>
      </c>
      <c r="P33" s="2">
        <f t="shared" si="54"/>
        <v>0</v>
      </c>
      <c r="Q33" s="2">
        <f t="shared" si="55"/>
        <v>0</v>
      </c>
      <c r="R33" s="2">
        <f t="shared" si="56"/>
        <v>0</v>
      </c>
      <c r="S33" s="263">
        <f t="shared" si="57"/>
        <v>0</v>
      </c>
      <c r="T33" s="220">
        <f t="shared" si="58"/>
        <v>3944.4</v>
      </c>
      <c r="U33" s="236">
        <f t="shared" si="59"/>
        <v>0</v>
      </c>
      <c r="V33" s="2">
        <f t="shared" si="60"/>
        <v>0</v>
      </c>
      <c r="W33" s="2">
        <f t="shared" si="61"/>
        <v>0</v>
      </c>
      <c r="X33" s="263">
        <f t="shared" si="62"/>
        <v>0</v>
      </c>
      <c r="Y33" s="236">
        <f t="shared" si="63"/>
        <v>6612.0000000000009</v>
      </c>
      <c r="Z33" s="27">
        <f t="shared" si="64"/>
        <v>3370</v>
      </c>
      <c r="AA33" s="27">
        <f t="shared" si="65"/>
        <v>0</v>
      </c>
      <c r="AB33" s="27">
        <f t="shared" si="66"/>
        <v>0</v>
      </c>
      <c r="AC33" s="27">
        <f t="shared" si="67"/>
        <v>0</v>
      </c>
      <c r="AD33" s="263">
        <f t="shared" si="68"/>
        <v>0</v>
      </c>
      <c r="AE33" s="206">
        <f>DO21*$DP$19</f>
        <v>0</v>
      </c>
      <c r="AF33" s="27">
        <f t="shared" si="69"/>
        <v>0</v>
      </c>
      <c r="AG33" s="27">
        <f>DS21*$DT$19</f>
        <v>0</v>
      </c>
      <c r="AH33" s="27">
        <f t="shared" si="70"/>
        <v>0</v>
      </c>
      <c r="AI33" s="27">
        <f>DW21*$DX$19</f>
        <v>0</v>
      </c>
      <c r="AJ33" s="27">
        <f t="shared" si="71"/>
        <v>0</v>
      </c>
      <c r="AK33" s="27">
        <f t="shared" si="72"/>
        <v>0</v>
      </c>
      <c r="AL33" s="27">
        <f t="shared" si="73"/>
        <v>0</v>
      </c>
      <c r="AM33" s="27">
        <f>EE21*$EF$19</f>
        <v>0</v>
      </c>
      <c r="AN33" s="263">
        <f>EG21*$EH$19</f>
        <v>0</v>
      </c>
      <c r="AO33" s="269">
        <f t="shared" si="74"/>
        <v>80766.993799999997</v>
      </c>
      <c r="AP33" s="38">
        <f>AO33/'SUIVI RABAIS PRODUCTION ET C '!Q9</f>
        <v>633.46661803921563</v>
      </c>
    </row>
    <row r="34" spans="2:109" x14ac:dyDescent="0.35">
      <c r="B34" s="27" t="s">
        <v>176</v>
      </c>
      <c r="C34" s="236">
        <f t="shared" si="41"/>
        <v>0</v>
      </c>
      <c r="D34" s="2">
        <f t="shared" si="42"/>
        <v>0</v>
      </c>
      <c r="E34" s="2">
        <f t="shared" si="43"/>
        <v>28869.588</v>
      </c>
      <c r="F34" s="2">
        <f t="shared" si="44"/>
        <v>0</v>
      </c>
      <c r="G34" s="2">
        <f t="shared" si="45"/>
        <v>0</v>
      </c>
      <c r="H34" s="2">
        <f t="shared" si="46"/>
        <v>37971.005799999999</v>
      </c>
      <c r="I34" s="2">
        <f t="shared" si="47"/>
        <v>0</v>
      </c>
      <c r="J34" s="2">
        <f t="shared" si="48"/>
        <v>0</v>
      </c>
      <c r="K34" s="2">
        <f t="shared" si="49"/>
        <v>0</v>
      </c>
      <c r="L34" s="2">
        <f t="shared" si="50"/>
        <v>0</v>
      </c>
      <c r="M34" s="2">
        <f t="shared" si="51"/>
        <v>0</v>
      </c>
      <c r="N34" s="2">
        <f t="shared" si="52"/>
        <v>0</v>
      </c>
      <c r="O34" s="2">
        <f t="shared" si="53"/>
        <v>0</v>
      </c>
      <c r="P34" s="2">
        <f t="shared" si="54"/>
        <v>0</v>
      </c>
      <c r="Q34" s="2">
        <f t="shared" si="55"/>
        <v>0</v>
      </c>
      <c r="R34" s="2">
        <f t="shared" si="56"/>
        <v>0</v>
      </c>
      <c r="S34" s="263">
        <f t="shared" si="57"/>
        <v>0</v>
      </c>
      <c r="T34" s="220">
        <f t="shared" si="58"/>
        <v>3944.4</v>
      </c>
      <c r="U34" s="236">
        <f t="shared" si="59"/>
        <v>0</v>
      </c>
      <c r="V34" s="2">
        <f t="shared" si="60"/>
        <v>0</v>
      </c>
      <c r="W34" s="2">
        <f t="shared" si="61"/>
        <v>0</v>
      </c>
      <c r="X34" s="263">
        <f t="shared" si="62"/>
        <v>0</v>
      </c>
      <c r="Y34" s="236">
        <f t="shared" si="63"/>
        <v>6612.0000000000009</v>
      </c>
      <c r="Z34" s="27">
        <f t="shared" si="64"/>
        <v>3370</v>
      </c>
      <c r="AA34" s="27">
        <f t="shared" si="65"/>
        <v>0</v>
      </c>
      <c r="AB34" s="27">
        <f t="shared" si="66"/>
        <v>0</v>
      </c>
      <c r="AC34" s="27">
        <f t="shared" si="67"/>
        <v>0</v>
      </c>
      <c r="AD34" s="263">
        <f t="shared" si="68"/>
        <v>0</v>
      </c>
      <c r="AE34" s="206">
        <f>DO22*$DP$19</f>
        <v>0</v>
      </c>
      <c r="AF34" s="27">
        <f t="shared" si="69"/>
        <v>0</v>
      </c>
      <c r="AG34" s="27">
        <f>DS22*$DT$19</f>
        <v>0</v>
      </c>
      <c r="AH34" s="27">
        <f t="shared" si="70"/>
        <v>0</v>
      </c>
      <c r="AI34" s="27">
        <f>DW22*$DX$19</f>
        <v>0</v>
      </c>
      <c r="AJ34" s="27">
        <f t="shared" si="71"/>
        <v>0</v>
      </c>
      <c r="AK34" s="27">
        <f t="shared" si="72"/>
        <v>0</v>
      </c>
      <c r="AL34" s="27">
        <f t="shared" si="73"/>
        <v>0</v>
      </c>
      <c r="AM34" s="27">
        <f>EE22*$EF$19</f>
        <v>0</v>
      </c>
      <c r="AN34" s="263">
        <f>EG22*$EH$19</f>
        <v>0</v>
      </c>
      <c r="AO34" s="269">
        <f t="shared" si="74"/>
        <v>80766.993799999997</v>
      </c>
      <c r="AP34" s="38">
        <f>AO34/'SUIVI RABAIS PRODUCTION ET C '!R9</f>
        <v>633.46661803921563</v>
      </c>
    </row>
    <row r="35" spans="2:109" x14ac:dyDescent="0.35">
      <c r="B35" s="27" t="s">
        <v>177</v>
      </c>
      <c r="C35" s="236">
        <f t="shared" si="41"/>
        <v>0</v>
      </c>
      <c r="D35" s="2">
        <f t="shared" si="42"/>
        <v>0</v>
      </c>
      <c r="E35" s="2">
        <f t="shared" si="43"/>
        <v>28869.588</v>
      </c>
      <c r="F35" s="2">
        <f t="shared" si="44"/>
        <v>0</v>
      </c>
      <c r="G35" s="2">
        <f t="shared" si="45"/>
        <v>0</v>
      </c>
      <c r="H35" s="2">
        <f t="shared" si="46"/>
        <v>37971.005799999999</v>
      </c>
      <c r="I35" s="2">
        <f t="shared" si="47"/>
        <v>0</v>
      </c>
      <c r="J35" s="2">
        <f t="shared" si="48"/>
        <v>0</v>
      </c>
      <c r="K35" s="2">
        <f t="shared" si="49"/>
        <v>0</v>
      </c>
      <c r="L35" s="2">
        <f t="shared" si="50"/>
        <v>0</v>
      </c>
      <c r="M35" s="2">
        <f t="shared" si="51"/>
        <v>0</v>
      </c>
      <c r="N35" s="2">
        <f t="shared" si="52"/>
        <v>0</v>
      </c>
      <c r="O35" s="2">
        <f t="shared" si="53"/>
        <v>0</v>
      </c>
      <c r="P35" s="2">
        <f t="shared" si="54"/>
        <v>0</v>
      </c>
      <c r="Q35" s="2">
        <f t="shared" si="55"/>
        <v>0</v>
      </c>
      <c r="R35" s="2">
        <f t="shared" si="56"/>
        <v>0</v>
      </c>
      <c r="S35" s="263">
        <f t="shared" si="57"/>
        <v>0</v>
      </c>
      <c r="T35" s="220">
        <f t="shared" si="58"/>
        <v>3944.4</v>
      </c>
      <c r="U35" s="236">
        <f t="shared" si="59"/>
        <v>0</v>
      </c>
      <c r="V35" s="2">
        <f t="shared" si="60"/>
        <v>0</v>
      </c>
      <c r="W35" s="2">
        <f t="shared" si="61"/>
        <v>0</v>
      </c>
      <c r="X35" s="263">
        <f t="shared" si="62"/>
        <v>0</v>
      </c>
      <c r="Y35" s="236">
        <f t="shared" si="63"/>
        <v>6612.0000000000009</v>
      </c>
      <c r="Z35" s="27">
        <f t="shared" si="64"/>
        <v>3370</v>
      </c>
      <c r="AA35" s="27">
        <f t="shared" si="65"/>
        <v>0</v>
      </c>
      <c r="AB35" s="27">
        <f t="shared" si="66"/>
        <v>0</v>
      </c>
      <c r="AC35" s="27">
        <f t="shared" si="67"/>
        <v>0</v>
      </c>
      <c r="AD35" s="263">
        <f t="shared" si="68"/>
        <v>0</v>
      </c>
      <c r="AE35" s="206">
        <f>DO23*$DP$19</f>
        <v>0</v>
      </c>
      <c r="AF35" s="27">
        <f t="shared" si="69"/>
        <v>0</v>
      </c>
      <c r="AG35" s="27">
        <f>DS23*$DT$19</f>
        <v>0</v>
      </c>
      <c r="AH35" s="27">
        <f t="shared" si="70"/>
        <v>0</v>
      </c>
      <c r="AI35" s="27">
        <f>DW23*$DX$19</f>
        <v>0</v>
      </c>
      <c r="AJ35" s="27">
        <f t="shared" si="71"/>
        <v>0</v>
      </c>
      <c r="AK35" s="27">
        <f t="shared" si="72"/>
        <v>0</v>
      </c>
      <c r="AL35" s="27">
        <f t="shared" si="73"/>
        <v>0</v>
      </c>
      <c r="AM35" s="27">
        <f>EE23*$EF$19</f>
        <v>0</v>
      </c>
      <c r="AN35" s="263">
        <f>EG23*$EH$19</f>
        <v>0</v>
      </c>
      <c r="AO35" s="269">
        <f t="shared" si="74"/>
        <v>80766.993799999997</v>
      </c>
      <c r="AP35" s="38">
        <f>AO35/'SUIVI RABAIS PRODUCTION ET C '!S9</f>
        <v>633.46661803921563</v>
      </c>
      <c r="DE35" s="35"/>
    </row>
    <row r="36" spans="2:109" ht="15" thickBot="1" x14ac:dyDescent="0.4">
      <c r="B36" s="6" t="s">
        <v>121</v>
      </c>
      <c r="C36" s="264">
        <f t="shared" ref="C36:S36" si="75">SUM(C31:C35)</f>
        <v>0</v>
      </c>
      <c r="D36" s="265">
        <f t="shared" si="75"/>
        <v>0</v>
      </c>
      <c r="E36" s="265">
        <f t="shared" si="75"/>
        <v>144347.94</v>
      </c>
      <c r="F36" s="265">
        <f t="shared" si="75"/>
        <v>0</v>
      </c>
      <c r="G36" s="265">
        <f t="shared" si="75"/>
        <v>0</v>
      </c>
      <c r="H36" s="265">
        <f t="shared" si="75"/>
        <v>189855.02899999998</v>
      </c>
      <c r="I36" s="265">
        <f t="shared" si="75"/>
        <v>0</v>
      </c>
      <c r="J36" s="265">
        <f t="shared" si="75"/>
        <v>0</v>
      </c>
      <c r="K36" s="265">
        <f t="shared" si="75"/>
        <v>0</v>
      </c>
      <c r="L36" s="265">
        <f t="shared" si="75"/>
        <v>0</v>
      </c>
      <c r="M36" s="265">
        <f t="shared" si="75"/>
        <v>0</v>
      </c>
      <c r="N36" s="265">
        <f t="shared" si="75"/>
        <v>0</v>
      </c>
      <c r="O36" s="265">
        <f t="shared" si="75"/>
        <v>0</v>
      </c>
      <c r="P36" s="265">
        <f t="shared" si="75"/>
        <v>0</v>
      </c>
      <c r="Q36" s="265">
        <f t="shared" si="75"/>
        <v>0</v>
      </c>
      <c r="R36" s="265">
        <f t="shared" si="75"/>
        <v>0</v>
      </c>
      <c r="S36" s="266">
        <f t="shared" si="75"/>
        <v>0</v>
      </c>
      <c r="T36" s="268">
        <f t="shared" ref="T36:AO36" si="76">SUM(T31:T35)</f>
        <v>19722</v>
      </c>
      <c r="U36" s="264">
        <f t="shared" si="76"/>
        <v>0</v>
      </c>
      <c r="V36" s="265">
        <f t="shared" si="76"/>
        <v>0</v>
      </c>
      <c r="W36" s="265">
        <f t="shared" si="76"/>
        <v>0</v>
      </c>
      <c r="X36" s="266">
        <f t="shared" si="76"/>
        <v>0</v>
      </c>
      <c r="Y36" s="264">
        <f t="shared" si="76"/>
        <v>33060.000000000007</v>
      </c>
      <c r="Z36" s="265">
        <f t="shared" si="76"/>
        <v>16850</v>
      </c>
      <c r="AA36" s="265">
        <f t="shared" si="76"/>
        <v>0</v>
      </c>
      <c r="AB36" s="265">
        <f t="shared" si="76"/>
        <v>0</v>
      </c>
      <c r="AC36" s="265">
        <f t="shared" si="76"/>
        <v>0</v>
      </c>
      <c r="AD36" s="266">
        <f t="shared" si="76"/>
        <v>0</v>
      </c>
      <c r="AE36" s="264">
        <f t="shared" si="76"/>
        <v>0</v>
      </c>
      <c r="AF36" s="265">
        <f t="shared" si="76"/>
        <v>0</v>
      </c>
      <c r="AG36" s="265">
        <f t="shared" si="76"/>
        <v>0</v>
      </c>
      <c r="AH36" s="265">
        <f t="shared" si="76"/>
        <v>0</v>
      </c>
      <c r="AI36" s="265">
        <f t="shared" si="76"/>
        <v>0</v>
      </c>
      <c r="AJ36" s="265">
        <f t="shared" si="76"/>
        <v>0</v>
      </c>
      <c r="AK36" s="265">
        <f t="shared" si="76"/>
        <v>0</v>
      </c>
      <c r="AL36" s="265">
        <f t="shared" si="76"/>
        <v>0</v>
      </c>
      <c r="AM36" s="265">
        <f t="shared" si="76"/>
        <v>0</v>
      </c>
      <c r="AN36" s="266">
        <f t="shared" si="76"/>
        <v>0</v>
      </c>
      <c r="AO36" s="270">
        <f t="shared" si="76"/>
        <v>403834.96899999998</v>
      </c>
    </row>
    <row r="37" spans="2:109" x14ac:dyDescent="0.35">
      <c r="G37">
        <f>SUM(E19,I19,M19,Q19,U19,Y19,BD19,BS19,CC19)</f>
        <v>14516.02</v>
      </c>
    </row>
    <row r="38" spans="2:109" x14ac:dyDescent="0.35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408"/>
      <c r="C39" s="368" t="s">
        <v>129</v>
      </c>
      <c r="D39" s="369"/>
      <c r="E39" s="369"/>
      <c r="F39" s="370"/>
      <c r="G39" s="368" t="s">
        <v>130</v>
      </c>
      <c r="H39" s="369"/>
      <c r="I39" s="369"/>
      <c r="J39" s="370"/>
      <c r="K39" s="412" t="s">
        <v>131</v>
      </c>
      <c r="L39" s="413"/>
      <c r="M39" s="413"/>
      <c r="N39" s="414"/>
      <c r="O39" s="416" t="s">
        <v>29</v>
      </c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8"/>
      <c r="AA39" s="416" t="s">
        <v>124</v>
      </c>
      <c r="AB39" s="417"/>
      <c r="AC39" s="417"/>
      <c r="AD39" s="417"/>
      <c r="AE39" s="417"/>
      <c r="AF39" s="417"/>
      <c r="AG39" s="417"/>
      <c r="AH39" s="417"/>
      <c r="AI39" s="417"/>
      <c r="AJ39" s="417"/>
      <c r="AK39" s="417"/>
      <c r="AL39" s="417"/>
      <c r="AM39" s="417"/>
      <c r="AN39" s="417"/>
      <c r="AO39" s="417"/>
      <c r="AP39" s="417"/>
      <c r="AQ39" s="417"/>
      <c r="AR39" s="417"/>
      <c r="AS39" s="417"/>
      <c r="AT39" s="418"/>
      <c r="AU39" s="486" t="s">
        <v>125</v>
      </c>
      <c r="AV39" s="397" t="s">
        <v>126</v>
      </c>
    </row>
    <row r="40" spans="2:109" ht="45" customHeight="1" thickBot="1" x14ac:dyDescent="0.4">
      <c r="B40" s="409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487"/>
      <c r="AV40" s="399"/>
    </row>
    <row r="41" spans="2:109" ht="15" customHeight="1" x14ac:dyDescent="0.35">
      <c r="B41" s="27" t="s">
        <v>173</v>
      </c>
      <c r="C41" s="2">
        <f t="shared" ref="C41:C45" si="77">E19+I19+M19+Q19+U19+Y19+BD19+BS19+CC19</f>
        <v>14516.02</v>
      </c>
      <c r="D41" s="104">
        <f>C41*$I$49*$I$58</f>
        <v>96718.167542857133</v>
      </c>
      <c r="E41" s="2">
        <f>(C41*$I$51+C41*$I$53)*$I$58</f>
        <v>22607.871663142854</v>
      </c>
      <c r="F41" s="28">
        <f>SUM(D41:E41)</f>
        <v>119326.03920599999</v>
      </c>
      <c r="G41" s="121"/>
      <c r="H41" s="28">
        <f>G41*$I$50*$I$58</f>
        <v>0</v>
      </c>
      <c r="I41" s="28">
        <f>(G41*$I$52*+G41*$I$53)*$I$58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89">
        <f>F41+J41+L41+N41+P41+R41+T41+V41+X41+Z41+AB41+AD41+AF41+AH41+AJ41+AL41+AN41+AP41+AR41+AT41</f>
        <v>119326.03920599999</v>
      </c>
      <c r="AV41" s="88">
        <f>AU41/'SUIVI RABAIS PRODUCTION ET C '!O9</f>
        <v>935.89050357647045</v>
      </c>
      <c r="AW41" s="181"/>
      <c r="AX41" s="360" t="s">
        <v>178</v>
      </c>
      <c r="AY41" s="361"/>
      <c r="AZ41" s="362"/>
      <c r="BB41" s="526" t="s">
        <v>179</v>
      </c>
      <c r="BC41" s="527"/>
      <c r="BD41" s="528"/>
    </row>
    <row r="42" spans="2:109" ht="15" customHeight="1" x14ac:dyDescent="0.35">
      <c r="B42" s="27" t="s">
        <v>174</v>
      </c>
      <c r="C42" s="2">
        <f t="shared" si="77"/>
        <v>14516.02</v>
      </c>
      <c r="D42" s="104">
        <f t="shared" ref="D42:D45" si="78">C42*$I$49*$I$58</f>
        <v>96718.167542857133</v>
      </c>
      <c r="E42" s="2">
        <f t="shared" ref="E42:E45" si="79">(C42*$I$51+C42*$I$53)*$I$58</f>
        <v>22607.871663142854</v>
      </c>
      <c r="F42" s="28">
        <f t="shared" ref="F42:F45" si="80">SUM(D42:E42)</f>
        <v>119326.03920599999</v>
      </c>
      <c r="G42" s="121"/>
      <c r="H42" s="28">
        <f t="shared" ref="H42:H45" si="81">G42*$I$50*$I$58</f>
        <v>0</v>
      </c>
      <c r="I42" s="28">
        <f t="shared" ref="I42:I45" si="82">(G42*$I$52*+G42*$I$53)*$I$58</f>
        <v>0</v>
      </c>
      <c r="J42" s="28">
        <f t="shared" ref="J42:J45" si="83">SUM(H42:I42)</f>
        <v>0</v>
      </c>
      <c r="K42" s="2">
        <f t="shared" ref="K42:K45" si="84">CM20+CQ20</f>
        <v>0</v>
      </c>
      <c r="L42" s="36">
        <f t="shared" ref="L42:L45" si="85">K42*$I$54</f>
        <v>0</v>
      </c>
      <c r="M42" s="27">
        <f t="shared" ref="M42:M45" si="86">CU20</f>
        <v>0</v>
      </c>
      <c r="N42" s="36">
        <f t="shared" ref="N42:N45" si="87">M42*$I$55</f>
        <v>0</v>
      </c>
      <c r="O42" s="2">
        <f t="shared" ref="O42:O45" si="88">$C$65/1000*DC20</f>
        <v>0</v>
      </c>
      <c r="P42" s="36">
        <f t="shared" ref="P42:P45" si="89">O42*$I$50+O42*$I$52+O42*$I$53</f>
        <v>0</v>
      </c>
      <c r="Q42" s="36">
        <f t="shared" ref="Q42:Q45" si="90">DE20*$D$65/1000</f>
        <v>0</v>
      </c>
      <c r="R42" s="36">
        <f t="shared" ref="R42:R45" si="91">Q42*$I$50+Q42*$I$52+Q42*$I$53</f>
        <v>0</v>
      </c>
      <c r="S42" s="36">
        <f t="shared" ref="S42:S45" si="92">DG20*$E$65/1000</f>
        <v>0</v>
      </c>
      <c r="T42" s="36">
        <f t="shared" ref="T42:T45" si="93">S42*$I$50+S42*$I$52+S42*$I$53</f>
        <v>0</v>
      </c>
      <c r="U42" s="36">
        <f t="shared" ref="U42:U45" si="94">DI20*$F$65/1000</f>
        <v>0</v>
      </c>
      <c r="V42" s="36">
        <f t="shared" ref="V42:V45" si="95">U42*$I$50+U42*$I$52+U42*$I$53</f>
        <v>0</v>
      </c>
      <c r="W42" s="36">
        <f t="shared" ref="W42:W45" si="96">DK20*$G$65/1000</f>
        <v>0</v>
      </c>
      <c r="X42" s="36">
        <f t="shared" ref="X42:X45" si="97">W42*$I$50+W42*$I$52+W42*$I$53</f>
        <v>0</v>
      </c>
      <c r="Y42" s="27">
        <f t="shared" ref="Y42:Y45" si="98">DM20*$H$65/1000</f>
        <v>0</v>
      </c>
      <c r="Z42" s="87">
        <f t="shared" ref="Z42:Z45" si="99">Y42*$I$50+Y42*$I$52+Y42*$I$53</f>
        <v>0</v>
      </c>
      <c r="AA42" s="27">
        <f t="shared" ref="AA42:AA45" si="100">DO20*1000*$I$65/1000</f>
        <v>0</v>
      </c>
      <c r="AB42" s="27">
        <f t="shared" ref="AB42:AB45" si="101">AA42*$I$50+AA42*$I$52+AA42*$I$53</f>
        <v>0</v>
      </c>
      <c r="AC42" s="27">
        <f t="shared" ref="AC42:AC45" si="102">DQ20*$J$65</f>
        <v>0</v>
      </c>
      <c r="AD42" s="27">
        <f t="shared" ref="AD42:AD45" si="103">AC42*$I$50+AC42*$I$52+AC42*$I$53</f>
        <v>0</v>
      </c>
      <c r="AE42" s="27">
        <f t="shared" ref="AE42:AE45" si="104">DS20*$K$65</f>
        <v>0</v>
      </c>
      <c r="AF42" s="27">
        <f t="shared" ref="AF42:AF45" si="105">AE42*$I$50+AE42*$I$52+AE42*$I$53</f>
        <v>0</v>
      </c>
      <c r="AG42" s="27">
        <f t="shared" ref="AG42:AG45" si="106">DU20*$L$65</f>
        <v>0</v>
      </c>
      <c r="AH42" s="27">
        <f t="shared" ref="AH42:AH45" si="107">AG42*$I$50+AG42*$I$52+AG42*$I$53</f>
        <v>0</v>
      </c>
      <c r="AI42" s="27">
        <f t="shared" ref="AI42:AI45" si="108">DW20*$M$65</f>
        <v>0</v>
      </c>
      <c r="AJ42" s="27">
        <f t="shared" ref="AJ42:AJ45" si="109">AI42*$I$50+AI42*$I$52+AI42*$I$53</f>
        <v>0</v>
      </c>
      <c r="AK42" s="27">
        <f t="shared" ref="AK42:AK45" si="110">DY20*$N$65</f>
        <v>0</v>
      </c>
      <c r="AL42" s="27">
        <f t="shared" ref="AL42:AL45" si="111">AK42*$I$50+AK42*$I$52+AK42*$I$53</f>
        <v>0</v>
      </c>
      <c r="AM42" s="27">
        <f t="shared" ref="AM42:AM45" si="112">EA20*$O$65</f>
        <v>0</v>
      </c>
      <c r="AN42" s="27">
        <f t="shared" ref="AN42:AN45" si="113">AM42*$I$50+AM42*$I$52+AM42*$I$53</f>
        <v>0</v>
      </c>
      <c r="AO42" s="27">
        <f t="shared" ref="AO42:AO45" si="114">EC20*$P$65</f>
        <v>0</v>
      </c>
      <c r="AP42" s="27">
        <f t="shared" ref="AP42:AP45" si="115">AO42*$I$50+AO42*$I$52+AO42*$I$53</f>
        <v>0</v>
      </c>
      <c r="AQ42" s="27">
        <f t="shared" ref="AQ42:AQ45" si="116">EE20*$Q$65</f>
        <v>0</v>
      </c>
      <c r="AR42" s="27">
        <f t="shared" ref="AR42:AR45" si="117">AQ42*$I$50+AQ42*$I$52+AQ42*$I$53</f>
        <v>0</v>
      </c>
      <c r="AS42" s="27">
        <f t="shared" ref="AS42:AS45" si="118">EG20*$R$65</f>
        <v>0</v>
      </c>
      <c r="AT42" s="27">
        <f t="shared" ref="AT42:AT45" si="119">AS42*$I$50+AS42*$I$52+AS42*$I$53</f>
        <v>0</v>
      </c>
      <c r="AU42" s="89">
        <f t="shared" ref="AU42:AU45" si="120">F42+J42+L42+N42+P42+R42+T42+V42+X42+Z42+AB42+AD42+AF42+AH42+AJ42+AL42+AN42+AP42+AR42+AT42</f>
        <v>119326.03920599999</v>
      </c>
      <c r="AV42" s="88">
        <f>AU42/'SUIVI RABAIS PRODUCTION ET C '!P9</f>
        <v>935.89050357647045</v>
      </c>
      <c r="AW42" s="181"/>
      <c r="AX42" s="363"/>
      <c r="AY42" s="364"/>
      <c r="AZ42" s="365"/>
      <c r="BB42" s="529"/>
      <c r="BC42" s="530"/>
      <c r="BD42" s="531"/>
    </row>
    <row r="43" spans="2:109" ht="15" thickBot="1" x14ac:dyDescent="0.4">
      <c r="B43" s="27" t="s">
        <v>175</v>
      </c>
      <c r="C43" s="2">
        <f t="shared" si="77"/>
        <v>14516.02</v>
      </c>
      <c r="D43" s="104">
        <f t="shared" si="78"/>
        <v>96718.167542857133</v>
      </c>
      <c r="E43" s="2">
        <f t="shared" si="79"/>
        <v>22607.871663142854</v>
      </c>
      <c r="F43" s="28">
        <f t="shared" si="80"/>
        <v>119326.03920599999</v>
      </c>
      <c r="G43" s="121"/>
      <c r="H43" s="28">
        <f t="shared" si="81"/>
        <v>0</v>
      </c>
      <c r="I43" s="28">
        <f t="shared" si="82"/>
        <v>0</v>
      </c>
      <c r="J43" s="28">
        <f t="shared" si="83"/>
        <v>0</v>
      </c>
      <c r="K43" s="2">
        <f t="shared" si="84"/>
        <v>0</v>
      </c>
      <c r="L43" s="36">
        <f t="shared" si="85"/>
        <v>0</v>
      </c>
      <c r="M43" s="27">
        <f t="shared" si="86"/>
        <v>0</v>
      </c>
      <c r="N43" s="36">
        <f t="shared" si="87"/>
        <v>0</v>
      </c>
      <c r="O43" s="2">
        <f t="shared" si="88"/>
        <v>0</v>
      </c>
      <c r="P43" s="36">
        <f t="shared" si="89"/>
        <v>0</v>
      </c>
      <c r="Q43" s="36">
        <f t="shared" si="90"/>
        <v>0</v>
      </c>
      <c r="R43" s="36">
        <f t="shared" si="91"/>
        <v>0</v>
      </c>
      <c r="S43" s="36">
        <f t="shared" si="92"/>
        <v>0</v>
      </c>
      <c r="T43" s="36">
        <f t="shared" si="93"/>
        <v>0</v>
      </c>
      <c r="U43" s="36">
        <f t="shared" si="94"/>
        <v>0</v>
      </c>
      <c r="V43" s="36">
        <f t="shared" si="95"/>
        <v>0</v>
      </c>
      <c r="W43" s="36">
        <f t="shared" si="96"/>
        <v>0</v>
      </c>
      <c r="X43" s="36">
        <f t="shared" si="97"/>
        <v>0</v>
      </c>
      <c r="Y43" s="27">
        <f t="shared" si="98"/>
        <v>0</v>
      </c>
      <c r="Z43" s="87">
        <f t="shared" si="99"/>
        <v>0</v>
      </c>
      <c r="AA43" s="27">
        <f t="shared" si="100"/>
        <v>0</v>
      </c>
      <c r="AB43" s="27">
        <f t="shared" si="101"/>
        <v>0</v>
      </c>
      <c r="AC43" s="27">
        <f t="shared" si="102"/>
        <v>0</v>
      </c>
      <c r="AD43" s="27">
        <f t="shared" si="103"/>
        <v>0</v>
      </c>
      <c r="AE43" s="27">
        <f t="shared" si="104"/>
        <v>0</v>
      </c>
      <c r="AF43" s="27">
        <f t="shared" si="105"/>
        <v>0</v>
      </c>
      <c r="AG43" s="27">
        <f t="shared" si="106"/>
        <v>0</v>
      </c>
      <c r="AH43" s="27">
        <f t="shared" si="107"/>
        <v>0</v>
      </c>
      <c r="AI43" s="27">
        <f t="shared" si="108"/>
        <v>0</v>
      </c>
      <c r="AJ43" s="27">
        <f t="shared" si="109"/>
        <v>0</v>
      </c>
      <c r="AK43" s="27">
        <f t="shared" si="110"/>
        <v>0</v>
      </c>
      <c r="AL43" s="27">
        <f t="shared" si="111"/>
        <v>0</v>
      </c>
      <c r="AM43" s="27">
        <f t="shared" si="112"/>
        <v>0</v>
      </c>
      <c r="AN43" s="27">
        <f t="shared" si="113"/>
        <v>0</v>
      </c>
      <c r="AO43" s="27">
        <f t="shared" si="114"/>
        <v>0</v>
      </c>
      <c r="AP43" s="27">
        <f t="shared" si="115"/>
        <v>0</v>
      </c>
      <c r="AQ43" s="27">
        <f t="shared" si="116"/>
        <v>0</v>
      </c>
      <c r="AR43" s="27">
        <f t="shared" si="117"/>
        <v>0</v>
      </c>
      <c r="AS43" s="27">
        <f t="shared" si="118"/>
        <v>0</v>
      </c>
      <c r="AT43" s="27">
        <f t="shared" si="119"/>
        <v>0</v>
      </c>
      <c r="AU43" s="89">
        <f t="shared" si="120"/>
        <v>119326.03920599999</v>
      </c>
      <c r="AV43" s="88">
        <f>AU43/'SUIVI RABAIS PRODUCTION ET C '!Q9</f>
        <v>935.89050357647045</v>
      </c>
      <c r="AW43" s="181"/>
      <c r="AX43" s="363"/>
      <c r="AY43" s="364"/>
      <c r="AZ43" s="365"/>
      <c r="BB43" s="529"/>
      <c r="BC43" s="530"/>
      <c r="BD43" s="531"/>
    </row>
    <row r="44" spans="2:109" ht="15" thickBot="1" x14ac:dyDescent="0.4">
      <c r="B44" s="27" t="s">
        <v>176</v>
      </c>
      <c r="C44" s="2">
        <f t="shared" si="77"/>
        <v>14516.02</v>
      </c>
      <c r="D44" s="104">
        <f t="shared" si="78"/>
        <v>96718.167542857133</v>
      </c>
      <c r="E44" s="2">
        <f t="shared" si="79"/>
        <v>22607.871663142854</v>
      </c>
      <c r="F44" s="28">
        <f t="shared" si="80"/>
        <v>119326.03920599999</v>
      </c>
      <c r="G44" s="121"/>
      <c r="H44" s="28">
        <f t="shared" si="81"/>
        <v>0</v>
      </c>
      <c r="I44" s="28">
        <f t="shared" si="82"/>
        <v>0</v>
      </c>
      <c r="J44" s="28">
        <f t="shared" si="83"/>
        <v>0</v>
      </c>
      <c r="K44" s="2">
        <f t="shared" si="84"/>
        <v>0</v>
      </c>
      <c r="L44" s="36">
        <f t="shared" si="85"/>
        <v>0</v>
      </c>
      <c r="M44" s="27">
        <f t="shared" si="86"/>
        <v>0</v>
      </c>
      <c r="N44" s="36">
        <f t="shared" si="87"/>
        <v>0</v>
      </c>
      <c r="O44" s="2">
        <f t="shared" si="88"/>
        <v>0</v>
      </c>
      <c r="P44" s="36">
        <f t="shared" si="89"/>
        <v>0</v>
      </c>
      <c r="Q44" s="36">
        <f t="shared" si="90"/>
        <v>0</v>
      </c>
      <c r="R44" s="36">
        <f t="shared" si="91"/>
        <v>0</v>
      </c>
      <c r="S44" s="36">
        <f t="shared" si="92"/>
        <v>0</v>
      </c>
      <c r="T44" s="36">
        <f t="shared" si="93"/>
        <v>0</v>
      </c>
      <c r="U44" s="36">
        <f t="shared" si="94"/>
        <v>0</v>
      </c>
      <c r="V44" s="36">
        <f t="shared" si="95"/>
        <v>0</v>
      </c>
      <c r="W44" s="36">
        <f t="shared" si="96"/>
        <v>0</v>
      </c>
      <c r="X44" s="36">
        <f t="shared" si="97"/>
        <v>0</v>
      </c>
      <c r="Y44" s="27">
        <f t="shared" si="98"/>
        <v>0</v>
      </c>
      <c r="Z44" s="87">
        <f t="shared" si="99"/>
        <v>0</v>
      </c>
      <c r="AA44" s="27">
        <f t="shared" si="100"/>
        <v>0</v>
      </c>
      <c r="AB44" s="27">
        <f t="shared" si="101"/>
        <v>0</v>
      </c>
      <c r="AC44" s="27">
        <f t="shared" si="102"/>
        <v>0</v>
      </c>
      <c r="AD44" s="27">
        <f t="shared" si="103"/>
        <v>0</v>
      </c>
      <c r="AE44" s="27">
        <f t="shared" si="104"/>
        <v>0</v>
      </c>
      <c r="AF44" s="27">
        <f t="shared" si="105"/>
        <v>0</v>
      </c>
      <c r="AG44" s="27">
        <f t="shared" si="106"/>
        <v>0</v>
      </c>
      <c r="AH44" s="27">
        <f t="shared" si="107"/>
        <v>0</v>
      </c>
      <c r="AI44" s="27">
        <f t="shared" si="108"/>
        <v>0</v>
      </c>
      <c r="AJ44" s="27">
        <f t="shared" si="109"/>
        <v>0</v>
      </c>
      <c r="AK44" s="27">
        <f t="shared" si="110"/>
        <v>0</v>
      </c>
      <c r="AL44" s="27">
        <f t="shared" si="111"/>
        <v>0</v>
      </c>
      <c r="AM44" s="27">
        <f t="shared" si="112"/>
        <v>0</v>
      </c>
      <c r="AN44" s="27">
        <f t="shared" si="113"/>
        <v>0</v>
      </c>
      <c r="AO44" s="27">
        <f t="shared" si="114"/>
        <v>0</v>
      </c>
      <c r="AP44" s="27">
        <f t="shared" si="115"/>
        <v>0</v>
      </c>
      <c r="AQ44" s="27">
        <f t="shared" si="116"/>
        <v>0</v>
      </c>
      <c r="AR44" s="27">
        <f t="shared" si="117"/>
        <v>0</v>
      </c>
      <c r="AS44" s="27">
        <f t="shared" si="118"/>
        <v>0</v>
      </c>
      <c r="AT44" s="27">
        <f t="shared" si="119"/>
        <v>0</v>
      </c>
      <c r="AU44" s="89">
        <f t="shared" si="120"/>
        <v>119326.03920599999</v>
      </c>
      <c r="AV44" s="88">
        <f>AU44/'SUIVI RABAIS PRODUCTION ET C '!R9</f>
        <v>935.89050357647045</v>
      </c>
      <c r="AW44" s="181"/>
      <c r="AX44" s="307">
        <f>AU46+AO36</f>
        <v>1000465.16503</v>
      </c>
      <c r="AY44" s="7" t="s">
        <v>158</v>
      </c>
      <c r="AZ44" s="39"/>
      <c r="BB44" s="301" cm="1">
        <f t="array" ref="BB44">IFERROR(SUM(AVERAGE('GES AVANT NOTIFICATION'!AP31:AP35+'GES AVANT NOTIFICATION'!AV41:AV45)*'SUIVI RABAIS PRODUCTION ET C '!O9:S9)-'GES APRES NOTIFICATION '!AX44,"-")</f>
        <v>536482.4257181799</v>
      </c>
      <c r="BC44" s="7" t="s">
        <v>158</v>
      </c>
      <c r="BD44" s="39"/>
    </row>
    <row r="45" spans="2:109" x14ac:dyDescent="0.35">
      <c r="B45" s="27" t="s">
        <v>177</v>
      </c>
      <c r="C45" s="2">
        <f t="shared" si="77"/>
        <v>14516.02</v>
      </c>
      <c r="D45" s="104">
        <f t="shared" si="78"/>
        <v>96718.167542857133</v>
      </c>
      <c r="E45" s="2">
        <f t="shared" si="79"/>
        <v>22607.871663142854</v>
      </c>
      <c r="F45" s="28">
        <f t="shared" si="80"/>
        <v>119326.03920599999</v>
      </c>
      <c r="G45" s="121"/>
      <c r="H45" s="28">
        <f t="shared" si="81"/>
        <v>0</v>
      </c>
      <c r="I45" s="28">
        <f t="shared" si="82"/>
        <v>0</v>
      </c>
      <c r="J45" s="28">
        <f t="shared" si="83"/>
        <v>0</v>
      </c>
      <c r="K45" s="2">
        <f t="shared" si="84"/>
        <v>0</v>
      </c>
      <c r="L45" s="36">
        <f t="shared" si="85"/>
        <v>0</v>
      </c>
      <c r="M45" s="27">
        <f t="shared" si="86"/>
        <v>0</v>
      </c>
      <c r="N45" s="36">
        <f t="shared" si="87"/>
        <v>0</v>
      </c>
      <c r="O45" s="2">
        <f t="shared" si="88"/>
        <v>0</v>
      </c>
      <c r="P45" s="36">
        <f t="shared" si="89"/>
        <v>0</v>
      </c>
      <c r="Q45" s="36">
        <f t="shared" si="90"/>
        <v>0</v>
      </c>
      <c r="R45" s="36">
        <f t="shared" si="91"/>
        <v>0</v>
      </c>
      <c r="S45" s="36">
        <f t="shared" si="92"/>
        <v>0</v>
      </c>
      <c r="T45" s="36">
        <f t="shared" si="93"/>
        <v>0</v>
      </c>
      <c r="U45" s="36">
        <f t="shared" si="94"/>
        <v>0</v>
      </c>
      <c r="V45" s="36">
        <f t="shared" si="95"/>
        <v>0</v>
      </c>
      <c r="W45" s="36">
        <f t="shared" si="96"/>
        <v>0</v>
      </c>
      <c r="X45" s="36">
        <f t="shared" si="97"/>
        <v>0</v>
      </c>
      <c r="Y45" s="27">
        <f t="shared" si="98"/>
        <v>0</v>
      </c>
      <c r="Z45" s="87">
        <f t="shared" si="99"/>
        <v>0</v>
      </c>
      <c r="AA45" s="27">
        <f t="shared" si="100"/>
        <v>0</v>
      </c>
      <c r="AB45" s="27">
        <f t="shared" si="101"/>
        <v>0</v>
      </c>
      <c r="AC45" s="27">
        <f t="shared" si="102"/>
        <v>0</v>
      </c>
      <c r="AD45" s="27">
        <f t="shared" si="103"/>
        <v>0</v>
      </c>
      <c r="AE45" s="27">
        <f t="shared" si="104"/>
        <v>0</v>
      </c>
      <c r="AF45" s="27">
        <f t="shared" si="105"/>
        <v>0</v>
      </c>
      <c r="AG45" s="27">
        <f t="shared" si="106"/>
        <v>0</v>
      </c>
      <c r="AH45" s="27">
        <f t="shared" si="107"/>
        <v>0</v>
      </c>
      <c r="AI45" s="27">
        <f t="shared" si="108"/>
        <v>0</v>
      </c>
      <c r="AJ45" s="27">
        <f t="shared" si="109"/>
        <v>0</v>
      </c>
      <c r="AK45" s="27">
        <f t="shared" si="110"/>
        <v>0</v>
      </c>
      <c r="AL45" s="27">
        <f t="shared" si="111"/>
        <v>0</v>
      </c>
      <c r="AM45" s="27">
        <f t="shared" si="112"/>
        <v>0</v>
      </c>
      <c r="AN45" s="27">
        <f t="shared" si="113"/>
        <v>0</v>
      </c>
      <c r="AO45" s="27">
        <f t="shared" si="114"/>
        <v>0</v>
      </c>
      <c r="AP45" s="27">
        <f t="shared" si="115"/>
        <v>0</v>
      </c>
      <c r="AQ45" s="27">
        <f t="shared" si="116"/>
        <v>0</v>
      </c>
      <c r="AR45" s="27">
        <f t="shared" si="117"/>
        <v>0</v>
      </c>
      <c r="AS45" s="27">
        <f t="shared" si="118"/>
        <v>0</v>
      </c>
      <c r="AT45" s="27">
        <f t="shared" si="119"/>
        <v>0</v>
      </c>
      <c r="AU45" s="89">
        <f t="shared" si="120"/>
        <v>119326.03920599999</v>
      </c>
      <c r="AV45" s="88">
        <f>AU45/'SUIVI RABAIS PRODUCTION ET C '!S9</f>
        <v>935.89050357647045</v>
      </c>
      <c r="AW45" s="181"/>
      <c r="AX45" s="278">
        <f>AX44/1000</f>
        <v>1000.46516503</v>
      </c>
      <c r="AY45" s="81" t="s">
        <v>180</v>
      </c>
      <c r="BB45" s="302">
        <f>IFERROR(BB44/1000,"-")</f>
        <v>536.48242571817991</v>
      </c>
      <c r="BC45" s="81" t="s">
        <v>180</v>
      </c>
    </row>
    <row r="46" spans="2:109" x14ac:dyDescent="0.35">
      <c r="B46" s="5" t="s">
        <v>121</v>
      </c>
      <c r="C46" s="80">
        <f>SUM(C41:C45)</f>
        <v>72580.100000000006</v>
      </c>
      <c r="D46" s="5">
        <f t="shared" ref="D46:AT46" si="121">SUM(D41:D45)</f>
        <v>483590.83771428565</v>
      </c>
      <c r="E46" s="5">
        <f t="shared" si="121"/>
        <v>113039.35831571427</v>
      </c>
      <c r="F46" s="29">
        <f t="shared" si="121"/>
        <v>596630.19602999999</v>
      </c>
      <c r="G46" s="29">
        <f t="shared" si="121"/>
        <v>0</v>
      </c>
      <c r="H46" s="29">
        <f t="shared" si="121"/>
        <v>0</v>
      </c>
      <c r="I46" s="29">
        <f t="shared" si="121"/>
        <v>0</v>
      </c>
      <c r="J46" s="5">
        <f t="shared" si="121"/>
        <v>0</v>
      </c>
      <c r="K46" s="5">
        <f t="shared" si="121"/>
        <v>0</v>
      </c>
      <c r="L46" s="29">
        <f t="shared" si="121"/>
        <v>0</v>
      </c>
      <c r="M46" s="5">
        <f t="shared" si="121"/>
        <v>0</v>
      </c>
      <c r="N46" s="29">
        <f t="shared" si="121"/>
        <v>0</v>
      </c>
      <c r="O46" s="5">
        <f t="shared" si="121"/>
        <v>0</v>
      </c>
      <c r="P46" s="29">
        <f t="shared" si="121"/>
        <v>0</v>
      </c>
      <c r="Q46" s="5">
        <f t="shared" si="121"/>
        <v>0</v>
      </c>
      <c r="R46" s="5">
        <f t="shared" si="121"/>
        <v>0</v>
      </c>
      <c r="S46" s="5">
        <f t="shared" si="121"/>
        <v>0</v>
      </c>
      <c r="T46" s="5">
        <f t="shared" si="121"/>
        <v>0</v>
      </c>
      <c r="U46" s="5">
        <f t="shared" si="121"/>
        <v>0</v>
      </c>
      <c r="V46" s="5">
        <f t="shared" si="121"/>
        <v>0</v>
      </c>
      <c r="W46" s="5">
        <f t="shared" si="121"/>
        <v>0</v>
      </c>
      <c r="X46" s="5">
        <f t="shared" si="121"/>
        <v>0</v>
      </c>
      <c r="Y46" s="5">
        <f t="shared" si="121"/>
        <v>0</v>
      </c>
      <c r="Z46" s="5">
        <f t="shared" si="121"/>
        <v>0</v>
      </c>
      <c r="AA46" s="5">
        <f t="shared" si="121"/>
        <v>0</v>
      </c>
      <c r="AB46" s="5">
        <f t="shared" si="121"/>
        <v>0</v>
      </c>
      <c r="AC46" s="5">
        <f t="shared" si="121"/>
        <v>0</v>
      </c>
      <c r="AD46" s="5">
        <f t="shared" si="121"/>
        <v>0</v>
      </c>
      <c r="AE46" s="5">
        <f t="shared" si="121"/>
        <v>0</v>
      </c>
      <c r="AF46" s="5">
        <f t="shared" si="121"/>
        <v>0</v>
      </c>
      <c r="AG46" s="5">
        <f t="shared" si="121"/>
        <v>0</v>
      </c>
      <c r="AH46" s="5">
        <f t="shared" si="121"/>
        <v>0</v>
      </c>
      <c r="AI46" s="5">
        <f t="shared" si="121"/>
        <v>0</v>
      </c>
      <c r="AJ46" s="5">
        <f t="shared" si="121"/>
        <v>0</v>
      </c>
      <c r="AK46" s="5">
        <f t="shared" si="121"/>
        <v>0</v>
      </c>
      <c r="AL46" s="5">
        <f t="shared" si="121"/>
        <v>0</v>
      </c>
      <c r="AM46" s="5">
        <f t="shared" si="121"/>
        <v>0</v>
      </c>
      <c r="AN46" s="5">
        <f t="shared" si="121"/>
        <v>0</v>
      </c>
      <c r="AO46" s="5">
        <f t="shared" si="121"/>
        <v>0</v>
      </c>
      <c r="AP46" s="5">
        <f t="shared" si="121"/>
        <v>0</v>
      </c>
      <c r="AQ46" s="5">
        <f t="shared" si="121"/>
        <v>0</v>
      </c>
      <c r="AR46" s="5">
        <f t="shared" si="121"/>
        <v>0</v>
      </c>
      <c r="AS46" s="5">
        <f t="shared" si="121"/>
        <v>0</v>
      </c>
      <c r="AT46" s="5">
        <f t="shared" si="121"/>
        <v>0</v>
      </c>
      <c r="AU46" s="37">
        <f>SUM(AU41:AU45)</f>
        <v>596630.19602999999</v>
      </c>
      <c r="AV46" s="277" cm="1">
        <f t="array" ref="AV46">AVERAGE(($AO$31:$AO$35+$AU$41:$AU$45)/TRANSPOSE('SUIVI RABAIS PRODUCTION ET C '!O9:S9))</f>
        <v>1569.3571216156861</v>
      </c>
    </row>
    <row r="47" spans="2:109" ht="15" thickBot="1" x14ac:dyDescent="0.4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160</v>
      </c>
      <c r="C48" s="77"/>
      <c r="D48" s="77"/>
      <c r="E48" s="77"/>
      <c r="F48" s="77"/>
      <c r="G48" s="77"/>
      <c r="H48" s="77"/>
      <c r="I48" s="77"/>
      <c r="BB48" s="526" t="s">
        <v>181</v>
      </c>
      <c r="BC48" s="527"/>
      <c r="BD48" s="528"/>
    </row>
    <row r="49" spans="2:56" ht="15" customHeight="1" x14ac:dyDescent="0.35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  <c r="BB49" s="529"/>
      <c r="BC49" s="530"/>
      <c r="BD49" s="531"/>
    </row>
    <row r="50" spans="2:56" ht="15" thickBot="1" x14ac:dyDescent="0.4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  <c r="BB50" s="529"/>
      <c r="BC50" s="530"/>
      <c r="BD50" s="531"/>
    </row>
    <row r="51" spans="2:56" ht="15" thickBot="1" x14ac:dyDescent="0.4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  <c r="BA51" s="187"/>
      <c r="BB51" s="303">
        <f>IFERROR(BB44*(1+'SUIVI RABAIS PRODUCTION ET C '!D75),"-")</f>
        <v>536482.4257181799</v>
      </c>
      <c r="BC51" s="1" t="s">
        <v>182</v>
      </c>
    </row>
    <row r="52" spans="2:56" x14ac:dyDescent="0.35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  <c r="AZ52" s="90"/>
      <c r="BB52" s="303">
        <f>IFERROR(BB51/1000,"-")</f>
        <v>536.48242571817991</v>
      </c>
      <c r="BC52" s="1" t="s">
        <v>180</v>
      </c>
    </row>
    <row r="53" spans="2:56" x14ac:dyDescent="0.35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  <c r="AV53" s="181"/>
    </row>
    <row r="54" spans="2:56" x14ac:dyDescent="0.35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56" x14ac:dyDescent="0.35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56" x14ac:dyDescent="0.35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56" x14ac:dyDescent="0.35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56" x14ac:dyDescent="0.35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56" x14ac:dyDescent="0.35">
      <c r="C61" s="386" t="s">
        <v>29</v>
      </c>
      <c r="D61" s="387"/>
      <c r="E61" s="387"/>
      <c r="F61" s="387"/>
      <c r="G61" s="387"/>
      <c r="H61" s="388"/>
      <c r="I61" s="386" t="s">
        <v>124</v>
      </c>
      <c r="J61" s="387"/>
      <c r="K61" s="387"/>
      <c r="L61" s="387"/>
      <c r="M61" s="387"/>
      <c r="N61" s="387"/>
      <c r="O61" s="387"/>
      <c r="P61" s="387"/>
      <c r="Q61" s="387"/>
      <c r="R61" s="388"/>
    </row>
    <row r="62" spans="2:56" ht="14.5" customHeight="1" x14ac:dyDescent="0.35">
      <c r="C62" s="374" t="str">
        <f>BQ5</f>
        <v>Bactériosol concentré</v>
      </c>
      <c r="D62" s="374" t="str">
        <f>BT5</f>
        <v>Bactériolit concentré</v>
      </c>
      <c r="E62" s="374">
        <f>BW5</f>
        <v>0</v>
      </c>
      <c r="F62" s="374">
        <f>BZ5</f>
        <v>0</v>
      </c>
      <c r="G62" s="374">
        <f>CC5</f>
        <v>0</v>
      </c>
      <c r="H62" s="374">
        <f>CF5</f>
        <v>0</v>
      </c>
      <c r="I62" s="377" t="s">
        <v>50</v>
      </c>
      <c r="J62" s="377" t="s">
        <v>51</v>
      </c>
      <c r="K62" s="377" t="s">
        <v>52</v>
      </c>
      <c r="L62" s="383" t="s">
        <v>53</v>
      </c>
      <c r="M62" s="383" t="s">
        <v>54</v>
      </c>
      <c r="N62" s="383" t="s">
        <v>55</v>
      </c>
      <c r="O62" s="383" t="s">
        <v>56</v>
      </c>
      <c r="P62" s="383" t="s">
        <v>57</v>
      </c>
      <c r="Q62" s="383" t="s">
        <v>58</v>
      </c>
      <c r="R62" s="383" t="s">
        <v>59</v>
      </c>
    </row>
    <row r="63" spans="2:56" x14ac:dyDescent="0.35">
      <c r="C63" s="375"/>
      <c r="D63" s="375"/>
      <c r="E63" s="375"/>
      <c r="F63" s="375"/>
      <c r="G63" s="375"/>
      <c r="H63" s="375"/>
      <c r="I63" s="378"/>
      <c r="J63" s="378"/>
      <c r="K63" s="378"/>
      <c r="L63" s="384"/>
      <c r="M63" s="384"/>
      <c r="N63" s="384"/>
      <c r="O63" s="384"/>
      <c r="P63" s="384"/>
      <c r="Q63" s="384"/>
      <c r="R63" s="384"/>
    </row>
    <row r="64" spans="2:56" x14ac:dyDescent="0.35">
      <c r="C64" s="376"/>
      <c r="D64" s="376"/>
      <c r="E64" s="376"/>
      <c r="F64" s="376"/>
      <c r="G64" s="376"/>
      <c r="H64" s="376"/>
      <c r="I64" s="378"/>
      <c r="J64" s="378"/>
      <c r="K64" s="378"/>
      <c r="L64" s="384"/>
      <c r="M64" s="384"/>
      <c r="N64" s="384"/>
      <c r="O64" s="384"/>
      <c r="P64" s="384"/>
      <c r="Q64" s="384"/>
      <c r="R64" s="384"/>
    </row>
    <row r="65" spans="2:18" x14ac:dyDescent="0.35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/>
  <dimension ref="B1:AB65"/>
  <sheetViews>
    <sheetView zoomScale="85" zoomScaleNormal="85" workbookViewId="0">
      <selection activeCell="J7" sqref="J7"/>
    </sheetView>
  </sheetViews>
  <sheetFormatPr baseColWidth="10" defaultColWidth="11.54296875" defaultRowHeight="14.5" x14ac:dyDescent="0.35"/>
  <cols>
    <col min="3" max="3" width="14.81640625" customWidth="1"/>
    <col min="4" max="4" width="17.26953125" customWidth="1"/>
    <col min="5" max="5" width="17" customWidth="1"/>
    <col min="6" max="6" width="19.7265625" customWidth="1"/>
    <col min="7" max="7" width="21.1796875" customWidth="1"/>
    <col min="8" max="8" width="7.7265625" customWidth="1"/>
    <col min="9" max="9" width="12.26953125" customWidth="1"/>
    <col min="10" max="11" width="19.26953125" customWidth="1"/>
    <col min="12" max="12" width="12" customWidth="1"/>
    <col min="13" max="13" width="13.81640625" customWidth="1"/>
    <col min="15" max="15" width="12.453125" customWidth="1"/>
    <col min="17" max="17" width="18.54296875" customWidth="1"/>
    <col min="18" max="18" width="16" bestFit="1" customWidth="1"/>
    <col min="21" max="21" width="18" bestFit="1" customWidth="1"/>
    <col min="27" max="71" width="11.7265625" customWidth="1"/>
  </cols>
  <sheetData>
    <row r="1" spans="2:21" ht="15" customHeight="1" x14ac:dyDescent="0.35">
      <c r="B1" s="403" t="s">
        <v>207</v>
      </c>
      <c r="C1" s="403"/>
      <c r="D1" s="403"/>
      <c r="E1" s="403"/>
      <c r="F1" s="403"/>
      <c r="G1" s="403"/>
      <c r="H1" s="403"/>
      <c r="I1" s="403"/>
      <c r="J1" s="403"/>
      <c r="K1" s="403"/>
    </row>
    <row r="2" spans="2:21" ht="15" customHeight="1" x14ac:dyDescent="0.35">
      <c r="B2" s="403"/>
      <c r="C2" s="403"/>
      <c r="D2" s="403"/>
      <c r="E2" s="403"/>
      <c r="F2" s="403"/>
      <c r="G2" s="403"/>
      <c r="H2" s="403"/>
      <c r="I2" s="403"/>
      <c r="J2" s="403"/>
      <c r="K2" s="403"/>
    </row>
    <row r="4" spans="2:21" ht="15" customHeight="1" x14ac:dyDescent="0.35">
      <c r="B4" s="134" t="s">
        <v>208</v>
      </c>
      <c r="D4" t="s">
        <v>244</v>
      </c>
    </row>
    <row r="5" spans="2:21" x14ac:dyDescent="0.35">
      <c r="B5" t="s">
        <v>209</v>
      </c>
    </row>
    <row r="6" spans="2:21" x14ac:dyDescent="0.35">
      <c r="B6" s="537" t="s">
        <v>210</v>
      </c>
      <c r="C6" s="537"/>
      <c r="D6" s="537"/>
      <c r="E6" s="537"/>
    </row>
    <row r="7" spans="2:21" x14ac:dyDescent="0.35">
      <c r="C7" s="135"/>
      <c r="D7" s="135"/>
      <c r="E7" s="135"/>
    </row>
    <row r="8" spans="2:21" ht="15" thickBot="1" x14ac:dyDescent="0.4">
      <c r="B8" s="7" t="s">
        <v>211</v>
      </c>
    </row>
    <row r="9" spans="2:21" ht="15" thickBot="1" x14ac:dyDescent="0.4">
      <c r="C9" s="136" t="s">
        <v>212</v>
      </c>
      <c r="D9" s="137"/>
      <c r="E9" s="99" t="s">
        <v>173</v>
      </c>
      <c r="F9" s="136" t="s">
        <v>213</v>
      </c>
      <c r="G9" s="138" t="str">
        <f>IF(E9="O","N",IF(E9= "N", "O", "saisir O ou N dans la zone dédiée références spécifiques"))</f>
        <v>O</v>
      </c>
      <c r="H9" s="135"/>
      <c r="I9" s="135"/>
    </row>
    <row r="10" spans="2:21" x14ac:dyDescent="0.35">
      <c r="B10" s="7"/>
      <c r="C10" s="135"/>
      <c r="E10" s="7"/>
      <c r="F10" s="135"/>
      <c r="G10" s="135"/>
      <c r="H10" s="135"/>
      <c r="I10" s="135"/>
    </row>
    <row r="11" spans="2:21" ht="59.25" customHeight="1" thickBot="1" x14ac:dyDescent="0.4">
      <c r="E11" s="4" t="s">
        <v>184</v>
      </c>
      <c r="F11" s="139" t="str">
        <f>IF(E9="O", "IFT herbicide exploitation", "IFT herbicide référence régionale")</f>
        <v>IFT herbicide référence régionale</v>
      </c>
      <c r="G11" s="140" t="str">
        <f>IF(E9="O", "IFT hors herbicide exploitation", "IFT hors herbicide référence régionale")</f>
        <v>IFT hors herbicide référence régionale</v>
      </c>
      <c r="H11" s="4"/>
      <c r="I11" s="4" t="s">
        <v>184</v>
      </c>
      <c r="J11" s="139" t="s">
        <v>214</v>
      </c>
      <c r="K11" s="140" t="s">
        <v>215</v>
      </c>
      <c r="S11" s="166"/>
    </row>
    <row r="12" spans="2:21" ht="15" thickBot="1" x14ac:dyDescent="0.4">
      <c r="E12" s="2" t="s">
        <v>66</v>
      </c>
      <c r="F12" s="308">
        <v>4.146540881</v>
      </c>
      <c r="G12" s="308">
        <v>4.5611320749999997</v>
      </c>
      <c r="I12" s="2" t="s">
        <v>173</v>
      </c>
      <c r="J12" s="100">
        <v>2.9</v>
      </c>
      <c r="K12" s="100">
        <v>2.5</v>
      </c>
      <c r="L12" s="182"/>
      <c r="M12" s="532" t="s">
        <v>216</v>
      </c>
      <c r="N12" s="533"/>
      <c r="O12" s="533"/>
      <c r="P12" s="180">
        <f>IF(AND(F17=0,J17=0),"/",IF(AND(J17&lt;&gt;0,F17=0),1,(J17-F17)/F17))</f>
        <v>-0.31975159597030561</v>
      </c>
      <c r="Q12" s="142"/>
      <c r="R12" s="182"/>
      <c r="S12" s="181"/>
    </row>
    <row r="13" spans="2:21" ht="15" thickBot="1" x14ac:dyDescent="0.4">
      <c r="E13" s="2" t="s">
        <v>67</v>
      </c>
      <c r="F13" s="308">
        <v>4.3234908140000003</v>
      </c>
      <c r="G13" s="308">
        <v>4.6864829400000003</v>
      </c>
      <c r="I13" s="2" t="s">
        <v>174</v>
      </c>
      <c r="J13" s="100">
        <v>2.9</v>
      </c>
      <c r="K13" s="100">
        <v>2.5</v>
      </c>
      <c r="M13" s="143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144"/>
      <c r="O13" s="144"/>
      <c r="P13" s="144"/>
      <c r="Q13" s="145"/>
    </row>
    <row r="14" spans="2:21" ht="15" thickBot="1" x14ac:dyDescent="0.4">
      <c r="E14" s="2" t="s">
        <v>68</v>
      </c>
      <c r="F14" s="308">
        <v>4.2569880820000003</v>
      </c>
      <c r="G14" s="308">
        <v>5.4755146259999998</v>
      </c>
      <c r="I14" s="2" t="s">
        <v>175</v>
      </c>
      <c r="J14" s="100">
        <v>2.9</v>
      </c>
      <c r="K14" s="100">
        <v>2.5</v>
      </c>
      <c r="U14" s="181"/>
    </row>
    <row r="15" spans="2:21" ht="15" thickBot="1" x14ac:dyDescent="0.4">
      <c r="E15" s="2" t="s">
        <v>69</v>
      </c>
      <c r="F15" s="308">
        <v>4.2662287900000004</v>
      </c>
      <c r="G15" s="308">
        <v>5.1897099070000001</v>
      </c>
      <c r="I15" s="2" t="s">
        <v>176</v>
      </c>
      <c r="J15" s="100">
        <v>2.9</v>
      </c>
      <c r="K15" s="100">
        <v>2.5</v>
      </c>
      <c r="M15" s="534" t="s">
        <v>217</v>
      </c>
      <c r="N15" s="535"/>
      <c r="O15" s="535"/>
      <c r="P15" s="179">
        <f>IF(AND(G17=0,K17=0),"/",IF(AND(K17&lt;&gt;0,G17=0),1,(K17-G17)/G17))</f>
        <v>-0.50218714918966612</v>
      </c>
      <c r="Q15" s="146"/>
    </row>
    <row r="16" spans="2:21" ht="15" thickBot="1" x14ac:dyDescent="0.4">
      <c r="E16" s="2" t="s">
        <v>70</v>
      </c>
      <c r="F16" s="308">
        <v>4.2662287900000004</v>
      </c>
      <c r="G16" s="308">
        <v>5.1897099070000001</v>
      </c>
      <c r="I16" s="2" t="s">
        <v>177</v>
      </c>
      <c r="J16" s="100">
        <v>2.9</v>
      </c>
      <c r="K16" s="100">
        <v>2.5</v>
      </c>
      <c r="M16" s="147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41"/>
      <c r="O16" s="141"/>
      <c r="P16" s="141"/>
      <c r="Q16" s="142"/>
    </row>
    <row r="17" spans="2:28" ht="66" customHeight="1" thickBot="1" x14ac:dyDescent="0.4">
      <c r="E17" s="148" t="s">
        <v>218</v>
      </c>
      <c r="F17" s="65">
        <f>IFERROR(TRIMMEAN(F12:F16,0.5),0)</f>
        <v>4.2631485540000007</v>
      </c>
      <c r="G17" s="65">
        <f>IFERROR(TRIMMEAN(G12:G16,0.5),0)</f>
        <v>5.0219675846666663</v>
      </c>
      <c r="I17" s="148" t="s">
        <v>219</v>
      </c>
      <c r="J17" s="65">
        <f>IFERROR(TRIMMEAN(J12:J16,0.5),0)</f>
        <v>2.9</v>
      </c>
      <c r="K17" s="65">
        <f>IFERROR(TRIMMEAN(K12:K16,0.5),0)</f>
        <v>2.5</v>
      </c>
    </row>
    <row r="18" spans="2:28" ht="15" thickBot="1" x14ac:dyDescent="0.4">
      <c r="E18" s="149"/>
      <c r="F18" s="30"/>
      <c r="G18" s="30"/>
      <c r="I18" s="149"/>
      <c r="J18" s="30"/>
      <c r="K18" s="30"/>
      <c r="M18" s="150" t="s">
        <v>220</v>
      </c>
      <c r="N18" s="151"/>
      <c r="O18" s="151"/>
      <c r="P18" s="151"/>
      <c r="Q18" s="151"/>
      <c r="R18" s="152">
        <f>IF(P12&lt;0,ROUNDDOWN(-(P12-(-IF(E9="O",0.1,0.2)))/0.05,0),0)</f>
        <v>2</v>
      </c>
      <c r="S18" s="170"/>
    </row>
    <row r="19" spans="2:28" ht="24" thickBot="1" x14ac:dyDescent="0.4">
      <c r="B19" s="134" t="s">
        <v>221</v>
      </c>
      <c r="D19" t="s">
        <v>245</v>
      </c>
      <c r="M19" s="153" t="s">
        <v>222</v>
      </c>
      <c r="N19" s="154"/>
      <c r="O19" s="154"/>
      <c r="P19" s="154"/>
      <c r="Q19" s="154"/>
      <c r="R19" s="152">
        <f>IF(P15&lt;0,ROUNDDOWN(-(P15-(-IF(E9="O",0.3,0.5)))/0.05,0),0)</f>
        <v>0</v>
      </c>
    </row>
    <row r="20" spans="2:28" ht="31.5" customHeight="1" thickBot="1" x14ac:dyDescent="0.4">
      <c r="B20" s="134"/>
      <c r="E20" s="4" t="s">
        <v>184</v>
      </c>
      <c r="F20" s="155" t="s">
        <v>223</v>
      </c>
      <c r="I20" s="4" t="s">
        <v>184</v>
      </c>
      <c r="J20" s="155" t="s">
        <v>223</v>
      </c>
      <c r="K20" s="156"/>
    </row>
    <row r="21" spans="2:28" ht="15.75" customHeight="1" thickBot="1" x14ac:dyDescent="0.4">
      <c r="B21" s="134"/>
      <c r="E21" s="2" t="s">
        <v>66</v>
      </c>
      <c r="F21" s="100"/>
      <c r="I21" s="2" t="s">
        <v>173</v>
      </c>
      <c r="J21" s="100"/>
      <c r="K21" s="4"/>
      <c r="L21" s="538" t="s">
        <v>224</v>
      </c>
      <c r="M21" s="539"/>
      <c r="N21" s="539"/>
      <c r="O21" s="540"/>
      <c r="P21" s="186" t="str">
        <f>IF(AND(F26=0,J26=0),"/",-(F26-J26)/F26)</f>
        <v>/</v>
      </c>
      <c r="Q21" s="157"/>
    </row>
    <row r="22" spans="2:28" ht="15.75" customHeight="1" thickBot="1" x14ac:dyDescent="0.4">
      <c r="B22" s="134"/>
      <c r="E22" s="2" t="s">
        <v>67</v>
      </c>
      <c r="F22" s="100"/>
      <c r="I22" s="2" t="s">
        <v>174</v>
      </c>
      <c r="J22" s="100"/>
      <c r="K22" s="4"/>
      <c r="L22" s="143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44"/>
      <c r="N22" s="144"/>
      <c r="O22" s="144"/>
      <c r="P22" s="144"/>
      <c r="Q22" s="145"/>
    </row>
    <row r="23" spans="2:28" ht="15.75" customHeight="1" x14ac:dyDescent="0.35">
      <c r="B23" s="134"/>
      <c r="E23" s="2" t="s">
        <v>68</v>
      </c>
      <c r="F23" s="100"/>
      <c r="I23" s="2" t="s">
        <v>175</v>
      </c>
      <c r="J23" s="100"/>
      <c r="K23" s="4"/>
      <c r="L23" s="158"/>
      <c r="M23" s="158"/>
      <c r="N23" s="158"/>
      <c r="O23" s="158"/>
      <c r="P23" s="158"/>
    </row>
    <row r="24" spans="2:28" ht="15.75" customHeight="1" x14ac:dyDescent="0.35">
      <c r="B24" s="134"/>
      <c r="E24" s="2" t="s">
        <v>69</v>
      </c>
      <c r="F24" s="100"/>
      <c r="I24" s="2" t="s">
        <v>176</v>
      </c>
      <c r="J24" s="100"/>
      <c r="K24" s="4"/>
      <c r="Q24" s="3"/>
    </row>
    <row r="25" spans="2:28" ht="15.75" customHeight="1" thickBot="1" x14ac:dyDescent="0.4">
      <c r="B25" s="134"/>
      <c r="E25" s="2" t="s">
        <v>70</v>
      </c>
      <c r="F25" s="100"/>
      <c r="I25" s="2" t="s">
        <v>177</v>
      </c>
      <c r="J25" s="100"/>
      <c r="K25" s="4"/>
      <c r="M25" s="159"/>
      <c r="N25" s="159"/>
      <c r="O25" s="159"/>
    </row>
    <row r="26" spans="2:28" ht="44.25" customHeight="1" thickBot="1" x14ac:dyDescent="0.4">
      <c r="B26" s="134"/>
      <c r="E26" s="160" t="s">
        <v>225</v>
      </c>
      <c r="F26" s="65">
        <f>SUM(F21:F25)</f>
        <v>0</v>
      </c>
      <c r="I26" s="160" t="s">
        <v>225</v>
      </c>
      <c r="J26" s="65">
        <f>SUM(J21:J25)</f>
        <v>0</v>
      </c>
      <c r="K26" s="30"/>
      <c r="L26" s="541" t="s">
        <v>226</v>
      </c>
      <c r="M26" s="542"/>
      <c r="N26" s="542"/>
      <c r="O26" s="543"/>
      <c r="P26" s="161">
        <f>IF(P21&lt;0,ROUNDDOWN((-P21-0.3)/0.1,0),0)</f>
        <v>0</v>
      </c>
    </row>
    <row r="28" spans="2:28" ht="23.5" x14ac:dyDescent="0.35">
      <c r="B28" s="134" t="s">
        <v>227</v>
      </c>
    </row>
    <row r="29" spans="2:28" x14ac:dyDescent="0.35"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P29" s="98"/>
      <c r="Q29" s="98"/>
      <c r="R29" s="98"/>
      <c r="S29" s="98"/>
      <c r="T29" s="98"/>
      <c r="U29" s="98"/>
      <c r="V29" s="98"/>
      <c r="W29" s="98"/>
      <c r="X29" s="98"/>
      <c r="Y29" s="98"/>
    </row>
    <row r="30" spans="2:28" x14ac:dyDescent="0.35">
      <c r="B30" s="98"/>
      <c r="C30" s="98"/>
      <c r="D30" s="536" t="s">
        <v>228</v>
      </c>
      <c r="E30" s="536"/>
      <c r="F30" s="536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2:28" x14ac:dyDescent="0.35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162"/>
      <c r="M31" s="162"/>
      <c r="N31" s="162"/>
      <c r="O31" s="162"/>
      <c r="P31" s="162"/>
      <c r="Q31" s="165"/>
      <c r="R31" s="163"/>
      <c r="S31" s="98"/>
      <c r="T31" s="98"/>
      <c r="U31" s="98"/>
      <c r="V31" s="98"/>
      <c r="W31" s="98"/>
      <c r="X31" s="98"/>
      <c r="Y31" s="98"/>
      <c r="Z31" s="98"/>
      <c r="AA31" s="98"/>
      <c r="AB31" s="98"/>
    </row>
    <row r="32" spans="2:28" x14ac:dyDescent="0.35"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162"/>
      <c r="M32" s="162"/>
      <c r="N32" s="162"/>
      <c r="O32" s="162"/>
      <c r="P32" s="162"/>
      <c r="Q32" s="165"/>
      <c r="R32" s="163"/>
      <c r="S32" s="98"/>
      <c r="T32" s="98"/>
      <c r="U32" s="98"/>
      <c r="V32" s="98"/>
      <c r="W32" s="98"/>
      <c r="X32" s="98"/>
      <c r="Y32" s="98"/>
      <c r="Z32" s="98"/>
      <c r="AA32" s="98"/>
      <c r="AB32" s="98"/>
    </row>
    <row r="33" spans="2:28" x14ac:dyDescent="0.35"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162"/>
      <c r="M33" s="162"/>
      <c r="N33" s="162"/>
      <c r="O33" s="162"/>
      <c r="P33" s="162"/>
      <c r="Q33" s="165"/>
      <c r="R33" s="163"/>
      <c r="S33" s="164"/>
      <c r="T33" s="98"/>
      <c r="U33" s="98"/>
      <c r="V33" s="98"/>
      <c r="W33" s="98"/>
      <c r="X33" s="98"/>
      <c r="Y33" s="98"/>
      <c r="Z33" s="98"/>
      <c r="AA33" s="98"/>
      <c r="AB33" s="98"/>
    </row>
    <row r="34" spans="2:28" x14ac:dyDescent="0.3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162"/>
      <c r="M34" s="162"/>
      <c r="N34" s="162"/>
      <c r="O34" s="162"/>
      <c r="P34" s="162"/>
      <c r="Q34" s="165"/>
      <c r="R34" s="163"/>
      <c r="S34" s="164"/>
      <c r="T34" s="98"/>
      <c r="U34" s="98"/>
      <c r="V34" s="98"/>
      <c r="W34" s="98"/>
      <c r="X34" s="98"/>
      <c r="Y34" s="98"/>
      <c r="Z34" s="98"/>
      <c r="AA34" s="98"/>
      <c r="AB34" s="98"/>
    </row>
    <row r="35" spans="2:28" x14ac:dyDescent="0.35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162"/>
      <c r="M35" s="162"/>
      <c r="N35" s="162"/>
      <c r="O35" s="162"/>
      <c r="P35" s="162"/>
      <c r="Q35" s="165"/>
      <c r="R35" s="163"/>
      <c r="S35" s="164"/>
      <c r="T35" s="98"/>
      <c r="U35" s="98"/>
      <c r="V35" s="98"/>
      <c r="W35" s="98"/>
      <c r="X35" s="98"/>
      <c r="Y35" s="98"/>
      <c r="Z35" s="98"/>
      <c r="AA35" s="98"/>
      <c r="AB35" s="98"/>
    </row>
    <row r="36" spans="2:28" x14ac:dyDescent="0.35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162"/>
      <c r="M36" s="162"/>
      <c r="N36" s="162"/>
      <c r="O36" s="162"/>
      <c r="P36" s="162"/>
      <c r="Q36" s="165"/>
      <c r="R36" s="163"/>
      <c r="S36" s="164"/>
      <c r="T36" s="98"/>
      <c r="U36" s="98"/>
      <c r="V36" s="98"/>
      <c r="W36" s="98"/>
      <c r="X36" s="98"/>
      <c r="Y36" s="98"/>
      <c r="Z36" s="98"/>
      <c r="AA36" s="98"/>
      <c r="AB36" s="98"/>
    </row>
    <row r="37" spans="2:28" x14ac:dyDescent="0.35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162"/>
      <c r="M37" s="162"/>
      <c r="N37" s="162"/>
      <c r="O37" s="162"/>
      <c r="P37" s="162"/>
      <c r="Q37" s="165"/>
      <c r="R37" s="163"/>
      <c r="S37" s="164"/>
      <c r="T37" s="98"/>
      <c r="U37" s="98"/>
      <c r="V37" s="98"/>
      <c r="W37" s="98"/>
      <c r="X37" s="98"/>
      <c r="Y37" s="98"/>
      <c r="Z37" s="98"/>
      <c r="AA37" s="98"/>
      <c r="AB37" s="98"/>
    </row>
    <row r="38" spans="2:28" x14ac:dyDescent="0.35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2:28" x14ac:dyDescent="0.35"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162"/>
      <c r="N39" s="162"/>
      <c r="O39" s="162"/>
      <c r="P39" s="162"/>
      <c r="Q39" s="98"/>
      <c r="R39" s="98"/>
      <c r="S39" s="98"/>
      <c r="U39" s="98"/>
      <c r="V39" s="98"/>
      <c r="W39" s="98"/>
      <c r="X39" s="98"/>
      <c r="Y39" s="98"/>
      <c r="Z39" s="98"/>
    </row>
    <row r="40" spans="2:28" x14ac:dyDescent="0.35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162"/>
      <c r="M40" s="162"/>
      <c r="N40" s="162"/>
      <c r="O40" s="165"/>
      <c r="P40" s="165"/>
      <c r="Q40" s="165"/>
      <c r="R40" s="165"/>
      <c r="S40" s="165"/>
      <c r="T40" s="98"/>
      <c r="U40" s="98"/>
      <c r="V40" s="98"/>
      <c r="W40" s="98"/>
      <c r="X40" s="98"/>
      <c r="Y40" s="98"/>
      <c r="Z40" s="98"/>
    </row>
    <row r="41" spans="2:28" x14ac:dyDescent="0.35"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162"/>
      <c r="M41" s="162"/>
      <c r="N41" s="162"/>
      <c r="O41" s="165"/>
      <c r="P41" s="165"/>
      <c r="Q41" s="165"/>
      <c r="R41" s="165"/>
      <c r="S41" s="165"/>
      <c r="T41" s="98"/>
      <c r="U41" s="98"/>
      <c r="V41" s="98"/>
      <c r="W41" s="98"/>
      <c r="X41" s="98"/>
      <c r="Y41" s="98"/>
      <c r="Z41" s="98"/>
    </row>
    <row r="42" spans="2:28" x14ac:dyDescent="0.35"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162"/>
      <c r="M42" s="162"/>
      <c r="N42" s="162"/>
      <c r="O42" s="165"/>
      <c r="P42" s="165"/>
      <c r="Q42" s="165"/>
      <c r="R42" s="165"/>
      <c r="S42" s="165"/>
      <c r="T42" s="98"/>
      <c r="U42" s="98"/>
      <c r="V42" s="98"/>
      <c r="W42" s="98"/>
      <c r="X42" s="98"/>
      <c r="Y42" s="98"/>
    </row>
    <row r="43" spans="2:28" x14ac:dyDescent="0.35"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162"/>
      <c r="M43" s="162"/>
      <c r="N43" s="162"/>
      <c r="O43" s="165"/>
      <c r="P43" s="165"/>
      <c r="Q43" s="165"/>
      <c r="R43" s="165"/>
      <c r="S43" s="165"/>
      <c r="T43" s="98"/>
      <c r="U43" s="98"/>
      <c r="V43" s="98"/>
      <c r="W43" s="98"/>
      <c r="X43" s="98"/>
      <c r="Y43" s="98"/>
    </row>
    <row r="44" spans="2:28" x14ac:dyDescent="0.35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162"/>
      <c r="M44" s="162"/>
      <c r="N44" s="162"/>
      <c r="O44" s="165"/>
      <c r="P44" s="165"/>
      <c r="Q44" s="165"/>
      <c r="R44" s="165"/>
      <c r="S44" s="165"/>
      <c r="T44" s="98"/>
      <c r="U44" s="98"/>
      <c r="V44" s="98"/>
      <c r="W44" s="98"/>
      <c r="X44" s="98"/>
      <c r="Y44" s="98"/>
    </row>
    <row r="45" spans="2:28" x14ac:dyDescent="0.35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162"/>
      <c r="M45" s="162"/>
      <c r="N45" s="162"/>
      <c r="O45" s="165"/>
      <c r="P45" s="165"/>
      <c r="Q45" s="165"/>
      <c r="R45" s="165"/>
      <c r="S45" s="165"/>
      <c r="T45" s="98"/>
      <c r="U45" s="98"/>
      <c r="V45" s="98"/>
      <c r="W45" s="98"/>
      <c r="X45" s="98"/>
      <c r="Y45" s="98"/>
    </row>
    <row r="46" spans="2:28" x14ac:dyDescent="0.35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162"/>
      <c r="M46" s="162"/>
      <c r="N46" s="162"/>
      <c r="O46" s="165"/>
      <c r="P46" s="165"/>
      <c r="Q46" s="165"/>
      <c r="R46" s="165"/>
      <c r="S46" s="165"/>
      <c r="T46" s="98"/>
      <c r="U46" s="98"/>
      <c r="V46" s="98"/>
      <c r="W46" s="98"/>
      <c r="X46" s="98"/>
      <c r="Y46" s="98"/>
    </row>
    <row r="47" spans="2:28" x14ac:dyDescent="0.35"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165"/>
      <c r="P47" s="165"/>
      <c r="Q47" s="165"/>
      <c r="R47" s="165"/>
      <c r="S47" s="165"/>
      <c r="T47" s="98"/>
      <c r="U47" s="98"/>
      <c r="V47" s="98"/>
      <c r="W47" s="98"/>
      <c r="X47" s="98"/>
      <c r="Y47" s="98"/>
    </row>
    <row r="48" spans="2:28" x14ac:dyDescent="0.35"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165"/>
      <c r="P48" s="165"/>
      <c r="Q48" s="165"/>
      <c r="R48" s="165"/>
      <c r="S48" s="165"/>
      <c r="T48" s="98"/>
      <c r="U48" s="98"/>
      <c r="V48" s="98"/>
      <c r="W48" s="98"/>
      <c r="X48" s="98"/>
      <c r="Y48" s="98"/>
    </row>
    <row r="49" spans="2:25" x14ac:dyDescent="0.35"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165"/>
      <c r="P49" s="165"/>
      <c r="Q49" s="165"/>
      <c r="R49" s="165"/>
      <c r="S49" s="165"/>
      <c r="T49" s="98"/>
      <c r="U49" s="98"/>
      <c r="V49" s="98"/>
      <c r="W49" s="98"/>
      <c r="X49" s="98"/>
      <c r="Y49" s="98"/>
    </row>
    <row r="50" spans="2:25" x14ac:dyDescent="0.35"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165"/>
      <c r="P50" s="165"/>
      <c r="Q50" s="165"/>
      <c r="R50" s="165"/>
      <c r="S50" s="165"/>
      <c r="T50" s="98"/>
      <c r="U50" s="98"/>
      <c r="V50" s="98"/>
      <c r="W50" s="98"/>
      <c r="X50" s="98"/>
      <c r="Y50" s="98"/>
    </row>
    <row r="51" spans="2:25" x14ac:dyDescent="0.35"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165"/>
      <c r="P51" s="165"/>
      <c r="Q51" s="165"/>
      <c r="R51" s="165"/>
      <c r="S51" s="165"/>
      <c r="T51" s="98"/>
      <c r="U51" s="98"/>
      <c r="V51" s="98"/>
      <c r="W51" s="98"/>
      <c r="X51" s="98"/>
      <c r="Y51" s="98"/>
    </row>
    <row r="52" spans="2:25" x14ac:dyDescent="0.35"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165"/>
      <c r="P52" s="165"/>
      <c r="Q52" s="165"/>
      <c r="R52" s="165"/>
      <c r="S52" s="165"/>
      <c r="T52" s="98"/>
      <c r="U52" s="98"/>
      <c r="V52" s="98"/>
      <c r="W52" s="98"/>
      <c r="X52" s="98"/>
      <c r="Y52" s="98"/>
    </row>
    <row r="53" spans="2:25" x14ac:dyDescent="0.35"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165"/>
      <c r="P53" s="165"/>
      <c r="Q53" s="165"/>
      <c r="R53" s="165"/>
      <c r="S53" s="165"/>
      <c r="T53" s="98"/>
      <c r="U53" s="98"/>
      <c r="V53" s="98"/>
      <c r="W53" s="98"/>
      <c r="X53" s="98"/>
      <c r="Y53" s="98"/>
    </row>
    <row r="54" spans="2:25" x14ac:dyDescent="0.35"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</row>
    <row r="55" spans="2:25" x14ac:dyDescent="0.35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</row>
    <row r="56" spans="2:25" x14ac:dyDescent="0.35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</row>
    <row r="57" spans="2:25" x14ac:dyDescent="0.35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</row>
    <row r="58" spans="2:25" x14ac:dyDescent="0.35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</row>
    <row r="59" spans="2:25" x14ac:dyDescent="0.3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2:25" x14ac:dyDescent="0.35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</row>
    <row r="61" spans="2:25" x14ac:dyDescent="0.35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</row>
    <row r="62" spans="2:25" x14ac:dyDescent="0.3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2:25" x14ac:dyDescent="0.35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</row>
    <row r="64" spans="2:25" x14ac:dyDescent="0.35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2:25" x14ac:dyDescent="0.35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6"/>
  <dimension ref="A1:AP75"/>
  <sheetViews>
    <sheetView topLeftCell="A4" zoomScale="40" zoomScaleNormal="40" workbookViewId="0">
      <selection activeCell="K17" sqref="K17"/>
    </sheetView>
  </sheetViews>
  <sheetFormatPr baseColWidth="10" defaultColWidth="11.453125" defaultRowHeight="14.5" x14ac:dyDescent="0.35"/>
  <cols>
    <col min="2" max="39" width="16.7265625" customWidth="1"/>
    <col min="40" max="41" width="28.453125" customWidth="1"/>
    <col min="42" max="43" width="16.7265625" customWidth="1"/>
  </cols>
  <sheetData>
    <row r="1" spans="1:25" ht="15" customHeight="1" x14ac:dyDescent="0.75">
      <c r="B1" s="403" t="s">
        <v>183</v>
      </c>
      <c r="C1" s="403"/>
      <c r="D1" s="403"/>
      <c r="E1" s="403"/>
      <c r="F1" s="403"/>
      <c r="G1" s="403"/>
      <c r="H1" s="403"/>
      <c r="I1" s="403"/>
      <c r="J1" s="403"/>
      <c r="K1" s="403"/>
      <c r="L1" s="12"/>
    </row>
    <row r="2" spans="1:25" ht="15" customHeight="1" x14ac:dyDescent="0.75"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12"/>
    </row>
    <row r="3" spans="1:25" x14ac:dyDescent="0.35">
      <c r="A3" s="64"/>
      <c r="B3" s="64"/>
      <c r="C3" s="64"/>
      <c r="D3" s="64"/>
      <c r="E3" s="64"/>
      <c r="F3" s="64"/>
      <c r="G3" s="64"/>
      <c r="I3" s="64"/>
      <c r="R3" s="4"/>
      <c r="Y3" s="64"/>
    </row>
    <row r="4" spans="1:25" x14ac:dyDescent="0.35">
      <c r="B4" s="4"/>
      <c r="F4" s="17"/>
    </row>
    <row r="5" spans="1:25" ht="24" customHeight="1" x14ac:dyDescent="0.35">
      <c r="B5" s="548" t="s">
        <v>246</v>
      </c>
      <c r="C5" s="549"/>
      <c r="D5" s="549"/>
      <c r="E5" s="549"/>
      <c r="F5" s="549"/>
      <c r="G5" s="549"/>
      <c r="H5" s="549"/>
      <c r="I5" s="549"/>
      <c r="J5" s="549"/>
      <c r="K5" s="549"/>
      <c r="L5" s="549"/>
      <c r="M5" s="549"/>
      <c r="N5" s="549"/>
      <c r="O5" s="549"/>
      <c r="P5" s="549"/>
      <c r="Q5" s="549"/>
      <c r="R5" s="549"/>
      <c r="S5" s="549"/>
      <c r="T5" s="549"/>
      <c r="U5" s="549"/>
      <c r="V5" s="549"/>
      <c r="W5" s="549"/>
      <c r="X5" s="549"/>
    </row>
    <row r="7" spans="1:25" x14ac:dyDescent="0.35">
      <c r="B7" s="91" t="s">
        <v>240</v>
      </c>
      <c r="C7" s="92"/>
      <c r="D7" s="92"/>
      <c r="E7" s="92"/>
      <c r="F7" s="92"/>
      <c r="G7" s="92"/>
      <c r="H7" s="92"/>
      <c r="M7" s="200" t="s">
        <v>239</v>
      </c>
      <c r="N7" s="201"/>
      <c r="O7" s="201"/>
      <c r="P7" s="201"/>
      <c r="Q7" s="201"/>
      <c r="R7" s="201"/>
      <c r="S7" s="201"/>
    </row>
    <row r="8" spans="1:25" ht="25.5" customHeight="1" x14ac:dyDescent="0.35">
      <c r="C8" s="13" t="s">
        <v>184</v>
      </c>
      <c r="D8" s="2" t="s">
        <v>66</v>
      </c>
      <c r="E8" s="2" t="s">
        <v>67</v>
      </c>
      <c r="F8" s="2" t="s">
        <v>68</v>
      </c>
      <c r="G8" s="2" t="s">
        <v>69</v>
      </c>
      <c r="H8" s="2" t="s">
        <v>70</v>
      </c>
      <c r="N8" s="13" t="s">
        <v>184</v>
      </c>
      <c r="O8" s="2" t="s">
        <v>173</v>
      </c>
      <c r="P8" s="2" t="s">
        <v>174</v>
      </c>
      <c r="Q8" s="2" t="s">
        <v>175</v>
      </c>
      <c r="R8" s="2" t="s">
        <v>176</v>
      </c>
      <c r="S8" s="2" t="s">
        <v>177</v>
      </c>
    </row>
    <row r="9" spans="1:25" ht="69" customHeight="1" x14ac:dyDescent="0.35">
      <c r="C9" s="63" t="s">
        <v>185</v>
      </c>
      <c r="D9" s="101">
        <v>113.6</v>
      </c>
      <c r="E9" s="101">
        <v>111.3</v>
      </c>
      <c r="F9" s="101">
        <v>127.5</v>
      </c>
      <c r="G9" s="101">
        <v>127.5</v>
      </c>
      <c r="H9" s="101">
        <v>127.5</v>
      </c>
      <c r="N9" s="13" t="s">
        <v>185</v>
      </c>
      <c r="O9" s="101">
        <v>127.5</v>
      </c>
      <c r="P9" s="101">
        <v>127.5</v>
      </c>
      <c r="Q9" s="101">
        <v>127.5</v>
      </c>
      <c r="R9" s="101">
        <v>127.5</v>
      </c>
      <c r="S9" s="101">
        <v>127.5</v>
      </c>
    </row>
    <row r="10" spans="1:25" ht="69" customHeight="1" x14ac:dyDescent="0.35">
      <c r="C10" s="63" t="s">
        <v>186</v>
      </c>
      <c r="D10" s="101">
        <v>29.9</v>
      </c>
      <c r="E10" s="101">
        <v>30.1</v>
      </c>
      <c r="F10" s="101">
        <v>29.2</v>
      </c>
      <c r="G10" s="101">
        <v>30.25</v>
      </c>
      <c r="H10" s="101">
        <v>33.65</v>
      </c>
      <c r="N10" s="13" t="s">
        <v>186</v>
      </c>
      <c r="O10" s="101">
        <v>33.65</v>
      </c>
      <c r="P10" s="101">
        <v>33.65</v>
      </c>
      <c r="Q10" s="101">
        <v>33.65</v>
      </c>
      <c r="R10" s="101">
        <v>33.65</v>
      </c>
      <c r="S10" s="101">
        <v>33.65</v>
      </c>
    </row>
    <row r="11" spans="1:25" ht="29.25" customHeight="1" x14ac:dyDescent="0.35"/>
    <row r="12" spans="1:25" ht="29.25" customHeight="1" x14ac:dyDescent="0.35"/>
    <row r="13" spans="1:25" ht="28.5" customHeight="1" x14ac:dyDescent="0.35">
      <c r="B13" s="548" t="s">
        <v>242</v>
      </c>
      <c r="C13" s="549"/>
      <c r="D13" s="549"/>
      <c r="E13" s="549"/>
      <c r="F13" s="549"/>
      <c r="G13" s="549"/>
      <c r="H13" s="549"/>
      <c r="I13" s="549"/>
      <c r="J13" s="549"/>
      <c r="K13" s="549"/>
      <c r="L13" s="549"/>
      <c r="M13" s="549"/>
      <c r="N13" s="549"/>
      <c r="O13" s="549"/>
      <c r="P13" s="549"/>
      <c r="Q13" s="549"/>
      <c r="R13" s="549"/>
      <c r="S13" s="549"/>
      <c r="T13" s="549"/>
      <c r="U13" s="549"/>
      <c r="V13" s="549"/>
      <c r="W13" s="549"/>
      <c r="X13" s="549"/>
    </row>
    <row r="14" spans="1:25" ht="23.25" customHeight="1" x14ac:dyDescent="0.35"/>
    <row r="15" spans="1:25" ht="25.5" customHeight="1" x14ac:dyDescent="0.35">
      <c r="C15" s="13" t="s">
        <v>184</v>
      </c>
      <c r="D15" s="2" t="s">
        <v>66</v>
      </c>
      <c r="E15" s="2" t="s">
        <v>67</v>
      </c>
      <c r="F15" s="2" t="s">
        <v>68</v>
      </c>
      <c r="G15" s="2" t="s">
        <v>69</v>
      </c>
      <c r="H15" s="2" t="s">
        <v>70</v>
      </c>
      <c r="N15" s="13" t="s">
        <v>184</v>
      </c>
      <c r="O15" s="2" t="s">
        <v>173</v>
      </c>
      <c r="P15" s="2" t="s">
        <v>174</v>
      </c>
      <c r="Q15" s="2" t="s">
        <v>175</v>
      </c>
      <c r="R15" s="2" t="s">
        <v>176</v>
      </c>
      <c r="S15" s="2" t="s">
        <v>177</v>
      </c>
    </row>
    <row r="16" spans="1:25" ht="69" customHeight="1" x14ac:dyDescent="0.35">
      <c r="C16" s="63" t="s">
        <v>187</v>
      </c>
      <c r="D16" s="101">
        <v>66</v>
      </c>
      <c r="E16" s="101">
        <v>64</v>
      </c>
      <c r="F16" s="101">
        <v>65</v>
      </c>
      <c r="G16" s="101">
        <v>69</v>
      </c>
      <c r="H16" s="101">
        <v>69</v>
      </c>
      <c r="N16" s="13" t="s">
        <v>187</v>
      </c>
      <c r="O16" s="101">
        <v>69</v>
      </c>
      <c r="P16" s="101">
        <v>69</v>
      </c>
      <c r="Q16" s="101">
        <v>69</v>
      </c>
      <c r="R16" s="101">
        <v>69</v>
      </c>
      <c r="S16" s="101">
        <v>69</v>
      </c>
    </row>
    <row r="17" spans="2:41" ht="69" customHeight="1" thickBot="1" x14ac:dyDescent="0.4">
      <c r="C17" s="63" t="s">
        <v>188</v>
      </c>
      <c r="D17" s="101"/>
      <c r="E17" s="101"/>
      <c r="F17" s="101"/>
      <c r="G17" s="101"/>
      <c r="H17" s="101"/>
      <c r="N17" s="63" t="s">
        <v>188</v>
      </c>
      <c r="O17" s="101"/>
      <c r="P17" s="101"/>
      <c r="Q17" s="101"/>
      <c r="R17" s="101"/>
      <c r="S17" s="101"/>
    </row>
    <row r="18" spans="2:41" ht="69" customHeight="1" thickBot="1" x14ac:dyDescent="0.4">
      <c r="C18" s="63" t="s">
        <v>189</v>
      </c>
      <c r="D18" s="217">
        <v>10.072000000000001</v>
      </c>
      <c r="E18" s="217">
        <v>11.76</v>
      </c>
      <c r="F18" s="217">
        <v>14.76</v>
      </c>
      <c r="G18" s="217">
        <v>13.76</v>
      </c>
      <c r="H18" s="217">
        <v>17.12</v>
      </c>
      <c r="I18" s="216" t="s">
        <v>229</v>
      </c>
      <c r="N18" s="63" t="s">
        <v>189</v>
      </c>
      <c r="O18" s="217">
        <v>14.76</v>
      </c>
      <c r="P18" s="217">
        <v>14.76</v>
      </c>
      <c r="Q18" s="217">
        <v>14.76</v>
      </c>
      <c r="R18" s="217">
        <v>14.76</v>
      </c>
      <c r="S18" s="217">
        <v>14.76</v>
      </c>
      <c r="T18" s="216" t="s">
        <v>194</v>
      </c>
      <c r="U18" s="216" t="s">
        <v>195</v>
      </c>
      <c r="V18" s="216" t="s">
        <v>195</v>
      </c>
      <c r="W18" s="207" t="s">
        <v>231</v>
      </c>
    </row>
    <row r="19" spans="2:41" ht="69" customHeight="1" thickTop="1" thickBot="1" x14ac:dyDescent="0.4">
      <c r="C19" s="13" t="s">
        <v>190</v>
      </c>
      <c r="D19" s="275" t="str">
        <f>IF(ISBLANK(D17),"N/A",IF(D17&gt;0,D17/D10,0))</f>
        <v>N/A</v>
      </c>
      <c r="E19" s="275" t="str">
        <f>IF(ISBLANK(E17),"N/A",IF(E17&gt;0,E17/E10,0))</f>
        <v>N/A</v>
      </c>
      <c r="F19" s="275" t="str">
        <f>IF(ISBLANK(F17),"N/A",IF(F17&gt;0,F17/F10,0))</f>
        <v>N/A</v>
      </c>
      <c r="G19" s="275" t="str">
        <f>IF(ISBLANK(G17),"N/A",IF(G17&gt;0,G17/G10,0))</f>
        <v>N/A</v>
      </c>
      <c r="H19" s="275" t="str">
        <f>IF(ISBLANK(H17),"N/A",IF(H17&gt;0,H17/H10,0))</f>
        <v>N/A</v>
      </c>
      <c r="I19" s="215" t="str" cm="1">
        <f t="array" ref="I19">IF(AND(EXACT(D19:H19,"N/A")),"N/A",AVERAGE(D19,E19,F19,G19,H19))</f>
        <v>N/A</v>
      </c>
      <c r="M19" s="167"/>
      <c r="N19" s="13" t="s">
        <v>190</v>
      </c>
      <c r="O19" s="275" t="str">
        <f>IF(ISBLANK(O17),"N/A",IF(O17&gt;0,O17/O10,0))</f>
        <v>N/A</v>
      </c>
      <c r="P19" s="275" t="str">
        <f t="shared" ref="P19:S19" si="0">IF(ISBLANK(P17),"N/A",IF(P17&gt;0,P17/P10,0))</f>
        <v>N/A</v>
      </c>
      <c r="Q19" s="275" t="str">
        <f t="shared" si="0"/>
        <v>N/A</v>
      </c>
      <c r="R19" s="275" t="str">
        <f t="shared" si="0"/>
        <v>N/A</v>
      </c>
      <c r="S19" s="275" t="str">
        <f t="shared" si="0"/>
        <v>N/A</v>
      </c>
      <c r="T19" s="212" t="str">
        <f>IF(SUM(O19,P19,Q19,R19,S19)&lt;&gt;0,AVERAGE(O19,P19,Q19,R19,S19),IF(SUM(O19,P19,Q19,R19,S19)=0,"N/A","valeur(s) entrée(s) incorrecte(s)"))</f>
        <v>N/A</v>
      </c>
      <c r="U19" s="213" t="str">
        <f>IF(T19="N/A","N/A",IF(I19-T19&lt;&gt;0,ABS((I19-T19)/I19)-0.2,IF(AND(I19=0,T19=0),"N/A",IF(T19&lt;0,"N/A","N/A"))))</f>
        <v>N/A</v>
      </c>
      <c r="V19" s="214" t="str">
        <f>IF(T19="N/A","N/A",IF((ABS((I19-T19)/I19))-0.2&gt;0,IF(I19&gt;T19,"rabais","+"),IF(I19=0,"0","ni rabais ni bonus")))</f>
        <v>N/A</v>
      </c>
      <c r="W19" s="214" t="str">
        <f>IF(T19="N/A","N/A",IF(V19="ni rabais ni bonus",0,U19*IF(V19="+",1,-1)))</f>
        <v>N/A</v>
      </c>
      <c r="Y19" s="566" t="s">
        <v>233</v>
      </c>
      <c r="Z19" s="567"/>
      <c r="AN19" s="552" t="s">
        <v>236</v>
      </c>
      <c r="AO19" s="552"/>
    </row>
    <row r="20" spans="2:41" ht="69" customHeight="1" thickTop="1" thickBot="1" x14ac:dyDescent="0.4">
      <c r="C20" s="13" t="s">
        <v>230</v>
      </c>
      <c r="D20" s="275">
        <f>IF(ISBLANK(D16),"N/A",IF(D16&gt;0,D16/D10,0))</f>
        <v>2.2073578595317729</v>
      </c>
      <c r="E20" s="275">
        <f t="shared" ref="E20:H20" si="1">IF(ISBLANK(E16),"N/A",IF(E16&gt;0,E16/E10,0))</f>
        <v>2.1262458471760795</v>
      </c>
      <c r="F20" s="275">
        <f t="shared" si="1"/>
        <v>2.2260273972602742</v>
      </c>
      <c r="G20" s="275">
        <f t="shared" si="1"/>
        <v>2.28099173553719</v>
      </c>
      <c r="H20" s="275">
        <f t="shared" si="1"/>
        <v>2.0505200594353643</v>
      </c>
      <c r="I20" s="215" cm="1">
        <f t="array" ref="I20">IF(AND(EXACT(D20:H20,"N/A")),"N/A",AVERAGE(D20,E20,F20,G20,H20))</f>
        <v>2.178228579788136</v>
      </c>
      <c r="M20" s="167"/>
      <c r="N20" s="13" t="s">
        <v>230</v>
      </c>
      <c r="O20" s="275">
        <f>IF(ISBLANK(O16),"N/A",IF(O16&gt;0,O16/O10,0))</f>
        <v>2.0505200594353643</v>
      </c>
      <c r="P20" s="275">
        <f t="shared" ref="P20:S20" si="2">IF(ISBLANK(P16),"N/A",IF(P16&gt;0,P16/P10,0))</f>
        <v>2.0505200594353643</v>
      </c>
      <c r="Q20" s="275">
        <f t="shared" si="2"/>
        <v>2.0505200594353643</v>
      </c>
      <c r="R20" s="275">
        <f t="shared" si="2"/>
        <v>2.0505200594353643</v>
      </c>
      <c r="S20" s="275">
        <f t="shared" si="2"/>
        <v>2.0505200594353643</v>
      </c>
      <c r="T20" s="215" cm="1">
        <f t="array" ref="T20">IF(AND(EXACT(O20:S20,"N/A")),"N/A",AVERAGE(O20,P20,Q20,R20,S20))</f>
        <v>2.0505200594353643</v>
      </c>
      <c r="U20" s="213">
        <f>IF(T20="N/A","N/A",IF(I20-T20&lt;&gt;0,ABS((I20-T20)/I20)-0.2,IF(AND(I20=0,T20=0),"N/A",IF(T20&lt;0,"N/A","N/A"))))</f>
        <v>-0.14137046885814292</v>
      </c>
      <c r="V20" s="214" t="str">
        <f>IF(T20="N/A","N/A",IF((ABS((I20-T20)/I20))-0.2&gt;0,IF(I20&gt;T20,"rabais","+"),IF(I20=0,"0","ni rabais ni bonus")))</f>
        <v>ni rabais ni bonus</v>
      </c>
      <c r="W20" s="214">
        <f>IF(T20="N/A","N/A",IF(V20="ni rabais ni bonus",0,U20*IF(V20="+",1,-1)))</f>
        <v>0</v>
      </c>
      <c r="Y20" s="177" t="s">
        <v>232</v>
      </c>
      <c r="Z20" s="177" t="s">
        <v>191</v>
      </c>
      <c r="AN20" s="194" t="s">
        <v>232</v>
      </c>
      <c r="AO20" s="194" t="s">
        <v>191</v>
      </c>
    </row>
    <row r="21" spans="2:41" ht="69" customHeight="1" thickTop="1" thickBot="1" x14ac:dyDescent="0.4">
      <c r="B21" s="4"/>
      <c r="C21" s="13" t="s">
        <v>241</v>
      </c>
      <c r="D21" s="275">
        <f>IF(ISBLANK(D18),"N/A",IF(D18&gt;0,D18/D9,0))</f>
        <v>8.8661971830985925E-2</v>
      </c>
      <c r="E21" s="275">
        <f>IF(ISBLANK(E18),"N/A",IF(E18&gt;0,E18/E9,0))</f>
        <v>0.10566037735849057</v>
      </c>
      <c r="F21" s="275">
        <f>IF(ISBLANK(F18),"N/A",IF(F18&gt;0,F18/F9,0))</f>
        <v>0.11576470588235294</v>
      </c>
      <c r="G21" s="275">
        <f>IF(ISBLANK(G18),"N/A",IF(G18&gt;0,G18/G9,0))</f>
        <v>0.10792156862745098</v>
      </c>
      <c r="H21" s="275">
        <f>IF(ISBLANK(H18),"N/A",IF(H18&gt;0,H18/H9,0))</f>
        <v>0.13427450980392158</v>
      </c>
      <c r="I21" s="215" cm="1">
        <f t="array" ref="I21">IF(AND(EXACT(D21:H21,"N/A")),"N/A",AVERAGE(D21,E21,F21,G21,H21))</f>
        <v>0.11045662670064038</v>
      </c>
      <c r="M21" s="167"/>
      <c r="N21" s="13" t="s">
        <v>241</v>
      </c>
      <c r="O21" s="275">
        <f>IF(ISBLANK(O18),"N/A",IF(O18&gt;0,O18/O9,0))</f>
        <v>0.11576470588235294</v>
      </c>
      <c r="P21" s="275">
        <f>IF(ISBLANK(P18),"N/A",IF(P18&gt;0,P18/P9,0))</f>
        <v>0.11576470588235294</v>
      </c>
      <c r="Q21" s="275">
        <f>IF(ISBLANK(Q18),"N/A",IF(Q18&gt;0,Q18/Q9,0))</f>
        <v>0.11576470588235294</v>
      </c>
      <c r="R21" s="275">
        <f>IF(ISBLANK(R18),"N/A",IF(R18&gt;0,R18/R9,0))</f>
        <v>0.11576470588235294</v>
      </c>
      <c r="S21" s="275">
        <f>IF(ISBLANK(S18),"N/A",IF(S18&gt;0,S18/S9,0))</f>
        <v>0.11576470588235294</v>
      </c>
      <c r="T21" s="212">
        <f>IF(SUM(O21,P21,Q21,R21,S21)&lt;&gt;0,AVERAGE(O21,P21,Q21,R21,S21),IF(SUM(O21,P21,Q21,R21,S21)=0,"N/A","valeur(s) entrée(s) incorrecte(s)"))</f>
        <v>0.11576470588235295</v>
      </c>
      <c r="U21" s="213">
        <f>IF(T21="N/A","N/A",IF(I21-T21&lt;&gt;0,ABS((I21-T21)/I21)-0.2,IF(AND(I21=0,T21=0),"N/A",IF(T21&lt;0,"N/A","N/A"))))</f>
        <v>-0.15194422154409506</v>
      </c>
      <c r="V21" s="214" t="str">
        <f>IF(T21="N/A","N/A",IF((ABS((I21-T21)/I21))-0.2&gt;0,IF(I21&gt;T21,"rabais","+"),IF(I21=0,"0","ni rabais ni bonus")))</f>
        <v>ni rabais ni bonus</v>
      </c>
      <c r="W21" s="214">
        <f>IF(T21="N/A","N/A",IF(V21="ni rabais ni bonus",0,U21*IF(V21="+",1,-1)))</f>
        <v>0</v>
      </c>
      <c r="Y21" s="203" t="str">
        <f>IF(Z21="N/A","N/A",IF(Z21&lt;0,"Rabais",IF(Z21&gt;0,"Bonus","Ni rabais ni bonus")))</f>
        <v>Ni rabais ni bonus</v>
      </c>
      <c r="Z21" s="202" cm="1">
        <f t="array" ref="Z21">IF(AND(EXACT(T19:T21,"N/A")),"N/A",MEDIAN(IF(ISNUMBER(T19:T21),W19:W21)))</f>
        <v>0</v>
      </c>
      <c r="AN21" s="195" t="str">
        <f>IF(AO21="-","-",IF(AO21&lt;0,"Rabais",IF(AO21&gt;0,"Bonus","Ni rabais ni bonus")))</f>
        <v>Ni rabais ni bonus</v>
      </c>
      <c r="AO21" s="196">
        <f>IF(AND(AO47="N/A",Z21="N/A"),"-",IF(AND(ISNUMBER(AO47),ISNUMBER(Z21)),AVERAGE(Z21,AO47),SUM(Z21,AO47)))</f>
        <v>0</v>
      </c>
    </row>
    <row r="22" spans="2:41" x14ac:dyDescent="0.35">
      <c r="B22" s="4"/>
      <c r="F22" s="17"/>
    </row>
    <row r="23" spans="2:41" x14ac:dyDescent="0.35">
      <c r="B23" s="4"/>
      <c r="F23" s="17"/>
      <c r="AK23" s="170"/>
    </row>
    <row r="24" spans="2:41" x14ac:dyDescent="0.35">
      <c r="B24" s="4"/>
      <c r="D24" s="316"/>
      <c r="F24" s="17"/>
      <c r="U24" s="64"/>
      <c r="AK24" s="170"/>
    </row>
    <row r="25" spans="2:41" x14ac:dyDescent="0.35">
      <c r="B25" s="4"/>
      <c r="F25" s="17"/>
      <c r="AK25" s="170"/>
    </row>
    <row r="27" spans="2:41" ht="31.5" customHeight="1" thickBot="1" x14ac:dyDescent="0.4">
      <c r="B27" s="548" t="s">
        <v>247</v>
      </c>
      <c r="C27" s="549"/>
      <c r="D27" s="549"/>
      <c r="E27" s="549"/>
      <c r="F27" s="549"/>
      <c r="G27" s="549"/>
      <c r="H27" s="549"/>
      <c r="I27" s="549"/>
      <c r="J27" s="549"/>
      <c r="K27" s="549"/>
      <c r="L27" s="549"/>
      <c r="M27" s="549"/>
      <c r="N27" s="549"/>
      <c r="O27" s="549"/>
      <c r="P27" s="549"/>
      <c r="Q27" s="549"/>
      <c r="R27" s="549"/>
      <c r="S27" s="549"/>
      <c r="T27" s="549"/>
      <c r="U27" s="549"/>
      <c r="V27" s="549"/>
      <c r="W27" s="549"/>
      <c r="X27" s="549"/>
    </row>
    <row r="28" spans="2:41" x14ac:dyDescent="0.35">
      <c r="B28" s="218" t="s">
        <v>192</v>
      </c>
      <c r="C28" s="53" t="s">
        <v>66</v>
      </c>
      <c r="D28" s="54" t="s">
        <v>66</v>
      </c>
      <c r="E28" s="55" t="s">
        <v>66</v>
      </c>
      <c r="F28" s="53" t="s">
        <v>67</v>
      </c>
      <c r="G28" s="54" t="s">
        <v>67</v>
      </c>
      <c r="H28" s="55" t="s">
        <v>67</v>
      </c>
      <c r="I28" s="53" t="s">
        <v>68</v>
      </c>
      <c r="J28" s="54" t="s">
        <v>68</v>
      </c>
      <c r="K28" s="55" t="s">
        <v>68</v>
      </c>
      <c r="L28" s="53" t="s">
        <v>69</v>
      </c>
      <c r="M28" s="54" t="s">
        <v>69</v>
      </c>
      <c r="N28" s="55" t="s">
        <v>69</v>
      </c>
      <c r="O28" s="53" t="s">
        <v>70</v>
      </c>
      <c r="P28" s="54" t="s">
        <v>70</v>
      </c>
      <c r="Q28" s="55" t="s">
        <v>70</v>
      </c>
      <c r="R28" s="553" t="s">
        <v>193</v>
      </c>
      <c r="S28" s="4"/>
      <c r="T28" s="53" t="s">
        <v>173</v>
      </c>
      <c r="U28" s="54" t="s">
        <v>173</v>
      </c>
      <c r="V28" s="55" t="s">
        <v>173</v>
      </c>
      <c r="W28" s="53" t="s">
        <v>174</v>
      </c>
      <c r="X28" s="54" t="s">
        <v>174</v>
      </c>
      <c r="Y28" s="55" t="s">
        <v>174</v>
      </c>
      <c r="Z28" s="53" t="s">
        <v>175</v>
      </c>
      <c r="AA28" s="54" t="s">
        <v>175</v>
      </c>
      <c r="AB28" s="55" t="s">
        <v>175</v>
      </c>
      <c r="AC28" s="53" t="s">
        <v>176</v>
      </c>
      <c r="AD28" s="54" t="s">
        <v>176</v>
      </c>
      <c r="AE28" s="55" t="s">
        <v>176</v>
      </c>
      <c r="AF28" s="53" t="s">
        <v>177</v>
      </c>
      <c r="AG28" s="54" t="s">
        <v>177</v>
      </c>
      <c r="AH28" s="55" t="s">
        <v>177</v>
      </c>
      <c r="AI28" s="556" t="s">
        <v>194</v>
      </c>
      <c r="AJ28" s="559" t="s">
        <v>195</v>
      </c>
      <c r="AK28" s="561" t="s">
        <v>195</v>
      </c>
      <c r="AL28" s="564" t="s">
        <v>231</v>
      </c>
      <c r="AM28" s="176"/>
      <c r="AN28" s="176"/>
      <c r="AO28" s="176"/>
    </row>
    <row r="29" spans="2:41" x14ac:dyDescent="0.35">
      <c r="B29" s="219"/>
      <c r="C29" s="56" t="s">
        <v>185</v>
      </c>
      <c r="D29" s="52" t="s">
        <v>196</v>
      </c>
      <c r="E29" s="57" t="s">
        <v>197</v>
      </c>
      <c r="F29" s="56" t="s">
        <v>185</v>
      </c>
      <c r="G29" s="52" t="s">
        <v>196</v>
      </c>
      <c r="H29" s="57" t="s">
        <v>197</v>
      </c>
      <c r="I29" s="56" t="s">
        <v>185</v>
      </c>
      <c r="J29" s="52" t="s">
        <v>196</v>
      </c>
      <c r="K29" s="57" t="s">
        <v>197</v>
      </c>
      <c r="L29" s="56" t="s">
        <v>185</v>
      </c>
      <c r="M29" s="52" t="s">
        <v>196</v>
      </c>
      <c r="N29" s="57" t="s">
        <v>197</v>
      </c>
      <c r="O29" s="56" t="s">
        <v>185</v>
      </c>
      <c r="P29" s="52" t="s">
        <v>196</v>
      </c>
      <c r="Q29" s="57" t="s">
        <v>197</v>
      </c>
      <c r="R29" s="554"/>
      <c r="S29" s="50"/>
      <c r="T29" s="56" t="s">
        <v>185</v>
      </c>
      <c r="U29" s="52" t="s">
        <v>196</v>
      </c>
      <c r="V29" s="57" t="s">
        <v>197</v>
      </c>
      <c r="W29" s="56" t="s">
        <v>185</v>
      </c>
      <c r="X29" s="52" t="s">
        <v>196</v>
      </c>
      <c r="Y29" s="57" t="s">
        <v>197</v>
      </c>
      <c r="Z29" s="56" t="s">
        <v>185</v>
      </c>
      <c r="AA29" s="52" t="s">
        <v>196</v>
      </c>
      <c r="AB29" s="57" t="s">
        <v>197</v>
      </c>
      <c r="AC29" s="56" t="s">
        <v>185</v>
      </c>
      <c r="AD29" s="52" t="s">
        <v>196</v>
      </c>
      <c r="AE29" s="57" t="s">
        <v>197</v>
      </c>
      <c r="AF29" s="56" t="s">
        <v>185</v>
      </c>
      <c r="AG29" s="52" t="s">
        <v>196</v>
      </c>
      <c r="AH29" s="57" t="s">
        <v>197</v>
      </c>
      <c r="AI29" s="557"/>
      <c r="AJ29" s="560"/>
      <c r="AK29" s="562"/>
      <c r="AL29" s="565"/>
      <c r="AM29" s="176"/>
      <c r="AN29" s="176"/>
      <c r="AO29" s="176"/>
    </row>
    <row r="30" spans="2:41" ht="15" thickBot="1" x14ac:dyDescent="0.4">
      <c r="B30" s="220" t="s">
        <v>198</v>
      </c>
      <c r="C30" s="58"/>
      <c r="D30" s="51"/>
      <c r="E30" s="59"/>
      <c r="F30" s="60"/>
      <c r="G30" s="51"/>
      <c r="H30" s="59"/>
      <c r="I30" s="58"/>
      <c r="J30" s="51"/>
      <c r="K30" s="59"/>
      <c r="L30" s="61"/>
      <c r="M30" s="1"/>
      <c r="N30" s="62"/>
      <c r="O30" s="61"/>
      <c r="P30" s="1"/>
      <c r="Q30" s="62"/>
      <c r="R30" s="555"/>
      <c r="T30" s="61"/>
      <c r="U30" s="1"/>
      <c r="V30" s="62"/>
      <c r="W30" s="61"/>
      <c r="X30" s="1"/>
      <c r="Y30" s="62"/>
      <c r="Z30" s="61"/>
      <c r="AA30" s="1"/>
      <c r="AB30" s="62"/>
      <c r="AC30" s="61"/>
      <c r="AD30" s="1"/>
      <c r="AE30" s="62"/>
      <c r="AF30" s="61"/>
      <c r="AG30" s="1"/>
      <c r="AH30" s="62"/>
      <c r="AI30" s="558"/>
      <c r="AJ30" s="560"/>
      <c r="AK30" s="563"/>
      <c r="AL30" s="565"/>
      <c r="AM30" s="176"/>
      <c r="AN30" s="176"/>
      <c r="AO30" s="176"/>
    </row>
    <row r="31" spans="2:41" ht="15" thickBot="1" x14ac:dyDescent="0.4">
      <c r="B31" s="122" t="s">
        <v>280</v>
      </c>
      <c r="C31" s="309">
        <v>49.2</v>
      </c>
      <c r="D31" s="310">
        <v>421.15200000000004</v>
      </c>
      <c r="E31" s="311">
        <v>8.56</v>
      </c>
      <c r="F31" s="312">
        <v>40.700000000000003</v>
      </c>
      <c r="G31" s="313">
        <v>314.20400000000001</v>
      </c>
      <c r="H31" s="311">
        <v>7.72</v>
      </c>
      <c r="I31" s="314">
        <v>57.2</v>
      </c>
      <c r="J31" s="313">
        <v>483.34</v>
      </c>
      <c r="K31" s="311">
        <v>8.4499999999999993</v>
      </c>
      <c r="L31" s="314">
        <v>44.45</v>
      </c>
      <c r="M31" s="313">
        <v>304.03800000000001</v>
      </c>
      <c r="N31" s="311">
        <v>6.84</v>
      </c>
      <c r="O31" s="314">
        <v>47.3</v>
      </c>
      <c r="P31" s="313">
        <v>323.53199999999998</v>
      </c>
      <c r="Q31" s="311">
        <v>6.84</v>
      </c>
      <c r="R31" s="174">
        <f>IF(SUM(E31,H31,K31,N31,Q31)&lt;&gt;0,AVERAGE(E31,H31,K31,N31,Q31),IF(SUM(C31:Q31)=0,"N/A","valeur(s) entrée(s) incorrecte(s)"))</f>
        <v>7.6819999999999995</v>
      </c>
      <c r="S31" s="175"/>
      <c r="T31" s="123">
        <v>43</v>
      </c>
      <c r="U31" s="124">
        <v>294.12</v>
      </c>
      <c r="V31" s="125">
        <v>6.84</v>
      </c>
      <c r="W31" s="126">
        <v>43</v>
      </c>
      <c r="X31" s="97">
        <v>294.12</v>
      </c>
      <c r="Y31" s="125">
        <v>6.84</v>
      </c>
      <c r="Z31" s="114">
        <v>43</v>
      </c>
      <c r="AA31" s="97">
        <v>294.12</v>
      </c>
      <c r="AB31" s="125">
        <v>6.84</v>
      </c>
      <c r="AC31" s="114">
        <v>43</v>
      </c>
      <c r="AD31" s="97">
        <v>294.12</v>
      </c>
      <c r="AE31" s="125">
        <v>6.84</v>
      </c>
      <c r="AF31" s="114">
        <v>43</v>
      </c>
      <c r="AG31" s="97">
        <v>294.12</v>
      </c>
      <c r="AH31" s="125">
        <v>6.84</v>
      </c>
      <c r="AI31" s="174">
        <f>IF(SUM(V31,Y31,AB31,AE31,AH31)&lt;&gt;0,AVERAGE(V31,Y31,AB31,AE31,AH31),IF(SUM(T31:AH31)=0,"N/A","valeur(s) entrée(s) incorrecte(s)"))</f>
        <v>6.8400000000000007</v>
      </c>
      <c r="AJ31" s="94">
        <f t="shared" ref="AJ31:AJ47" si="3">IF(AI31="N/A","N/A",IF(R31-AI31&lt;&gt;0,ABS((R31-AI31)/R31)-0.2,IF(AND(R31=0,AI31=0),"N/A",IF(AI31&lt;0,"N/A","N/A"))))</f>
        <v>-9.0393126789898637E-2</v>
      </c>
      <c r="AK31" s="94" t="str">
        <f>IF(AI31="N/A","N/A",IF((ABS((R31-AI31)/R31))-0.2&gt;0,IF(R31&gt;AI31,"rabais","+"),IF(R31=0,"0","ni rabais ni bonus")))</f>
        <v>ni rabais ni bonus</v>
      </c>
      <c r="AL31" s="95">
        <f>IF(AI31="N/A","N/A",IF(AK31="ni rabais ni bonus",0,AJ31*IF(AK31="+",1,-1)))</f>
        <v>0</v>
      </c>
      <c r="AM31" s="167"/>
      <c r="AN31" s="167"/>
      <c r="AO31" s="167"/>
    </row>
    <row r="32" spans="2:41" ht="15" thickBot="1" x14ac:dyDescent="0.4">
      <c r="B32" s="122" t="s">
        <v>281</v>
      </c>
      <c r="C32" s="309">
        <v>3.4</v>
      </c>
      <c r="D32" s="310">
        <v>24.717999999999996</v>
      </c>
      <c r="E32" s="311">
        <v>7.27</v>
      </c>
      <c r="F32" s="312">
        <v>5</v>
      </c>
      <c r="G32" s="313">
        <v>30.8</v>
      </c>
      <c r="H32" s="315">
        <v>6.16</v>
      </c>
      <c r="I32" s="314" t="s">
        <v>282</v>
      </c>
      <c r="J32" s="313" t="s">
        <v>282</v>
      </c>
      <c r="K32" s="315" t="s">
        <v>282</v>
      </c>
      <c r="L32" s="314">
        <v>14</v>
      </c>
      <c r="M32" s="313">
        <v>110.74000000000001</v>
      </c>
      <c r="N32" s="311">
        <v>7.91</v>
      </c>
      <c r="O32" s="314">
        <v>12</v>
      </c>
      <c r="P32" s="313">
        <v>94.92</v>
      </c>
      <c r="Q32" s="315">
        <v>7.91</v>
      </c>
      <c r="R32" s="174">
        <f t="shared" ref="R32:R47" si="4">IF(SUM(E32,H32,K32,N32,Q32)&lt;&gt;0,AVERAGE(E32,H32,K32,N32,Q32),IF(SUM(C32:Q32)=0,"N/A","valeur(s) entrée(s) incorrecte(s)"))</f>
        <v>7.3125</v>
      </c>
      <c r="S32" s="175"/>
      <c r="T32" s="123">
        <v>12.23</v>
      </c>
      <c r="U32" s="124">
        <v>96.7393</v>
      </c>
      <c r="V32" s="125">
        <v>7.91</v>
      </c>
      <c r="W32" s="126">
        <v>12.23</v>
      </c>
      <c r="X32" s="97">
        <v>96.7393</v>
      </c>
      <c r="Y32" s="127">
        <v>7.91</v>
      </c>
      <c r="Z32" s="114">
        <v>12.23</v>
      </c>
      <c r="AA32" s="97">
        <v>96.7393</v>
      </c>
      <c r="AB32" s="127">
        <v>7.91</v>
      </c>
      <c r="AC32" s="114">
        <v>12.23</v>
      </c>
      <c r="AD32" s="97">
        <v>96.7393</v>
      </c>
      <c r="AE32" s="125">
        <v>7.91</v>
      </c>
      <c r="AF32" s="114">
        <v>12.23</v>
      </c>
      <c r="AG32" s="97">
        <v>96.7393</v>
      </c>
      <c r="AH32" s="127">
        <v>7.91</v>
      </c>
      <c r="AI32" s="174">
        <f t="shared" ref="AI32:AI47" si="5">IF(SUM(V32,Y32,AB32,AE32,AH32)&lt;&gt;0,AVERAGE(V32,Y32,AB32,AE32,AH32),IF(SUM(T32:AH32)=0,"N/A","valeur(s) entrée(s) incorrecte(s)"))</f>
        <v>7.9099999999999993</v>
      </c>
      <c r="AJ32" s="94">
        <f t="shared" si="3"/>
        <v>-0.1182905982905984</v>
      </c>
      <c r="AK32" s="94" t="str">
        <f t="shared" ref="AK32:AK47" si="6">IF(AI32="N/A","N/A",IF((ABS((R32-AI32)/R32))-0.2&gt;0,IF(R32&gt;AI32,"rabais","+"),IF(R32=0,"0","ni rabais ni bonus")))</f>
        <v>ni rabais ni bonus</v>
      </c>
      <c r="AL32" s="95">
        <f t="shared" ref="AL32:AL47" si="7">IF(AI32="N/A","N/A",IF(AK32="ni rabais ni bonus",0,AJ32*IF(AK32="+",1,-1)))</f>
        <v>0</v>
      </c>
      <c r="AM32" s="167"/>
      <c r="AN32" s="167"/>
      <c r="AO32" s="167"/>
    </row>
    <row r="33" spans="2:42" ht="15" thickBot="1" x14ac:dyDescent="0.4">
      <c r="B33" s="122" t="s">
        <v>283</v>
      </c>
      <c r="C33" s="309">
        <v>7.2</v>
      </c>
      <c r="D33" s="310">
        <v>28.367999999999999</v>
      </c>
      <c r="E33" s="311">
        <v>3.94</v>
      </c>
      <c r="F33" s="312">
        <v>10</v>
      </c>
      <c r="G33" s="313">
        <v>32.1</v>
      </c>
      <c r="H33" s="315">
        <v>3.21</v>
      </c>
      <c r="I33" s="314">
        <v>4.7</v>
      </c>
      <c r="J33" s="313">
        <v>12.925000000000001</v>
      </c>
      <c r="K33" s="315">
        <v>2.75</v>
      </c>
      <c r="L33" s="314">
        <v>3.5</v>
      </c>
      <c r="M33" s="313">
        <v>5.7399999999999993</v>
      </c>
      <c r="N33" s="311">
        <v>1.64</v>
      </c>
      <c r="O33" s="314"/>
      <c r="P33" s="313"/>
      <c r="Q33" s="315"/>
      <c r="R33" s="174">
        <f t="shared" si="4"/>
        <v>2.8850000000000002</v>
      </c>
      <c r="S33" s="175"/>
      <c r="T33" s="123">
        <v>8.7100000000000009</v>
      </c>
      <c r="U33" s="124">
        <v>14.2844</v>
      </c>
      <c r="V33" s="125">
        <v>1.64</v>
      </c>
      <c r="W33" s="126">
        <v>8.7100000000000009</v>
      </c>
      <c r="X33" s="97">
        <v>14.2844</v>
      </c>
      <c r="Y33" s="127">
        <v>1.64</v>
      </c>
      <c r="Z33" s="114">
        <v>8.7100000000000009</v>
      </c>
      <c r="AA33" s="97">
        <v>14.2844</v>
      </c>
      <c r="AB33" s="127">
        <v>1.64</v>
      </c>
      <c r="AC33" s="114">
        <v>8.7100000000000009</v>
      </c>
      <c r="AD33" s="97">
        <v>14.2844</v>
      </c>
      <c r="AE33" s="125">
        <v>1.64</v>
      </c>
      <c r="AF33" s="114">
        <v>8.7100000000000009</v>
      </c>
      <c r="AG33" s="97">
        <v>14.2844</v>
      </c>
      <c r="AH33" s="127">
        <v>1.64</v>
      </c>
      <c r="AI33" s="174">
        <f t="shared" si="5"/>
        <v>1.64</v>
      </c>
      <c r="AJ33" s="94">
        <f t="shared" si="3"/>
        <v>0.23154246100519937</v>
      </c>
      <c r="AK33" s="94" t="str">
        <f t="shared" si="6"/>
        <v>rabais</v>
      </c>
      <c r="AL33" s="95">
        <f t="shared" si="7"/>
        <v>-0.23154246100519937</v>
      </c>
      <c r="AM33" s="167"/>
      <c r="AN33" s="167"/>
      <c r="AO33" s="167"/>
    </row>
    <row r="34" spans="2:42" ht="15" thickBot="1" x14ac:dyDescent="0.4">
      <c r="B34" s="122" t="s">
        <v>285</v>
      </c>
      <c r="C34" s="309">
        <v>12.7</v>
      </c>
      <c r="D34" s="310">
        <v>1106.0429999999999</v>
      </c>
      <c r="E34" s="311">
        <v>87.09</v>
      </c>
      <c r="F34" s="314">
        <v>13</v>
      </c>
      <c r="G34" s="313">
        <v>979.29</v>
      </c>
      <c r="H34" s="315">
        <v>75.33</v>
      </c>
      <c r="I34" s="314">
        <v>14.7</v>
      </c>
      <c r="J34" s="313">
        <v>1081.038</v>
      </c>
      <c r="K34" s="315">
        <v>73.540000000000006</v>
      </c>
      <c r="L34" s="314">
        <v>15.1</v>
      </c>
      <c r="M34" s="313">
        <v>1052.0170000000001</v>
      </c>
      <c r="N34" s="311">
        <v>69.67</v>
      </c>
      <c r="O34" s="314">
        <v>13.3</v>
      </c>
      <c r="P34" s="313">
        <v>926.6110000000001</v>
      </c>
      <c r="Q34" s="315">
        <v>69.67</v>
      </c>
      <c r="R34" s="174">
        <f t="shared" si="4"/>
        <v>75.060000000000016</v>
      </c>
      <c r="S34" s="175"/>
      <c r="T34" s="123">
        <v>17.899999999999999</v>
      </c>
      <c r="U34" s="124">
        <v>1247.0929999999998</v>
      </c>
      <c r="V34" s="125">
        <v>69.67</v>
      </c>
      <c r="W34" s="114">
        <v>17.899999999999999</v>
      </c>
      <c r="X34" s="97">
        <v>1247.0929999999998</v>
      </c>
      <c r="Y34" s="127">
        <v>69.67</v>
      </c>
      <c r="Z34" s="114">
        <v>17.899999999999999</v>
      </c>
      <c r="AA34" s="97">
        <v>1247.0929999999998</v>
      </c>
      <c r="AB34" s="127">
        <v>69.67</v>
      </c>
      <c r="AC34" s="114">
        <v>17.899999999999999</v>
      </c>
      <c r="AD34" s="97">
        <v>1247.0929999999998</v>
      </c>
      <c r="AE34" s="125">
        <v>69.67</v>
      </c>
      <c r="AF34" s="114">
        <v>17.899999999999999</v>
      </c>
      <c r="AG34" s="97">
        <v>1247.0929999999998</v>
      </c>
      <c r="AH34" s="127">
        <v>69.67</v>
      </c>
      <c r="AI34" s="174">
        <f t="shared" si="5"/>
        <v>69.67</v>
      </c>
      <c r="AJ34" s="94">
        <f t="shared" si="3"/>
        <v>-0.12819078070876616</v>
      </c>
      <c r="AK34" s="94" t="str">
        <f t="shared" si="6"/>
        <v>ni rabais ni bonus</v>
      </c>
      <c r="AL34" s="95">
        <f t="shared" si="7"/>
        <v>0</v>
      </c>
      <c r="AM34" s="167"/>
      <c r="AN34" s="167"/>
      <c r="AO34" s="167"/>
    </row>
    <row r="35" spans="2:42" ht="15" thickBot="1" x14ac:dyDescent="0.4">
      <c r="B35" s="122" t="s">
        <v>284</v>
      </c>
      <c r="C35" s="309">
        <v>7</v>
      </c>
      <c r="D35" s="310">
        <v>348.88</v>
      </c>
      <c r="E35" s="311">
        <v>49.84</v>
      </c>
      <c r="F35" s="312">
        <v>7.5</v>
      </c>
      <c r="G35" s="313">
        <v>321.22499999999997</v>
      </c>
      <c r="H35" s="315">
        <v>42.83</v>
      </c>
      <c r="I35" s="314">
        <v>15.7</v>
      </c>
      <c r="J35" s="313">
        <v>685.46199999999988</v>
      </c>
      <c r="K35" s="315">
        <v>43.66</v>
      </c>
      <c r="L35" s="314">
        <v>14.3</v>
      </c>
      <c r="M35" s="313">
        <v>658.65800000000002</v>
      </c>
      <c r="N35" s="311">
        <v>46.06</v>
      </c>
      <c r="O35" s="314">
        <v>14</v>
      </c>
      <c r="P35" s="313">
        <v>644.84</v>
      </c>
      <c r="Q35" s="315">
        <v>46.06</v>
      </c>
      <c r="R35" s="174">
        <f t="shared" si="4"/>
        <v>45.69</v>
      </c>
      <c r="S35" s="175"/>
      <c r="T35" s="123">
        <v>14.6</v>
      </c>
      <c r="U35" s="124">
        <v>672.476</v>
      </c>
      <c r="V35" s="125">
        <v>46.06</v>
      </c>
      <c r="W35" s="126">
        <v>14.6</v>
      </c>
      <c r="X35" s="97">
        <v>672.476</v>
      </c>
      <c r="Y35" s="127">
        <v>46.06</v>
      </c>
      <c r="Z35" s="114">
        <v>14.6</v>
      </c>
      <c r="AA35" s="97">
        <v>672.476</v>
      </c>
      <c r="AB35" s="127">
        <v>46.06</v>
      </c>
      <c r="AC35" s="114">
        <v>14.6</v>
      </c>
      <c r="AD35" s="97">
        <v>672.476</v>
      </c>
      <c r="AE35" s="125">
        <v>46.06</v>
      </c>
      <c r="AF35" s="114">
        <v>14.6</v>
      </c>
      <c r="AG35" s="97">
        <v>672.476</v>
      </c>
      <c r="AH35" s="127">
        <v>46.06</v>
      </c>
      <c r="AI35" s="174">
        <f t="shared" si="5"/>
        <v>46.06</v>
      </c>
      <c r="AJ35" s="94">
        <f t="shared" si="3"/>
        <v>-0.19190194790982701</v>
      </c>
      <c r="AK35" s="94" t="str">
        <f t="shared" si="6"/>
        <v>ni rabais ni bonus</v>
      </c>
      <c r="AL35" s="95">
        <f t="shared" si="7"/>
        <v>0</v>
      </c>
      <c r="AM35" s="167"/>
      <c r="AN35" s="167"/>
      <c r="AO35" s="167"/>
    </row>
    <row r="36" spans="2:42" ht="15" thickBot="1" x14ac:dyDescent="0.4">
      <c r="B36" s="221"/>
      <c r="C36" s="123"/>
      <c r="D36" s="124"/>
      <c r="E36" s="125"/>
      <c r="F36" s="114"/>
      <c r="G36" s="97"/>
      <c r="H36" s="127"/>
      <c r="I36" s="114"/>
      <c r="J36" s="97"/>
      <c r="K36" s="127"/>
      <c r="L36" s="114"/>
      <c r="M36" s="97"/>
      <c r="N36" s="125"/>
      <c r="O36" s="114"/>
      <c r="P36" s="97"/>
      <c r="Q36" s="127"/>
      <c r="R36" s="174" t="str">
        <f t="shared" si="4"/>
        <v>N/A</v>
      </c>
      <c r="S36" s="64"/>
      <c r="T36" s="114"/>
      <c r="U36" s="97"/>
      <c r="V36" s="127"/>
      <c r="W36" s="114"/>
      <c r="X36" s="97"/>
      <c r="Y36" s="125"/>
      <c r="Z36" s="114"/>
      <c r="AA36" s="97"/>
      <c r="AB36" s="127"/>
      <c r="AC36" s="114"/>
      <c r="AD36" s="97"/>
      <c r="AE36" s="127"/>
      <c r="AF36" s="114"/>
      <c r="AG36" s="97"/>
      <c r="AH36" s="132"/>
      <c r="AI36" s="174" t="str">
        <f t="shared" si="5"/>
        <v>N/A</v>
      </c>
      <c r="AJ36" s="94" t="str">
        <f t="shared" si="3"/>
        <v>N/A</v>
      </c>
      <c r="AK36" s="94" t="str">
        <f t="shared" si="6"/>
        <v>N/A</v>
      </c>
      <c r="AL36" s="95" t="str">
        <f t="shared" si="7"/>
        <v>N/A</v>
      </c>
      <c r="AM36" s="167"/>
      <c r="AN36" s="167"/>
      <c r="AO36" s="167"/>
    </row>
    <row r="37" spans="2:42" ht="15" thickBot="1" x14ac:dyDescent="0.4">
      <c r="B37" s="221"/>
      <c r="C37" s="123"/>
      <c r="D37" s="124"/>
      <c r="E37" s="125"/>
      <c r="F37" s="114"/>
      <c r="G37" s="97"/>
      <c r="H37" s="127"/>
      <c r="I37" s="114"/>
      <c r="J37" s="97"/>
      <c r="K37" s="127"/>
      <c r="L37" s="114"/>
      <c r="M37" s="97"/>
      <c r="N37" s="125"/>
      <c r="O37" s="114"/>
      <c r="P37" s="97"/>
      <c r="Q37" s="127"/>
      <c r="R37" s="174" t="str">
        <f t="shared" si="4"/>
        <v>N/A</v>
      </c>
      <c r="S37" s="64"/>
      <c r="T37" s="114"/>
      <c r="U37" s="97"/>
      <c r="V37" s="127"/>
      <c r="W37" s="114"/>
      <c r="X37" s="97"/>
      <c r="Y37" s="125"/>
      <c r="Z37" s="114"/>
      <c r="AA37" s="97"/>
      <c r="AB37" s="127"/>
      <c r="AC37" s="114"/>
      <c r="AD37" s="97"/>
      <c r="AE37" s="127"/>
      <c r="AF37" s="114"/>
      <c r="AG37" s="97"/>
      <c r="AH37" s="132"/>
      <c r="AI37" s="174" t="str">
        <f t="shared" si="5"/>
        <v>N/A</v>
      </c>
      <c r="AJ37" s="94" t="str">
        <f t="shared" si="3"/>
        <v>N/A</v>
      </c>
      <c r="AK37" s="94" t="str">
        <f t="shared" si="6"/>
        <v>N/A</v>
      </c>
      <c r="AL37" s="95" t="str">
        <f t="shared" si="7"/>
        <v>N/A</v>
      </c>
      <c r="AM37" s="167"/>
      <c r="AN37" s="167"/>
      <c r="AO37" s="167"/>
    </row>
    <row r="38" spans="2:42" ht="15" thickBot="1" x14ac:dyDescent="0.4">
      <c r="B38" s="222"/>
      <c r="C38" s="123"/>
      <c r="D38" s="124"/>
      <c r="E38" s="125"/>
      <c r="F38" s="126"/>
      <c r="G38" s="97"/>
      <c r="H38" s="127"/>
      <c r="I38" s="114"/>
      <c r="J38" s="97"/>
      <c r="K38" s="127"/>
      <c r="L38" s="114"/>
      <c r="M38" s="97"/>
      <c r="N38" s="127"/>
      <c r="O38" s="114"/>
      <c r="P38" s="97"/>
      <c r="Q38" s="127"/>
      <c r="R38" s="174" t="str">
        <f t="shared" si="4"/>
        <v>N/A</v>
      </c>
      <c r="S38" s="64"/>
      <c r="T38" s="123"/>
      <c r="U38" s="124"/>
      <c r="V38" s="125"/>
      <c r="W38" s="126"/>
      <c r="X38" s="97"/>
      <c r="Y38" s="127"/>
      <c r="Z38" s="114"/>
      <c r="AA38" s="97"/>
      <c r="AB38" s="127"/>
      <c r="AC38" s="114"/>
      <c r="AD38" s="97"/>
      <c r="AE38" s="127"/>
      <c r="AF38" s="114"/>
      <c r="AG38" s="97"/>
      <c r="AH38" s="127"/>
      <c r="AI38" s="174" t="str">
        <f t="shared" si="5"/>
        <v>N/A</v>
      </c>
      <c r="AJ38" s="94" t="str">
        <f t="shared" si="3"/>
        <v>N/A</v>
      </c>
      <c r="AK38" s="94" t="str">
        <f t="shared" si="6"/>
        <v>N/A</v>
      </c>
      <c r="AL38" s="95" t="str">
        <f t="shared" si="7"/>
        <v>N/A</v>
      </c>
      <c r="AM38" s="167"/>
      <c r="AN38" s="167"/>
      <c r="AO38" s="167"/>
    </row>
    <row r="39" spans="2:42" ht="15" thickBot="1" x14ac:dyDescent="0.4">
      <c r="B39" s="222"/>
      <c r="C39" s="123"/>
      <c r="D39" s="124"/>
      <c r="E39" s="125"/>
      <c r="F39" s="114"/>
      <c r="G39" s="97"/>
      <c r="H39" s="127"/>
      <c r="I39" s="114"/>
      <c r="J39" s="97"/>
      <c r="K39" s="127"/>
      <c r="L39" s="114"/>
      <c r="M39" s="97"/>
      <c r="N39" s="125"/>
      <c r="O39" s="114"/>
      <c r="P39" s="97"/>
      <c r="Q39" s="127"/>
      <c r="R39" s="174" t="str">
        <f t="shared" si="4"/>
        <v>N/A</v>
      </c>
      <c r="S39" s="64"/>
      <c r="T39" s="114"/>
      <c r="U39" s="97"/>
      <c r="V39" s="127"/>
      <c r="W39" s="114"/>
      <c r="X39" s="97"/>
      <c r="Y39" s="125"/>
      <c r="Z39" s="114"/>
      <c r="AA39" s="97"/>
      <c r="AB39" s="127"/>
      <c r="AC39" s="114"/>
      <c r="AD39" s="97"/>
      <c r="AE39" s="127"/>
      <c r="AF39" s="114"/>
      <c r="AG39" s="97"/>
      <c r="AH39" s="132"/>
      <c r="AI39" s="174" t="str">
        <f t="shared" si="5"/>
        <v>N/A</v>
      </c>
      <c r="AJ39" s="94" t="str">
        <f t="shared" si="3"/>
        <v>N/A</v>
      </c>
      <c r="AK39" s="94" t="str">
        <f t="shared" si="6"/>
        <v>N/A</v>
      </c>
      <c r="AL39" s="95" t="str">
        <f t="shared" si="7"/>
        <v>N/A</v>
      </c>
      <c r="AM39" s="167"/>
      <c r="AN39" s="167"/>
      <c r="AO39" s="167"/>
    </row>
    <row r="40" spans="2:42" ht="15" thickBot="1" x14ac:dyDescent="0.4">
      <c r="B40" s="222"/>
      <c r="C40" s="123"/>
      <c r="D40" s="124"/>
      <c r="E40" s="125"/>
      <c r="F40" s="114"/>
      <c r="G40" s="97"/>
      <c r="H40" s="127"/>
      <c r="I40" s="114"/>
      <c r="J40" s="97"/>
      <c r="K40" s="127"/>
      <c r="L40" s="114"/>
      <c r="M40" s="97"/>
      <c r="N40" s="125"/>
      <c r="O40" s="114"/>
      <c r="P40" s="97"/>
      <c r="Q40" s="127"/>
      <c r="R40" s="174" t="str">
        <f t="shared" si="4"/>
        <v>N/A</v>
      </c>
      <c r="S40" s="64"/>
      <c r="T40" s="114"/>
      <c r="U40" s="97"/>
      <c r="V40" s="127"/>
      <c r="W40" s="114"/>
      <c r="X40" s="97"/>
      <c r="Y40" s="125"/>
      <c r="Z40" s="114"/>
      <c r="AA40" s="97"/>
      <c r="AB40" s="127"/>
      <c r="AC40" s="114"/>
      <c r="AD40" s="97"/>
      <c r="AE40" s="127"/>
      <c r="AF40" s="114"/>
      <c r="AG40" s="97"/>
      <c r="AH40" s="132"/>
      <c r="AI40" s="174" t="str">
        <f t="shared" si="5"/>
        <v>N/A</v>
      </c>
      <c r="AJ40" s="94" t="str">
        <f t="shared" si="3"/>
        <v>N/A</v>
      </c>
      <c r="AK40" s="94" t="str">
        <f t="shared" si="6"/>
        <v>N/A</v>
      </c>
      <c r="AL40" s="95" t="str">
        <f t="shared" si="7"/>
        <v>N/A</v>
      </c>
      <c r="AM40" s="167"/>
      <c r="AN40" s="167"/>
      <c r="AO40" s="167"/>
    </row>
    <row r="41" spans="2:42" ht="15" thickBot="1" x14ac:dyDescent="0.4">
      <c r="B41" s="222"/>
      <c r="C41" s="123"/>
      <c r="D41" s="124"/>
      <c r="E41" s="125"/>
      <c r="F41" s="114"/>
      <c r="G41" s="97"/>
      <c r="H41" s="127"/>
      <c r="I41" s="114"/>
      <c r="J41" s="97"/>
      <c r="K41" s="127"/>
      <c r="L41" s="114"/>
      <c r="M41" s="97"/>
      <c r="N41" s="125"/>
      <c r="O41" s="114"/>
      <c r="P41" s="97"/>
      <c r="Q41" s="127"/>
      <c r="R41" s="174" t="str">
        <f t="shared" si="4"/>
        <v>N/A</v>
      </c>
      <c r="S41" s="64"/>
      <c r="T41" s="114"/>
      <c r="U41" s="97"/>
      <c r="V41" s="127"/>
      <c r="W41" s="114"/>
      <c r="X41" s="97"/>
      <c r="Y41" s="125"/>
      <c r="Z41" s="114"/>
      <c r="AA41" s="97"/>
      <c r="AB41" s="127"/>
      <c r="AC41" s="114"/>
      <c r="AD41" s="97"/>
      <c r="AE41" s="127"/>
      <c r="AF41" s="114"/>
      <c r="AG41" s="97"/>
      <c r="AH41" s="132"/>
      <c r="AI41" s="174" t="str">
        <f t="shared" si="5"/>
        <v>N/A</v>
      </c>
      <c r="AJ41" s="94" t="str">
        <f t="shared" si="3"/>
        <v>N/A</v>
      </c>
      <c r="AK41" s="94" t="str">
        <f t="shared" si="6"/>
        <v>N/A</v>
      </c>
      <c r="AL41" s="95" t="str">
        <f t="shared" si="7"/>
        <v>N/A</v>
      </c>
      <c r="AM41" s="167"/>
      <c r="AN41" s="167"/>
      <c r="AO41" s="167"/>
    </row>
    <row r="42" spans="2:42" ht="15" thickBot="1" x14ac:dyDescent="0.4">
      <c r="B42" s="222"/>
      <c r="C42" s="123"/>
      <c r="D42" s="124"/>
      <c r="E42" s="125"/>
      <c r="F42" s="114"/>
      <c r="G42" s="97"/>
      <c r="H42" s="127"/>
      <c r="I42" s="114"/>
      <c r="J42" s="97"/>
      <c r="K42" s="127"/>
      <c r="L42" s="114"/>
      <c r="M42" s="97"/>
      <c r="N42" s="125"/>
      <c r="O42" s="114"/>
      <c r="P42" s="97"/>
      <c r="Q42" s="127"/>
      <c r="R42" s="174" t="str">
        <f t="shared" si="4"/>
        <v>N/A</v>
      </c>
      <c r="S42" s="64"/>
      <c r="T42" s="114"/>
      <c r="U42" s="97"/>
      <c r="V42" s="127"/>
      <c r="W42" s="114"/>
      <c r="X42" s="97"/>
      <c r="Y42" s="125"/>
      <c r="Z42" s="114"/>
      <c r="AA42" s="97"/>
      <c r="AB42" s="127"/>
      <c r="AC42" s="114"/>
      <c r="AD42" s="97"/>
      <c r="AE42" s="127"/>
      <c r="AF42" s="114"/>
      <c r="AG42" s="97"/>
      <c r="AH42" s="132"/>
      <c r="AI42" s="174" t="str">
        <f t="shared" si="5"/>
        <v>N/A</v>
      </c>
      <c r="AJ42" s="94" t="str">
        <f t="shared" si="3"/>
        <v>N/A</v>
      </c>
      <c r="AK42" s="94" t="str">
        <f t="shared" si="6"/>
        <v>N/A</v>
      </c>
      <c r="AL42" s="95" t="str">
        <f t="shared" si="7"/>
        <v>N/A</v>
      </c>
      <c r="AM42" s="167"/>
      <c r="AN42" s="167"/>
      <c r="AO42" s="167"/>
    </row>
    <row r="43" spans="2:42" ht="15" thickBot="1" x14ac:dyDescent="0.4">
      <c r="B43" s="222"/>
      <c r="C43" s="123"/>
      <c r="D43" s="124"/>
      <c r="E43" s="125"/>
      <c r="F43" s="114"/>
      <c r="G43" s="97"/>
      <c r="H43" s="127"/>
      <c r="I43" s="114"/>
      <c r="J43" s="97"/>
      <c r="K43" s="127"/>
      <c r="L43" s="114"/>
      <c r="M43" s="97"/>
      <c r="N43" s="125"/>
      <c r="O43" s="114"/>
      <c r="P43" s="97"/>
      <c r="Q43" s="127"/>
      <c r="R43" s="174" t="str">
        <f t="shared" si="4"/>
        <v>N/A</v>
      </c>
      <c r="S43" s="64"/>
      <c r="T43" s="114"/>
      <c r="U43" s="97"/>
      <c r="V43" s="127"/>
      <c r="W43" s="114"/>
      <c r="X43" s="97"/>
      <c r="Y43" s="125"/>
      <c r="Z43" s="114"/>
      <c r="AA43" s="97"/>
      <c r="AB43" s="127"/>
      <c r="AC43" s="114"/>
      <c r="AD43" s="97"/>
      <c r="AE43" s="127"/>
      <c r="AF43" s="114"/>
      <c r="AG43" s="97"/>
      <c r="AH43" s="132"/>
      <c r="AI43" s="174" t="str">
        <f t="shared" si="5"/>
        <v>N/A</v>
      </c>
      <c r="AJ43" s="94" t="str">
        <f t="shared" si="3"/>
        <v>N/A</v>
      </c>
      <c r="AK43" s="94" t="str">
        <f t="shared" si="6"/>
        <v>N/A</v>
      </c>
      <c r="AL43" s="95" t="str">
        <f t="shared" si="7"/>
        <v>N/A</v>
      </c>
      <c r="AM43" s="167"/>
      <c r="AN43" s="167"/>
      <c r="AO43" s="167"/>
    </row>
    <row r="44" spans="2:42" ht="15" thickBot="1" x14ac:dyDescent="0.4">
      <c r="B44" s="222"/>
      <c r="C44" s="123"/>
      <c r="D44" s="124"/>
      <c r="E44" s="125"/>
      <c r="F44" s="114"/>
      <c r="G44" s="97"/>
      <c r="H44" s="127"/>
      <c r="I44" s="114"/>
      <c r="J44" s="97"/>
      <c r="K44" s="127"/>
      <c r="L44" s="114"/>
      <c r="M44" s="97"/>
      <c r="N44" s="125"/>
      <c r="O44" s="114"/>
      <c r="P44" s="97"/>
      <c r="Q44" s="127"/>
      <c r="R44" s="174" t="str">
        <f t="shared" si="4"/>
        <v>N/A</v>
      </c>
      <c r="S44" s="64"/>
      <c r="T44" s="114"/>
      <c r="U44" s="97"/>
      <c r="V44" s="127"/>
      <c r="W44" s="114"/>
      <c r="X44" s="97"/>
      <c r="Y44" s="125"/>
      <c r="Z44" s="114"/>
      <c r="AA44" s="97"/>
      <c r="AB44" s="127"/>
      <c r="AC44" s="114"/>
      <c r="AD44" s="97"/>
      <c r="AE44" s="127"/>
      <c r="AF44" s="114"/>
      <c r="AG44" s="97"/>
      <c r="AH44" s="132"/>
      <c r="AI44" s="174" t="str">
        <f t="shared" si="5"/>
        <v>N/A</v>
      </c>
      <c r="AJ44" s="94" t="str">
        <f t="shared" si="3"/>
        <v>N/A</v>
      </c>
      <c r="AK44" s="94" t="str">
        <f t="shared" si="6"/>
        <v>N/A</v>
      </c>
      <c r="AL44" s="95" t="str">
        <f t="shared" si="7"/>
        <v>N/A</v>
      </c>
      <c r="AM44" s="167"/>
      <c r="AN44" s="167"/>
      <c r="AO44" s="167"/>
    </row>
    <row r="45" spans="2:42" ht="19" thickBot="1" x14ac:dyDescent="0.4">
      <c r="B45" s="222"/>
      <c r="C45" s="123"/>
      <c r="D45" s="124"/>
      <c r="E45" s="125"/>
      <c r="F45" s="114"/>
      <c r="G45" s="97"/>
      <c r="H45" s="127"/>
      <c r="I45" s="114"/>
      <c r="J45" s="97"/>
      <c r="K45" s="127"/>
      <c r="L45" s="114"/>
      <c r="M45" s="97"/>
      <c r="N45" s="125"/>
      <c r="O45" s="114"/>
      <c r="P45" s="97"/>
      <c r="Q45" s="127"/>
      <c r="R45" s="174" t="str">
        <f t="shared" si="4"/>
        <v>N/A</v>
      </c>
      <c r="S45" s="64"/>
      <c r="T45" s="114"/>
      <c r="U45" s="97"/>
      <c r="V45" s="127"/>
      <c r="W45" s="114"/>
      <c r="X45" s="97"/>
      <c r="Y45" s="125"/>
      <c r="Z45" s="114"/>
      <c r="AA45" s="97"/>
      <c r="AB45" s="127"/>
      <c r="AC45" s="114"/>
      <c r="AD45" s="97"/>
      <c r="AE45" s="127"/>
      <c r="AF45" s="114"/>
      <c r="AG45" s="97"/>
      <c r="AH45" s="132"/>
      <c r="AI45" s="174" t="str">
        <f t="shared" si="5"/>
        <v>N/A</v>
      </c>
      <c r="AJ45" s="94" t="str">
        <f t="shared" si="3"/>
        <v>N/A</v>
      </c>
      <c r="AK45" s="94" t="str">
        <f t="shared" si="6"/>
        <v>N/A</v>
      </c>
      <c r="AL45" s="95" t="str">
        <f t="shared" si="7"/>
        <v>N/A</v>
      </c>
      <c r="AM45" s="167"/>
      <c r="AN45" s="550" t="s">
        <v>234</v>
      </c>
      <c r="AO45" s="551"/>
    </row>
    <row r="46" spans="2:42" ht="15" thickBot="1" x14ac:dyDescent="0.4">
      <c r="B46" s="222"/>
      <c r="C46" s="123"/>
      <c r="D46" s="124"/>
      <c r="E46" s="125"/>
      <c r="F46" s="114"/>
      <c r="G46" s="97"/>
      <c r="H46" s="127"/>
      <c r="I46" s="114"/>
      <c r="J46" s="97"/>
      <c r="K46" s="127"/>
      <c r="L46" s="114"/>
      <c r="M46" s="97"/>
      <c r="N46" s="125"/>
      <c r="O46" s="114"/>
      <c r="P46" s="97"/>
      <c r="Q46" s="127"/>
      <c r="R46" s="174" t="str">
        <f t="shared" si="4"/>
        <v>N/A</v>
      </c>
      <c r="S46" s="64"/>
      <c r="T46" s="114"/>
      <c r="U46" s="97"/>
      <c r="V46" s="127"/>
      <c r="W46" s="114"/>
      <c r="X46" s="97"/>
      <c r="Y46" s="125"/>
      <c r="Z46" s="114"/>
      <c r="AA46" s="97"/>
      <c r="AB46" s="127"/>
      <c r="AC46" s="114"/>
      <c r="AD46" s="97"/>
      <c r="AE46" s="127"/>
      <c r="AF46" s="114"/>
      <c r="AG46" s="97"/>
      <c r="AH46" s="132"/>
      <c r="AI46" s="174" t="str">
        <f t="shared" si="5"/>
        <v>N/A</v>
      </c>
      <c r="AJ46" s="94" t="str">
        <f t="shared" si="3"/>
        <v>N/A</v>
      </c>
      <c r="AK46" s="94" t="str">
        <f t="shared" si="6"/>
        <v>N/A</v>
      </c>
      <c r="AL46" s="95" t="str">
        <f t="shared" si="7"/>
        <v>N/A</v>
      </c>
      <c r="AM46" s="167"/>
      <c r="AN46" s="177" t="s">
        <v>232</v>
      </c>
      <c r="AO46" s="178" t="s">
        <v>191</v>
      </c>
    </row>
    <row r="47" spans="2:42" ht="44.15" customHeight="1" thickBot="1" x14ac:dyDescent="0.4">
      <c r="B47" s="223"/>
      <c r="C47" s="128"/>
      <c r="D47" s="129"/>
      <c r="E47" s="224"/>
      <c r="F47" s="130"/>
      <c r="G47" s="131"/>
      <c r="H47" s="225"/>
      <c r="I47" s="130"/>
      <c r="J47" s="131"/>
      <c r="K47" s="225"/>
      <c r="L47" s="130"/>
      <c r="M47" s="131"/>
      <c r="N47" s="224"/>
      <c r="O47" s="130"/>
      <c r="P47" s="131"/>
      <c r="Q47" s="225"/>
      <c r="R47" s="174" t="str">
        <f t="shared" si="4"/>
        <v>N/A</v>
      </c>
      <c r="S47" s="64"/>
      <c r="T47" s="130"/>
      <c r="U47" s="131"/>
      <c r="V47" s="224"/>
      <c r="W47" s="130"/>
      <c r="X47" s="131"/>
      <c r="Y47" s="224"/>
      <c r="Z47" s="130"/>
      <c r="AA47" s="131"/>
      <c r="AB47" s="224"/>
      <c r="AC47" s="130"/>
      <c r="AD47" s="131"/>
      <c r="AE47" s="224"/>
      <c r="AF47" s="130"/>
      <c r="AG47" s="131"/>
      <c r="AH47" s="224"/>
      <c r="AI47" s="174" t="str">
        <f t="shared" si="5"/>
        <v>N/A</v>
      </c>
      <c r="AJ47" s="94" t="str">
        <f t="shared" si="3"/>
        <v>N/A</v>
      </c>
      <c r="AK47" s="94" t="str">
        <f t="shared" si="6"/>
        <v>N/A</v>
      </c>
      <c r="AL47" s="95" t="str">
        <f t="shared" si="7"/>
        <v>N/A</v>
      </c>
      <c r="AM47" s="167"/>
      <c r="AN47" s="203" t="str">
        <f>IF(AO47="N/A","N/A",IF(AO47&lt;0,"Rabais",IF(AO47&gt;0,"Bonus","Ni rabais ni bonus")))</f>
        <v>Ni rabais ni bonus</v>
      </c>
      <c r="AO47" s="202" cm="1">
        <f t="array" ref="AO47">IF(AND(EXACT(AL31:AL47,"N/A")),"N/A",MEDIAN(IF(ISNUMBER(AI31:AI47),AL31:AL47)))</f>
        <v>0</v>
      </c>
      <c r="AP47" s="167"/>
    </row>
    <row r="48" spans="2:42" x14ac:dyDescent="0.35">
      <c r="R48" s="90"/>
      <c r="AM48" s="167"/>
      <c r="AN48" s="167"/>
      <c r="AO48" s="167"/>
      <c r="AP48" s="167"/>
    </row>
    <row r="49" spans="2:42" ht="15" customHeight="1" x14ac:dyDescent="0.35">
      <c r="AI49" s="170"/>
      <c r="AM49" s="167"/>
      <c r="AN49" s="167"/>
      <c r="AO49" s="167"/>
      <c r="AP49" s="167"/>
    </row>
    <row r="50" spans="2:42" x14ac:dyDescent="0.35">
      <c r="B50" s="403" t="s">
        <v>199</v>
      </c>
      <c r="C50" s="403"/>
      <c r="D50" s="403"/>
      <c r="E50" s="403"/>
      <c r="F50" s="403"/>
      <c r="G50" s="403"/>
      <c r="H50" s="403"/>
      <c r="I50" s="403"/>
      <c r="J50" s="403"/>
      <c r="K50" s="403"/>
      <c r="L50" s="403"/>
    </row>
    <row r="51" spans="2:42" ht="15" customHeight="1" x14ac:dyDescent="0.35">
      <c r="B51" s="403"/>
      <c r="C51" s="403"/>
      <c r="D51" s="403"/>
      <c r="E51" s="403"/>
      <c r="F51" s="403"/>
      <c r="G51" s="403"/>
      <c r="H51" s="403"/>
      <c r="I51" s="403"/>
      <c r="J51" s="403"/>
      <c r="K51" s="403"/>
      <c r="L51" s="403"/>
    </row>
    <row r="52" spans="2:42" ht="15" thickBot="1" x14ac:dyDescent="0.4">
      <c r="B52" s="91" t="s">
        <v>248</v>
      </c>
      <c r="C52" s="92"/>
      <c r="D52" s="92"/>
      <c r="E52" s="92"/>
    </row>
    <row r="53" spans="2:42" ht="75" customHeight="1" thickBot="1" x14ac:dyDescent="0.4">
      <c r="B53" s="13" t="s">
        <v>184</v>
      </c>
      <c r="C53" s="63" t="s">
        <v>200</v>
      </c>
      <c r="D53" s="63" t="s">
        <v>201</v>
      </c>
      <c r="E53" s="63" t="s">
        <v>202</v>
      </c>
      <c r="I53" s="210" t="s">
        <v>232</v>
      </c>
      <c r="J53" s="211" t="s">
        <v>191</v>
      </c>
    </row>
    <row r="54" spans="2:42" ht="15" thickBot="1" x14ac:dyDescent="0.4">
      <c r="B54" s="2" t="s">
        <v>70</v>
      </c>
      <c r="C54" s="96">
        <v>22</v>
      </c>
      <c r="D54" s="97"/>
      <c r="E54" s="97"/>
      <c r="I54" s="188" t="str">
        <f>IF(J54="-","-",IF(OR(C58-C54&lt;0,D58-D54&lt;0,E58-E54&lt;0),"Rabais",IF(AND(C58=C54, D58=D54, E58=E54),"Ni rabais ni bonus", "Bonus")))</f>
        <v>Ni rabais ni bonus</v>
      </c>
      <c r="J54" s="189">
        <f>IF(AND(ISBLANK(C58),ISBLANK(D58),ISBLANK(E58),ISBLANK(C54),ISBLANK(D54),ISBLANK(E54)),"-",SUM(IF(OR(C58-C54&lt;0,D58-D54&lt;0,E58-E54&lt;0),-0.3,),IF(OR(C58-C54&gt;0,D58-D54&gt;0,E58-E54&gt;0),0.1)))</f>
        <v>0</v>
      </c>
    </row>
    <row r="56" spans="2:42" x14ac:dyDescent="0.35">
      <c r="B56" s="91" t="s">
        <v>249</v>
      </c>
      <c r="C56" s="92"/>
      <c r="D56" s="92"/>
      <c r="E56" s="92"/>
      <c r="I56" s="93"/>
    </row>
    <row r="57" spans="2:42" ht="75.75" customHeight="1" x14ac:dyDescent="0.35">
      <c r="B57" s="13" t="s">
        <v>184</v>
      </c>
      <c r="C57" s="63" t="s">
        <v>200</v>
      </c>
      <c r="D57" s="63" t="s">
        <v>201</v>
      </c>
      <c r="E57" s="63" t="s">
        <v>202</v>
      </c>
      <c r="K57" s="197"/>
    </row>
    <row r="58" spans="2:42" x14ac:dyDescent="0.35">
      <c r="B58" s="2" t="s">
        <v>177</v>
      </c>
      <c r="C58" s="97">
        <v>22</v>
      </c>
      <c r="D58" s="97"/>
      <c r="E58" s="97"/>
    </row>
    <row r="60" spans="2:42" x14ac:dyDescent="0.35">
      <c r="O60" s="545" t="s">
        <v>191</v>
      </c>
    </row>
    <row r="61" spans="2:42" ht="14.5" customHeight="1" x14ac:dyDescent="0.35">
      <c r="B61" s="547" t="s">
        <v>238</v>
      </c>
      <c r="C61" s="547"/>
      <c r="D61" s="547"/>
      <c r="E61" s="547"/>
      <c r="F61" s="547"/>
      <c r="G61" s="547"/>
      <c r="H61" s="547"/>
      <c r="I61" s="547"/>
      <c r="J61" s="547"/>
      <c r="K61" s="547"/>
      <c r="L61" s="276"/>
      <c r="O61" s="545"/>
    </row>
    <row r="62" spans="2:42" ht="14.5" customHeight="1" thickBot="1" x14ac:dyDescent="0.4">
      <c r="B62" s="547"/>
      <c r="C62" s="547"/>
      <c r="D62" s="547"/>
      <c r="E62" s="547"/>
      <c r="F62" s="547"/>
      <c r="G62" s="547"/>
      <c r="H62" s="547"/>
      <c r="I62" s="547"/>
      <c r="J62" s="547"/>
      <c r="K62" s="547"/>
      <c r="L62" s="276"/>
      <c r="M62" t="s">
        <v>204</v>
      </c>
      <c r="O62" s="546"/>
    </row>
    <row r="63" spans="2:42" ht="15" thickBot="1" x14ac:dyDescent="0.4"/>
    <row r="64" spans="2:42" ht="15" thickBot="1" x14ac:dyDescent="0.4">
      <c r="B64" t="s">
        <v>205</v>
      </c>
      <c r="M64" s="133" t="s">
        <v>173</v>
      </c>
      <c r="O64" s="189">
        <f>IF(ISBLANK(M64),"-",IF(M64="O",-0.2,0))</f>
        <v>0</v>
      </c>
    </row>
    <row r="65" spans="2:17" ht="15" thickBot="1" x14ac:dyDescent="0.4"/>
    <row r="66" spans="2:17" ht="15" thickBot="1" x14ac:dyDescent="0.4">
      <c r="B66" t="s">
        <v>206</v>
      </c>
      <c r="M66" s="133" t="s">
        <v>173</v>
      </c>
      <c r="O66" s="189">
        <f>IF(ISBLANK(M66),"-",IF(M66="O",-0.2,0))</f>
        <v>0</v>
      </c>
    </row>
    <row r="71" spans="2:17" x14ac:dyDescent="0.35">
      <c r="B71" s="544" t="s">
        <v>235</v>
      </c>
      <c r="C71" s="544"/>
      <c r="D71" s="544"/>
      <c r="E71" s="544"/>
      <c r="F71" s="544"/>
      <c r="G71" s="544"/>
      <c r="H71" s="544"/>
      <c r="I71" s="544"/>
      <c r="J71" s="544"/>
      <c r="K71" s="544"/>
      <c r="L71" s="544"/>
      <c r="M71" s="544"/>
      <c r="N71" s="544"/>
      <c r="O71" s="544"/>
      <c r="P71" s="544"/>
      <c r="Q71" s="544"/>
    </row>
    <row r="72" spans="2:17" x14ac:dyDescent="0.35">
      <c r="B72" s="544"/>
      <c r="C72" s="544"/>
      <c r="D72" s="544"/>
      <c r="E72" s="544"/>
      <c r="F72" s="544"/>
      <c r="G72" s="544"/>
      <c r="H72" s="544"/>
      <c r="I72" s="544"/>
      <c r="J72" s="544"/>
      <c r="K72" s="544"/>
      <c r="L72" s="544"/>
      <c r="M72" s="544"/>
      <c r="N72" s="544"/>
      <c r="O72" s="544"/>
      <c r="P72" s="544"/>
      <c r="Q72" s="544"/>
    </row>
    <row r="73" spans="2:17" ht="15" thickBot="1" x14ac:dyDescent="0.4"/>
    <row r="74" spans="2:17" ht="81" customHeight="1" thickBot="1" x14ac:dyDescent="0.4">
      <c r="C74" s="190" t="s">
        <v>203</v>
      </c>
      <c r="D74" s="190" t="s">
        <v>191</v>
      </c>
    </row>
    <row r="75" spans="2:17" ht="15" thickBot="1" x14ac:dyDescent="0.4">
      <c r="C75" s="191" t="str">
        <f>IF(D75="-","-",IF(D75&gt;0, "Bonus", IF(D75&lt;0,"Rabais","Ni rabais ni bonus")))</f>
        <v>Ni rabais ni bonus</v>
      </c>
      <c r="D75" s="192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</sheetData>
  <mergeCells count="16"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  <mergeCell ref="B71:Q72"/>
    <mergeCell ref="O60:O62"/>
    <mergeCell ref="B61:K62"/>
    <mergeCell ref="B13:X13"/>
    <mergeCell ref="B1:K2"/>
    <mergeCell ref="B50:L51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Juliette DINE</cp:lastModifiedBy>
  <cp:revision/>
  <dcterms:created xsi:type="dcterms:W3CDTF">2018-08-24T08:28:57Z</dcterms:created>
  <dcterms:modified xsi:type="dcterms:W3CDTF">2023-12-12T15:28:01Z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