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ntoinegilbert/Desktop/SysFarm/Dossiers Carbone/Projet SOBAC/GAEC de Plombard/"/>
    </mc:Choice>
  </mc:AlternateContent>
  <xr:revisionPtr revIDLastSave="0" documentId="13_ncr:1_{5722835C-8ADA-344A-AC22-BEDF0A913399}" xr6:coauthVersionLast="47" xr6:coauthVersionMax="47" xr10:uidLastSave="{00000000-0000-0000-0000-000000000000}"/>
  <bookViews>
    <workbookView xWindow="0" yWindow="0" windowWidth="28800" windowHeight="18000" tabRatio="858" activeTab="1" xr2:uid="{00000000-000D-0000-FFFF-FFFF00000000}"/>
  </bookViews>
  <sheets>
    <sheet name="A LIRE" sheetId="5" state="hidden" r:id="rId1"/>
    <sheet name="RECAPITULATIF" sheetId="10" r:id="rId2"/>
    <sheet name="Unique" sheetId="17" state="hidden" r:id="rId3"/>
    <sheet name="GES AVANT NOTIFICATION" sheetId="1" r:id="rId4"/>
    <sheet name="GES APRES NOTIFICATION " sheetId="9" r:id="rId5"/>
    <sheet name="CO-BENEFICES " sheetId="8" r:id="rId6"/>
    <sheet name="SUIVI RABAIS PRODUCTION ET C " sheetId="4" r:id="rId7"/>
  </sheets>
  <externalReferences>
    <externalReference r:id="rId8"/>
    <externalReference r:id="rId9"/>
  </externalReferences>
  <definedNames>
    <definedName name="ListeCultures2">'[1]Listes déroulantes'!$R$1:$CW$1</definedName>
    <definedName name="SAU">'[2]Recap_Sc. REFERENCE + SdC'!$C$3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9" i="8" l="1"/>
  <c r="J17" i="8"/>
  <c r="P48" i="4"/>
  <c r="O48" i="4"/>
  <c r="M48" i="4"/>
  <c r="L48" i="4"/>
  <c r="J48" i="4"/>
  <c r="I48" i="4"/>
  <c r="G48" i="4"/>
  <c r="F48" i="4"/>
  <c r="C48" i="4"/>
  <c r="B48" i="4"/>
  <c r="D65" i="9"/>
  <c r="C65" i="9"/>
  <c r="G9" i="8" l="1"/>
  <c r="I45" i="9" l="1"/>
  <c r="H41" i="9"/>
  <c r="EE23" i="9"/>
  <c r="DY23" i="9"/>
  <c r="DO23" i="9"/>
  <c r="DI23" i="9"/>
  <c r="T35" i="9"/>
  <c r="L35" i="9"/>
  <c r="I35" i="9"/>
  <c r="EG22" i="9"/>
  <c r="DY22" i="9"/>
  <c r="DO22" i="9"/>
  <c r="X34" i="9"/>
  <c r="P34" i="9"/>
  <c r="L34" i="9"/>
  <c r="J34" i="9"/>
  <c r="EG21" i="9"/>
  <c r="EA21" i="9"/>
  <c r="DW21" i="9"/>
  <c r="DU21" i="9"/>
  <c r="DQ21" i="9"/>
  <c r="DM21" i="9"/>
  <c r="DK21" i="9"/>
  <c r="X33" i="9"/>
  <c r="V33" i="9"/>
  <c r="P33" i="9"/>
  <c r="N33" i="9"/>
  <c r="K33" i="9"/>
  <c r="J33" i="9"/>
  <c r="EC20" i="9"/>
  <c r="DY20" i="9"/>
  <c r="DW20" i="9"/>
  <c r="DS20" i="9"/>
  <c r="AE42" i="9" s="1"/>
  <c r="DQ20" i="9"/>
  <c r="AF32" i="9" s="1"/>
  <c r="DM20" i="9"/>
  <c r="V32" i="9"/>
  <c r="T32" i="9"/>
  <c r="P32" i="9"/>
  <c r="N32" i="9"/>
  <c r="L32" i="9"/>
  <c r="I32" i="9"/>
  <c r="EE19" i="9"/>
  <c r="EC19" i="9"/>
  <c r="DY19" i="9"/>
  <c r="DU19" i="9"/>
  <c r="DO19" i="9"/>
  <c r="DI19" i="9"/>
  <c r="M65" i="9"/>
  <c r="H62" i="9"/>
  <c r="G62" i="9"/>
  <c r="F62" i="9"/>
  <c r="E62" i="9"/>
  <c r="D62" i="9"/>
  <c r="C62" i="9"/>
  <c r="I55" i="9"/>
  <c r="I54" i="9"/>
  <c r="I53" i="9"/>
  <c r="I52" i="9"/>
  <c r="I51" i="9"/>
  <c r="I50" i="9"/>
  <c r="I49" i="9"/>
  <c r="H45" i="9"/>
  <c r="I44" i="9"/>
  <c r="H44" i="9"/>
  <c r="J44" i="9" s="1"/>
  <c r="H42" i="9"/>
  <c r="I42" i="9"/>
  <c r="DU22" i="9"/>
  <c r="EC21" i="9"/>
  <c r="DI20" i="9"/>
  <c r="K32" i="9"/>
  <c r="DM15" i="9"/>
  <c r="AD28" i="9" s="1"/>
  <c r="DK15" i="9"/>
  <c r="AC28" i="9" s="1"/>
  <c r="DI15" i="9"/>
  <c r="DG15" i="9"/>
  <c r="AA28" i="9" s="1"/>
  <c r="DE15" i="9"/>
  <c r="Z28" i="9" s="1"/>
  <c r="DC15" i="9"/>
  <c r="Y28" i="9" s="1"/>
  <c r="EC23" i="9"/>
  <c r="EA23" i="9"/>
  <c r="DW23" i="9"/>
  <c r="DS23" i="9"/>
  <c r="DM23" i="9"/>
  <c r="V35" i="9"/>
  <c r="Q35" i="9"/>
  <c r="N35" i="9"/>
  <c r="K35" i="9"/>
  <c r="EE22" i="9"/>
  <c r="DW22" i="9"/>
  <c r="DS22" i="9"/>
  <c r="AE44" i="9" s="1"/>
  <c r="AF44" i="9" s="1"/>
  <c r="DQ22" i="9"/>
  <c r="DI22" i="9"/>
  <c r="T34" i="9"/>
  <c r="Q34" i="9"/>
  <c r="N34" i="9"/>
  <c r="I34" i="9"/>
  <c r="EE21" i="9"/>
  <c r="DO21" i="9"/>
  <c r="EG20" i="9"/>
  <c r="EA20" i="9"/>
  <c r="DK20" i="9"/>
  <c r="X32" i="9"/>
  <c r="Q32" i="9"/>
  <c r="DW19" i="9"/>
  <c r="DS19" i="9"/>
  <c r="DM19" i="9"/>
  <c r="C126" i="17"/>
  <c r="D126" i="17" s="1"/>
  <c r="C125" i="17"/>
  <c r="D125" i="17" s="1"/>
  <c r="C124" i="17"/>
  <c r="D124" i="17" s="1"/>
  <c r="C123" i="17"/>
  <c r="D123" i="17" s="1"/>
  <c r="C122" i="17"/>
  <c r="D122" i="17" s="1"/>
  <c r="C121" i="17"/>
  <c r="D121" i="17" s="1"/>
  <c r="C120" i="17"/>
  <c r="D120" i="17" s="1"/>
  <c r="C119" i="17"/>
  <c r="D119" i="17" s="1"/>
  <c r="C118" i="17"/>
  <c r="D118" i="17" s="1"/>
  <c r="C117" i="17"/>
  <c r="D117" i="17" s="1"/>
  <c r="C116" i="17"/>
  <c r="D116" i="17" s="1"/>
  <c r="C115" i="17"/>
  <c r="D115" i="17" s="1"/>
  <c r="C114" i="17"/>
  <c r="D114" i="17" s="1"/>
  <c r="C113" i="17"/>
  <c r="D113" i="17" s="1"/>
  <c r="C112" i="17"/>
  <c r="D112" i="17" s="1"/>
  <c r="C111" i="17"/>
  <c r="D111" i="17" s="1"/>
  <c r="C110" i="17"/>
  <c r="D110" i="17" s="1"/>
  <c r="C109" i="17"/>
  <c r="D109" i="17" s="1"/>
  <c r="C108" i="17"/>
  <c r="D108" i="17" s="1"/>
  <c r="C107" i="17"/>
  <c r="D107" i="17" s="1"/>
  <c r="C106" i="17"/>
  <c r="D106" i="17" s="1"/>
  <c r="C105" i="17"/>
  <c r="D105" i="17" s="1"/>
  <c r="C104" i="17"/>
  <c r="D104" i="17" s="1"/>
  <c r="C103" i="17"/>
  <c r="D103" i="17" s="1"/>
  <c r="C102" i="17"/>
  <c r="D102" i="17" s="1"/>
  <c r="C101" i="17"/>
  <c r="D101" i="17" s="1"/>
  <c r="C100" i="17"/>
  <c r="D100" i="17" s="1"/>
  <c r="C99" i="17"/>
  <c r="D99" i="17" s="1"/>
  <c r="C98" i="17"/>
  <c r="D98" i="17" s="1"/>
  <c r="C97" i="17"/>
  <c r="D97" i="17" s="1"/>
  <c r="C96" i="17"/>
  <c r="D96" i="17" s="1"/>
  <c r="C95" i="17"/>
  <c r="D95" i="17" s="1"/>
  <c r="C94" i="17"/>
  <c r="D94" i="17" s="1"/>
  <c r="C93" i="17"/>
  <c r="D93" i="17" s="1"/>
  <c r="C92" i="17"/>
  <c r="D92" i="17" s="1"/>
  <c r="C91" i="17"/>
  <c r="D91" i="17" s="1"/>
  <c r="C90" i="17"/>
  <c r="D90" i="17" s="1"/>
  <c r="C89" i="17"/>
  <c r="D89" i="17" s="1"/>
  <c r="C88" i="17"/>
  <c r="D88" i="17" s="1"/>
  <c r="C87" i="17"/>
  <c r="D87" i="17" s="1"/>
  <c r="C86" i="17"/>
  <c r="D86" i="17" s="1"/>
  <c r="C85" i="17"/>
  <c r="D85" i="17" s="1"/>
  <c r="C84" i="17"/>
  <c r="D84" i="17" s="1"/>
  <c r="C83" i="17"/>
  <c r="D83" i="17" s="1"/>
  <c r="C82" i="17"/>
  <c r="D82" i="17" s="1"/>
  <c r="C81" i="17"/>
  <c r="D81" i="17" s="1"/>
  <c r="C80" i="17"/>
  <c r="D80" i="17" s="1"/>
  <c r="C79" i="17"/>
  <c r="D79" i="17" s="1"/>
  <c r="C78" i="17"/>
  <c r="D78" i="17" s="1"/>
  <c r="C77" i="17"/>
  <c r="D77" i="17" s="1"/>
  <c r="C76" i="17"/>
  <c r="D76" i="17" s="1"/>
  <c r="C75" i="17"/>
  <c r="D75" i="17" s="1"/>
  <c r="C74" i="17"/>
  <c r="D74" i="17" s="1"/>
  <c r="C73" i="17"/>
  <c r="D73" i="17" s="1"/>
  <c r="C72" i="17"/>
  <c r="D72" i="17" s="1"/>
  <c r="C71" i="17"/>
  <c r="D71" i="17" s="1"/>
  <c r="C70" i="17"/>
  <c r="D70" i="17" s="1"/>
  <c r="C69" i="17"/>
  <c r="D69" i="17" s="1"/>
  <c r="C68" i="17"/>
  <c r="D68" i="17" s="1"/>
  <c r="C67" i="17"/>
  <c r="D67" i="17" s="1"/>
  <c r="C66" i="17"/>
  <c r="D66" i="17" s="1"/>
  <c r="C65" i="17"/>
  <c r="D65" i="17" s="1"/>
  <c r="C64" i="17"/>
  <c r="D64" i="17" s="1"/>
  <c r="C63" i="17"/>
  <c r="D63" i="17" s="1"/>
  <c r="C62" i="17"/>
  <c r="D62" i="17" s="1"/>
  <c r="C61" i="17"/>
  <c r="D61" i="17" s="1"/>
  <c r="C60" i="17"/>
  <c r="D60" i="17" s="1"/>
  <c r="C59" i="17"/>
  <c r="D59" i="17" s="1"/>
  <c r="C58" i="17"/>
  <c r="D58" i="17" s="1"/>
  <c r="C57" i="17"/>
  <c r="D57" i="17" s="1"/>
  <c r="C56" i="17"/>
  <c r="D56" i="17" s="1"/>
  <c r="C55" i="17"/>
  <c r="D55" i="17" s="1"/>
  <c r="C54" i="17"/>
  <c r="D54" i="17" s="1"/>
  <c r="C53" i="17"/>
  <c r="D53" i="17" s="1"/>
  <c r="C52" i="17"/>
  <c r="D52" i="17" s="1"/>
  <c r="C51" i="17"/>
  <c r="D51" i="17" s="1"/>
  <c r="C50" i="17"/>
  <c r="D50" i="17" s="1"/>
  <c r="C49" i="17"/>
  <c r="D49" i="17" s="1"/>
  <c r="C48" i="17"/>
  <c r="D48" i="17" s="1"/>
  <c r="C47" i="17"/>
  <c r="D47" i="17" s="1"/>
  <c r="C46" i="17"/>
  <c r="D46" i="17" s="1"/>
  <c r="C45" i="17"/>
  <c r="D45" i="17" s="1"/>
  <c r="C44" i="17"/>
  <c r="D44" i="17" s="1"/>
  <c r="C43" i="17"/>
  <c r="D43" i="17" s="1"/>
  <c r="C42" i="17"/>
  <c r="D42" i="17" s="1"/>
  <c r="C41" i="17"/>
  <c r="D41" i="17" s="1"/>
  <c r="C40" i="17"/>
  <c r="D40" i="17" s="1"/>
  <c r="C39" i="17"/>
  <c r="D39" i="17" s="1"/>
  <c r="C38" i="17"/>
  <c r="D38" i="17" s="1"/>
  <c r="C37" i="17"/>
  <c r="D37" i="17" s="1"/>
  <c r="C36" i="17"/>
  <c r="D36" i="17" s="1"/>
  <c r="C35" i="17"/>
  <c r="D35" i="17" s="1"/>
  <c r="C34" i="17"/>
  <c r="D34" i="17" s="1"/>
  <c r="C33" i="17"/>
  <c r="D33" i="17" s="1"/>
  <c r="C32" i="17"/>
  <c r="D32" i="17" s="1"/>
  <c r="C31" i="17"/>
  <c r="D31" i="17" s="1"/>
  <c r="C30" i="17"/>
  <c r="D30" i="17" s="1"/>
  <c r="C29" i="17"/>
  <c r="D29" i="17" s="1"/>
  <c r="C28" i="17"/>
  <c r="D28" i="17" s="1"/>
  <c r="C27" i="17"/>
  <c r="D27" i="17" s="1"/>
  <c r="C26" i="17"/>
  <c r="D26" i="17" s="1"/>
  <c r="C25" i="17"/>
  <c r="D25" i="17" s="1"/>
  <c r="C24" i="17"/>
  <c r="D24" i="17" s="1"/>
  <c r="C23" i="17"/>
  <c r="D23" i="17" s="1"/>
  <c r="C22" i="17"/>
  <c r="D22" i="17" s="1"/>
  <c r="C21" i="17"/>
  <c r="D21" i="17" s="1"/>
  <c r="C20" i="17"/>
  <c r="D20" i="17" s="1"/>
  <c r="C19" i="17"/>
  <c r="D19" i="17" s="1"/>
  <c r="C18" i="17"/>
  <c r="D18" i="17" s="1"/>
  <c r="C17" i="17"/>
  <c r="D17" i="17" s="1"/>
  <c r="C16" i="17"/>
  <c r="D16" i="17" s="1"/>
  <c r="C15" i="17"/>
  <c r="D15" i="17" s="1"/>
  <c r="C14" i="17"/>
  <c r="D14" i="17" s="1"/>
  <c r="C13" i="17"/>
  <c r="D13" i="17" s="1"/>
  <c r="C12" i="17"/>
  <c r="D12" i="17" s="1"/>
  <c r="C11" i="17"/>
  <c r="D11" i="17" s="1"/>
  <c r="C10" i="17"/>
  <c r="D10" i="17" s="1"/>
  <c r="C9" i="17"/>
  <c r="D9" i="17" s="1"/>
  <c r="C8" i="17"/>
  <c r="D8" i="17" s="1"/>
  <c r="C7" i="17"/>
  <c r="D7" i="17" s="1"/>
  <c r="C6" i="17"/>
  <c r="D6" i="17" s="1"/>
  <c r="C5" i="17"/>
  <c r="D5" i="17" s="1"/>
  <c r="C4" i="17"/>
  <c r="D4" i="17" s="1"/>
  <c r="C3" i="17"/>
  <c r="D3" i="17" s="1"/>
  <c r="C2" i="17"/>
  <c r="Y35" i="9" l="1"/>
  <c r="I41" i="9"/>
  <c r="D2" i="17"/>
  <c r="E2" i="17" a="1"/>
  <c r="E2" i="17" s="1"/>
  <c r="F2" i="17" a="1"/>
  <c r="J45" i="9"/>
  <c r="J42" i="9"/>
  <c r="S41" i="9"/>
  <c r="AA31" i="9"/>
  <c r="DW24" i="9"/>
  <c r="AI31" i="9"/>
  <c r="AI41" i="9"/>
  <c r="M42" i="9"/>
  <c r="N42" i="9" s="1"/>
  <c r="W32" i="9"/>
  <c r="W42" i="9"/>
  <c r="X42" i="9" s="1"/>
  <c r="AC32" i="9"/>
  <c r="AM42" i="9"/>
  <c r="AN42" i="9" s="1"/>
  <c r="AK32" i="9"/>
  <c r="M43" i="9"/>
  <c r="N43" i="9" s="1"/>
  <c r="W33" i="9"/>
  <c r="AA43" i="9"/>
  <c r="AB43" i="9" s="1"/>
  <c r="AE33" i="9"/>
  <c r="O44" i="9"/>
  <c r="P44" i="9" s="1"/>
  <c r="Y34" i="9"/>
  <c r="AM45" i="9"/>
  <c r="AN45" i="9" s="1"/>
  <c r="AK35" i="9"/>
  <c r="U44" i="9"/>
  <c r="V44" i="9" s="1"/>
  <c r="AB34" i="9"/>
  <c r="Y45" i="9"/>
  <c r="Z45" i="9" s="1"/>
  <c r="AD35" i="9"/>
  <c r="Q31" i="9"/>
  <c r="O41" i="9"/>
  <c r="AE41" i="9"/>
  <c r="AG31" i="9"/>
  <c r="S42" i="9"/>
  <c r="T42" i="9" s="1"/>
  <c r="AA32" i="9"/>
  <c r="AI42" i="9"/>
  <c r="AJ42" i="9" s="1"/>
  <c r="AI32" i="9"/>
  <c r="K43" i="9"/>
  <c r="L43" i="9" s="1"/>
  <c r="U33" i="9"/>
  <c r="AE34" i="9"/>
  <c r="AA44" i="9"/>
  <c r="AB44" i="9" s="1"/>
  <c r="AM34" i="9"/>
  <c r="AQ44" i="9"/>
  <c r="AR44" i="9" s="1"/>
  <c r="AG35" i="9"/>
  <c r="AE45" i="9"/>
  <c r="AF45" i="9" s="1"/>
  <c r="AC33" i="9"/>
  <c r="W43" i="9"/>
  <c r="X43" i="9" s="1"/>
  <c r="AI45" i="9"/>
  <c r="AJ45" i="9" s="1"/>
  <c r="AI35" i="9"/>
  <c r="U41" i="9"/>
  <c r="AB31" i="9"/>
  <c r="Y42" i="9"/>
  <c r="Z42" i="9" s="1"/>
  <c r="AD32" i="9"/>
  <c r="AO42" i="9"/>
  <c r="AP42" i="9" s="1"/>
  <c r="AL32" i="9"/>
  <c r="AC43" i="9"/>
  <c r="AD43" i="9" s="1"/>
  <c r="AF33" i="9"/>
  <c r="AS43" i="9"/>
  <c r="AT43" i="9" s="1"/>
  <c r="AN33" i="9"/>
  <c r="Q44" i="9"/>
  <c r="R44" i="9" s="1"/>
  <c r="Z34" i="9"/>
  <c r="AB35" i="9"/>
  <c r="U45" i="9"/>
  <c r="V45" i="9" s="1"/>
  <c r="AK41" i="9"/>
  <c r="AJ31" i="9"/>
  <c r="M33" i="9"/>
  <c r="Y43" i="9"/>
  <c r="Z43" i="9" s="1"/>
  <c r="AD33" i="9"/>
  <c r="Y31" i="9"/>
  <c r="AG34" i="9"/>
  <c r="O42" i="9"/>
  <c r="P42" i="9" s="1"/>
  <c r="Y32" i="9"/>
  <c r="AF42" i="9"/>
  <c r="S43" i="9"/>
  <c r="T43" i="9" s="1"/>
  <c r="AA33" i="9"/>
  <c r="AI43" i="9"/>
  <c r="AJ43" i="9" s="1"/>
  <c r="AI33" i="9"/>
  <c r="U34" i="9"/>
  <c r="W35" i="9"/>
  <c r="M45" i="9"/>
  <c r="N45" i="9" s="1"/>
  <c r="AE35" i="9"/>
  <c r="AA45" i="9"/>
  <c r="AB45" i="9" s="1"/>
  <c r="AM35" i="9"/>
  <c r="AQ45" i="9"/>
  <c r="AR45" i="9" s="1"/>
  <c r="AK33" i="9"/>
  <c r="AM43" i="9"/>
  <c r="AN43" i="9" s="1"/>
  <c r="AJ35" i="9"/>
  <c r="AK45" i="9"/>
  <c r="AL45" i="9" s="1"/>
  <c r="K42" i="9"/>
  <c r="L42" i="9" s="1"/>
  <c r="U32" i="9"/>
  <c r="AQ43" i="9"/>
  <c r="AR43" i="9" s="1"/>
  <c r="AM33" i="9"/>
  <c r="N31" i="9"/>
  <c r="N36" i="9" s="1"/>
  <c r="AZ24" i="9"/>
  <c r="Y41" i="9"/>
  <c r="AD31" i="9"/>
  <c r="AN32" i="9"/>
  <c r="AS42" i="9"/>
  <c r="AT42" i="9" s="1"/>
  <c r="Q43" i="9"/>
  <c r="R43" i="9" s="1"/>
  <c r="Z33" i="9"/>
  <c r="AO45" i="9"/>
  <c r="AP45" i="9" s="1"/>
  <c r="AL35" i="9"/>
  <c r="M41" i="9"/>
  <c r="AE31" i="9"/>
  <c r="AA41" i="9"/>
  <c r="AM31" i="9"/>
  <c r="AQ41" i="9"/>
  <c r="EE24" i="9"/>
  <c r="Q41" i="9"/>
  <c r="Z31" i="9"/>
  <c r="AG41" i="9"/>
  <c r="AH31" i="9"/>
  <c r="AF34" i="9"/>
  <c r="AC44" i="9"/>
  <c r="AD44" i="9" s="1"/>
  <c r="AN34" i="9"/>
  <c r="AS44" i="9"/>
  <c r="AT44" i="9" s="1"/>
  <c r="AB32" i="9"/>
  <c r="U42" i="9"/>
  <c r="V42" i="9" s="1"/>
  <c r="AO43" i="9"/>
  <c r="AP43" i="9" s="1"/>
  <c r="AL33" i="9"/>
  <c r="AC42" i="9"/>
  <c r="AD42" i="9" s="1"/>
  <c r="AI44" i="9"/>
  <c r="AJ44" i="9" s="1"/>
  <c r="AI34" i="9"/>
  <c r="AG44" i="9"/>
  <c r="AH44" i="9" s="1"/>
  <c r="AH34" i="9"/>
  <c r="AK44" i="9"/>
  <c r="AL44" i="9" s="1"/>
  <c r="AJ34" i="9"/>
  <c r="DK19" i="9"/>
  <c r="EA19" i="9"/>
  <c r="BB24" i="9"/>
  <c r="DO20" i="9"/>
  <c r="EE20" i="9"/>
  <c r="I33" i="9"/>
  <c r="Q33" i="9"/>
  <c r="DC24" i="9"/>
  <c r="DS21" i="9"/>
  <c r="DS24" i="9" s="1"/>
  <c r="K34" i="9"/>
  <c r="CA24" i="9"/>
  <c r="DK23" i="9"/>
  <c r="M32" i="9"/>
  <c r="O33" i="9"/>
  <c r="AG32" i="9"/>
  <c r="S45" i="9"/>
  <c r="T45" i="9" s="1"/>
  <c r="AA35" i="9"/>
  <c r="J41" i="9"/>
  <c r="AO41" i="9"/>
  <c r="AL31" i="9"/>
  <c r="EC24" i="9"/>
  <c r="AG43" i="9"/>
  <c r="AH43" i="9" s="1"/>
  <c r="AH33" i="9"/>
  <c r="T31" i="9"/>
  <c r="DQ19" i="9"/>
  <c r="EG19" i="9"/>
  <c r="J32" i="9"/>
  <c r="DU20" i="9"/>
  <c r="L33" i="9"/>
  <c r="T33" i="9"/>
  <c r="DI21" i="9"/>
  <c r="DI24" i="9" s="1"/>
  <c r="DY21" i="9"/>
  <c r="DY24" i="9" s="1"/>
  <c r="V34" i="9"/>
  <c r="DM22" i="9"/>
  <c r="EC22" i="9"/>
  <c r="X35" i="9"/>
  <c r="DQ23" i="9"/>
  <c r="EG23" i="9"/>
  <c r="AJ32" i="9"/>
  <c r="AK42" i="9"/>
  <c r="AL42" i="9" s="1"/>
  <c r="I43" i="9"/>
  <c r="I46" i="9" s="1"/>
  <c r="H43" i="9"/>
  <c r="J43" i="9" s="1"/>
  <c r="O45" i="9"/>
  <c r="P45" i="9" s="1"/>
  <c r="DK22" i="9"/>
  <c r="EA22" i="9"/>
  <c r="J35" i="9"/>
  <c r="DU23" i="9"/>
  <c r="H46" i="9"/>
  <c r="P35" i="9"/>
  <c r="G46" i="9"/>
  <c r="K44" i="9" l="1"/>
  <c r="L44" i="9" s="1"/>
  <c r="S31" i="9"/>
  <c r="M34" i="9"/>
  <c r="F2" i="17"/>
  <c r="AJ47" i="4"/>
  <c r="AJ44" i="4"/>
  <c r="AJ42" i="4"/>
  <c r="AJ45" i="4"/>
  <c r="AJ41" i="4"/>
  <c r="S43" i="4"/>
  <c r="AJ46" i="4"/>
  <c r="AJ43" i="4"/>
  <c r="R33" i="9"/>
  <c r="S32" i="9"/>
  <c r="R34" i="9"/>
  <c r="AM24" i="9"/>
  <c r="CK24" i="9"/>
  <c r="T36" i="9"/>
  <c r="J46" i="9"/>
  <c r="AQ24" i="9"/>
  <c r="BO24" i="9"/>
  <c r="AM44" i="9"/>
  <c r="AN44" i="9" s="1"/>
  <c r="AK34" i="9"/>
  <c r="R31" i="9"/>
  <c r="S44" i="9"/>
  <c r="T44" i="9" s="1"/>
  <c r="AA34" i="9"/>
  <c r="AQ42" i="9"/>
  <c r="AR42" i="9" s="1"/>
  <c r="AM32" i="9"/>
  <c r="AM36" i="9" s="1"/>
  <c r="Z41" i="9"/>
  <c r="AA24" i="9"/>
  <c r="AJ41" i="9"/>
  <c r="AJ46" i="9" s="1"/>
  <c r="AI46" i="9"/>
  <c r="CS24" i="9"/>
  <c r="V31" i="9"/>
  <c r="V36" i="9" s="1"/>
  <c r="N41" i="9"/>
  <c r="U35" i="9"/>
  <c r="K45" i="9"/>
  <c r="L45" i="9" s="1"/>
  <c r="AN35" i="9"/>
  <c r="AS45" i="9"/>
  <c r="AT45" i="9" s="1"/>
  <c r="AP41" i="9"/>
  <c r="CF24" i="9"/>
  <c r="CI24" i="9"/>
  <c r="AA42" i="9"/>
  <c r="AB42" i="9" s="1"/>
  <c r="AE32" i="9"/>
  <c r="AE36" i="9" s="1"/>
  <c r="L31" i="9"/>
  <c r="L36" i="9" s="1"/>
  <c r="AO24" i="9"/>
  <c r="R41" i="9"/>
  <c r="DO24" i="9"/>
  <c r="AL41" i="9"/>
  <c r="AK24" i="9"/>
  <c r="K31" i="9"/>
  <c r="K36" i="9" s="1"/>
  <c r="AC24" i="9"/>
  <c r="I31" i="9"/>
  <c r="I36" i="9" s="1"/>
  <c r="AI36" i="9"/>
  <c r="CQ24" i="9"/>
  <c r="Q36" i="9"/>
  <c r="Q42" i="9"/>
  <c r="R42" i="9" s="1"/>
  <c r="Z32" i="9"/>
  <c r="DE24" i="9"/>
  <c r="AF35" i="9"/>
  <c r="AC45" i="9"/>
  <c r="AD45" i="9" s="1"/>
  <c r="BG24" i="9"/>
  <c r="AB41" i="9"/>
  <c r="AI24" i="9"/>
  <c r="O31" i="9"/>
  <c r="AD34" i="9"/>
  <c r="AD36" i="9" s="1"/>
  <c r="Y44" i="9"/>
  <c r="Z44" i="9" s="1"/>
  <c r="AH41" i="9"/>
  <c r="AG45" i="9"/>
  <c r="AH45" i="9" s="1"/>
  <c r="AH35" i="9"/>
  <c r="M44" i="9"/>
  <c r="N44" i="9" s="1"/>
  <c r="W34" i="9"/>
  <c r="AF31" i="9"/>
  <c r="AF36" i="9" s="1"/>
  <c r="AC41" i="9"/>
  <c r="DQ24" i="9"/>
  <c r="S35" i="9"/>
  <c r="AF41" i="9"/>
  <c r="AA36" i="9"/>
  <c r="K41" i="9"/>
  <c r="CM24" i="9"/>
  <c r="AR41" i="9"/>
  <c r="DM24" i="9"/>
  <c r="U43" i="9"/>
  <c r="V43" i="9" s="1"/>
  <c r="AB33" i="9"/>
  <c r="Q45" i="9"/>
  <c r="R45" i="9" s="1"/>
  <c r="Z35" i="9"/>
  <c r="CY24" i="9"/>
  <c r="AG33" i="9"/>
  <c r="AG36" i="9" s="1"/>
  <c r="AE43" i="9"/>
  <c r="AF43" i="9" s="1"/>
  <c r="AM41" i="9"/>
  <c r="AK31" i="9"/>
  <c r="AK36" i="9" s="1"/>
  <c r="EA24" i="9"/>
  <c r="BQ24" i="9"/>
  <c r="W31" i="9"/>
  <c r="CW24" i="9"/>
  <c r="O35" i="9"/>
  <c r="AB36" i="9"/>
  <c r="O34" i="9"/>
  <c r="T41" i="9"/>
  <c r="AG42" i="9"/>
  <c r="AH42" i="9" s="1"/>
  <c r="AH32" i="9"/>
  <c r="AH36" i="9" s="1"/>
  <c r="W45" i="9"/>
  <c r="X45" i="9" s="1"/>
  <c r="AC35" i="9"/>
  <c r="W44" i="9"/>
  <c r="X44" i="9" s="1"/>
  <c r="AC34" i="9"/>
  <c r="AK43" i="9"/>
  <c r="AL43" i="9" s="1"/>
  <c r="AJ33" i="9"/>
  <c r="AJ36" i="9" s="1"/>
  <c r="AN31" i="9"/>
  <c r="AS41" i="9"/>
  <c r="EG24" i="9"/>
  <c r="AL34" i="9"/>
  <c r="AL36" i="9" s="1"/>
  <c r="AO44" i="9"/>
  <c r="AP44" i="9" s="1"/>
  <c r="P31" i="9"/>
  <c r="P36" i="9" s="1"/>
  <c r="BK24" i="9"/>
  <c r="AG24" i="9"/>
  <c r="J31" i="9"/>
  <c r="J36" i="9" s="1"/>
  <c r="O43" i="9"/>
  <c r="P43" i="9" s="1"/>
  <c r="Y33" i="9"/>
  <c r="Y36" i="9" s="1"/>
  <c r="W41" i="9"/>
  <c r="AC31" i="9"/>
  <c r="DK24" i="9"/>
  <c r="DU24" i="9"/>
  <c r="AE24" i="9"/>
  <c r="CU24" i="9"/>
  <c r="S33" i="9"/>
  <c r="V41" i="9"/>
  <c r="P41" i="9"/>
  <c r="DG24" i="9"/>
  <c r="S44" i="4"/>
  <c r="S42" i="4"/>
  <c r="S47" i="4"/>
  <c r="S41" i="4"/>
  <c r="S45" i="4"/>
  <c r="S46" i="4"/>
  <c r="W36" i="9" l="1"/>
  <c r="BY24" i="9"/>
  <c r="AV24" i="9"/>
  <c r="Y46" i="9"/>
  <c r="AN36" i="9"/>
  <c r="AA46" i="9"/>
  <c r="N46" i="9"/>
  <c r="AB46" i="9"/>
  <c r="AK46" i="9"/>
  <c r="AF46" i="9"/>
  <c r="M35" i="9"/>
  <c r="Z36" i="9"/>
  <c r="K17" i="8"/>
  <c r="V46" i="9"/>
  <c r="S34" i="9"/>
  <c r="S36" i="9" s="1"/>
  <c r="Q46" i="9"/>
  <c r="AP46" i="9"/>
  <c r="BS24" i="9"/>
  <c r="BV24" i="9"/>
  <c r="S46" i="9"/>
  <c r="U46" i="9"/>
  <c r="T46" i="9"/>
  <c r="P46" i="9"/>
  <c r="AE46" i="9"/>
  <c r="X31" i="9"/>
  <c r="X36" i="9" s="1"/>
  <c r="DA24" i="9"/>
  <c r="CC24" i="9"/>
  <c r="M31" i="9"/>
  <c r="M36" i="9" s="1"/>
  <c r="AS24" i="9"/>
  <c r="O32" i="9"/>
  <c r="O36" i="9" s="1"/>
  <c r="BD24" i="9"/>
  <c r="O46" i="9"/>
  <c r="AS46" i="9"/>
  <c r="AT41" i="9"/>
  <c r="AT46" i="9" s="1"/>
  <c r="U31" i="9"/>
  <c r="U36" i="9" s="1"/>
  <c r="CO24" i="9"/>
  <c r="AC46" i="9"/>
  <c r="AD41" i="9"/>
  <c r="AD46" i="9" s="1"/>
  <c r="R46" i="9"/>
  <c r="M46" i="9"/>
  <c r="Z46" i="9"/>
  <c r="L41" i="9"/>
  <c r="L46" i="9" s="1"/>
  <c r="K46" i="9"/>
  <c r="AH46" i="9"/>
  <c r="AC36" i="9"/>
  <c r="AN41" i="9"/>
  <c r="AN46" i="9" s="1"/>
  <c r="AM46" i="9"/>
  <c r="AG46" i="9"/>
  <c r="AO46" i="9"/>
  <c r="X41" i="9"/>
  <c r="X46" i="9" s="1"/>
  <c r="W46" i="9"/>
  <c r="R32" i="9"/>
  <c r="AQ46" i="9"/>
  <c r="R35" i="9"/>
  <c r="AR46" i="9"/>
  <c r="AL46" i="9"/>
  <c r="AJ40" i="4" l="1"/>
  <c r="AI40" i="4" s="1"/>
  <c r="S40" i="4"/>
  <c r="R40" i="4" s="1"/>
  <c r="AJ39" i="4"/>
  <c r="AI39" i="4" s="1"/>
  <c r="S39" i="4"/>
  <c r="R39" i="4" s="1"/>
  <c r="AJ38" i="4"/>
  <c r="AI38" i="4" s="1"/>
  <c r="S38" i="4"/>
  <c r="R38" i="4" s="1"/>
  <c r="AJ33" i="4"/>
  <c r="S33" i="4"/>
  <c r="AJ31" i="4"/>
  <c r="S31" i="4"/>
  <c r="R31" i="4" s="1"/>
  <c r="AJ36" i="4"/>
  <c r="AI36" i="4" s="1"/>
  <c r="S36" i="4"/>
  <c r="R36" i="4" s="1"/>
  <c r="S37" i="4"/>
  <c r="R37" i="4" s="1"/>
  <c r="AJ34" i="4"/>
  <c r="S34" i="4"/>
  <c r="R34" i="4" s="1"/>
  <c r="AJ32" i="4"/>
  <c r="S32" i="4"/>
  <c r="R32" i="4" s="1"/>
  <c r="AJ35" i="4"/>
  <c r="AI35" i="4" s="1"/>
  <c r="S35" i="4"/>
  <c r="R35" i="4" s="1"/>
  <c r="R36" i="9"/>
  <c r="AJ37" i="4" l="1"/>
  <c r="AI37" i="4" s="1"/>
  <c r="C33" i="9" l="1"/>
  <c r="F33" i="9"/>
  <c r="H35" i="9"/>
  <c r="G35" i="9"/>
  <c r="H33" i="9"/>
  <c r="F35" i="9"/>
  <c r="H32" i="9"/>
  <c r="D32" i="9"/>
  <c r="F34" i="9"/>
  <c r="H34" i="9"/>
  <c r="F32" i="9"/>
  <c r="G34" i="9"/>
  <c r="G33" i="9"/>
  <c r="G32" i="9"/>
  <c r="E35" i="9"/>
  <c r="O24" i="9" l="1"/>
  <c r="D34" i="9"/>
  <c r="S24" i="9"/>
  <c r="D35" i="9"/>
  <c r="E34" i="9"/>
  <c r="W24" i="9"/>
  <c r="C34" i="9"/>
  <c r="E33" i="9"/>
  <c r="E32" i="9"/>
  <c r="C32" i="9"/>
  <c r="F31" i="9"/>
  <c r="F36" i="9" s="1"/>
  <c r="Q24" i="9"/>
  <c r="E31" i="9"/>
  <c r="Y24" i="9"/>
  <c r="H31" i="9"/>
  <c r="H36" i="9" s="1"/>
  <c r="G31" i="9"/>
  <c r="G36" i="9" s="1"/>
  <c r="U24" i="9"/>
  <c r="AO34" i="9" l="1"/>
  <c r="AP34" i="9" s="1"/>
  <c r="AO32" i="9"/>
  <c r="AP32" i="9" s="1"/>
  <c r="C44" i="9"/>
  <c r="D44" i="9" s="1"/>
  <c r="C42" i="9"/>
  <c r="E42" i="9" s="1"/>
  <c r="G24" i="9"/>
  <c r="C24" i="9"/>
  <c r="C45" i="9"/>
  <c r="C35" i="9"/>
  <c r="AO35" i="9" s="1"/>
  <c r="AP35" i="9" s="1"/>
  <c r="M24" i="9"/>
  <c r="E36" i="9"/>
  <c r="K24" i="9"/>
  <c r="D33" i="9"/>
  <c r="AO33" i="9" s="1"/>
  <c r="AP33" i="9" s="1"/>
  <c r="C43" i="9"/>
  <c r="D42" i="9" l="1"/>
  <c r="E44" i="9"/>
  <c r="F44" i="9" s="1"/>
  <c r="AU44" i="9" s="1"/>
  <c r="AV44" i="9" s="1"/>
  <c r="G17" i="8"/>
  <c r="F42" i="9"/>
  <c r="AU42" i="9" s="1"/>
  <c r="AV42" i="9" s="1"/>
  <c r="C41" i="9"/>
  <c r="E24" i="9"/>
  <c r="C31" i="9"/>
  <c r="G37" i="9"/>
  <c r="D45" i="9"/>
  <c r="E45" i="9"/>
  <c r="D43" i="9"/>
  <c r="E43" i="9"/>
  <c r="D31" i="9"/>
  <c r="D36" i="9" s="1"/>
  <c r="I24" i="9"/>
  <c r="F17" i="8" l="1"/>
  <c r="F43" i="9"/>
  <c r="AU43" i="9" s="1"/>
  <c r="AV43" i="9" s="1"/>
  <c r="F45" i="9"/>
  <c r="AU45" i="9" s="1"/>
  <c r="AV45" i="9" s="1"/>
  <c r="C36" i="9"/>
  <c r="AO31" i="9"/>
  <c r="EI24" i="9"/>
  <c r="A25" i="9"/>
  <c r="C46" i="9"/>
  <c r="E41" i="9"/>
  <c r="E46" i="9" s="1"/>
  <c r="D41" i="9"/>
  <c r="F41" i="9" l="1"/>
  <c r="D46" i="9"/>
  <c r="AP31" i="9"/>
  <c r="AO36" i="9"/>
  <c r="G11" i="8"/>
  <c r="F11" i="8"/>
  <c r="AU41" i="9" l="1"/>
  <c r="F46" i="9"/>
  <c r="AU46" i="9" l="1"/>
  <c r="AX44" i="9" s="1"/>
  <c r="AX45" i="9" s="1"/>
  <c r="AV41" i="9"/>
  <c r="O66" i="4" l="1"/>
  <c r="O64" i="4"/>
  <c r="J54" i="4" l="1"/>
  <c r="I54" i="4"/>
  <c r="F28" i="10" l="1"/>
  <c r="P15" i="8" l="1"/>
  <c r="M16" i="8" l="1"/>
  <c r="P12" i="8" l="1"/>
  <c r="M13" i="8" l="1"/>
  <c r="E18" i="10" s="1"/>
  <c r="R18" i="8"/>
  <c r="E17" i="10" l="1"/>
  <c r="Y31" i="1"/>
  <c r="D35" i="1" l="1"/>
  <c r="DE19" i="1" l="1"/>
  <c r="Z31" i="1" s="1"/>
  <c r="DG19" i="1"/>
  <c r="DI19" i="1"/>
  <c r="AB31" i="1" s="1"/>
  <c r="DE20" i="1"/>
  <c r="Z32" i="1" s="1"/>
  <c r="DG20" i="1"/>
  <c r="AA32" i="1" s="1"/>
  <c r="DI20" i="1"/>
  <c r="AB32" i="1" s="1"/>
  <c r="DE21" i="1"/>
  <c r="Z33" i="1" s="1"/>
  <c r="DG21" i="1"/>
  <c r="AA33" i="1" s="1"/>
  <c r="DI21" i="1"/>
  <c r="AB33" i="1" s="1"/>
  <c r="DE22" i="1"/>
  <c r="Z34" i="1" s="1"/>
  <c r="DG22" i="1"/>
  <c r="AA34" i="1" s="1"/>
  <c r="DI22" i="1"/>
  <c r="AB34" i="1" s="1"/>
  <c r="DE23" i="1"/>
  <c r="Z35" i="1" s="1"/>
  <c r="DG23" i="1"/>
  <c r="AA35" i="1" s="1"/>
  <c r="DI23" i="1"/>
  <c r="AB35" i="1" s="1"/>
  <c r="AA31" i="1" l="1"/>
  <c r="DG24" i="1"/>
  <c r="C31" i="1"/>
  <c r="D31" i="1"/>
  <c r="I49" i="1"/>
  <c r="I51" i="1"/>
  <c r="I53" i="1"/>
  <c r="I50" i="1"/>
  <c r="H43" i="1" s="1"/>
  <c r="I52" i="1"/>
  <c r="U31" i="1"/>
  <c r="V31" i="1"/>
  <c r="I54" i="1"/>
  <c r="I43" i="1" s="1"/>
  <c r="M41" i="1"/>
  <c r="I55" i="1"/>
  <c r="I44" i="1" s="1"/>
  <c r="O41" i="1"/>
  <c r="Q41" i="1"/>
  <c r="S41" i="1"/>
  <c r="U41" i="1"/>
  <c r="DK19" i="1"/>
  <c r="DM19" i="1"/>
  <c r="AD31" i="1" s="1"/>
  <c r="DO19" i="1"/>
  <c r="AA41" i="1" s="1"/>
  <c r="DQ19" i="1"/>
  <c r="AC41" i="1" s="1"/>
  <c r="DS19" i="1"/>
  <c r="AE41" i="1" s="1"/>
  <c r="DU19" i="1"/>
  <c r="AH31" i="1" s="1"/>
  <c r="DW19" i="1"/>
  <c r="AI31" i="1" s="1"/>
  <c r="M65" i="1"/>
  <c r="DY19" i="1"/>
  <c r="AK41" i="1" s="1"/>
  <c r="EA19" i="1"/>
  <c r="AM41" i="1" s="1"/>
  <c r="EC19" i="1"/>
  <c r="AO41" i="1" s="1"/>
  <c r="EE19" i="1"/>
  <c r="AQ41" i="1" s="1"/>
  <c r="EG19" i="1"/>
  <c r="AS41" i="1" s="1"/>
  <c r="Y32" i="1"/>
  <c r="Y33" i="1"/>
  <c r="Y34" i="1"/>
  <c r="Y35" i="1"/>
  <c r="C32" i="1"/>
  <c r="D32" i="1"/>
  <c r="E32" i="1"/>
  <c r="F32" i="1"/>
  <c r="G32" i="1"/>
  <c r="U32" i="1"/>
  <c r="V32" i="1"/>
  <c r="W32" i="1"/>
  <c r="Q42" i="1"/>
  <c r="S42" i="1"/>
  <c r="U42" i="1"/>
  <c r="DK20" i="1"/>
  <c r="DM20" i="1"/>
  <c r="AD32" i="1" s="1"/>
  <c r="DO20" i="1"/>
  <c r="AA42" i="1" s="1"/>
  <c r="DQ20" i="1"/>
  <c r="AC42" i="1" s="1"/>
  <c r="DS20" i="1"/>
  <c r="AG32" i="1" s="1"/>
  <c r="DU20" i="1"/>
  <c r="AH32" i="1" s="1"/>
  <c r="DW20" i="1"/>
  <c r="AI32" i="1" s="1"/>
  <c r="DY20" i="1"/>
  <c r="AK42" i="1" s="1"/>
  <c r="EA20" i="1"/>
  <c r="AM42" i="1" s="1"/>
  <c r="EC20" i="1"/>
  <c r="AL32" i="1" s="1"/>
  <c r="EE20" i="1"/>
  <c r="AQ42" i="1" s="1"/>
  <c r="EG20" i="1"/>
  <c r="AS42" i="1" s="1"/>
  <c r="E33" i="1"/>
  <c r="F33" i="1"/>
  <c r="H33" i="1"/>
  <c r="U33" i="1"/>
  <c r="M43" i="1"/>
  <c r="Q43" i="1"/>
  <c r="S43" i="1"/>
  <c r="U43" i="1"/>
  <c r="DK21" i="1"/>
  <c r="AC33" i="1" s="1"/>
  <c r="DM21" i="1"/>
  <c r="DO21" i="1"/>
  <c r="AE33" i="1" s="1"/>
  <c r="DQ21" i="1"/>
  <c r="AF33" i="1" s="1"/>
  <c r="DS21" i="1"/>
  <c r="AG33" i="1" s="1"/>
  <c r="DU21" i="1"/>
  <c r="AG43" i="1" s="1"/>
  <c r="DW21" i="1"/>
  <c r="AI33" i="1" s="1"/>
  <c r="DY21" i="1"/>
  <c r="AK43" i="1" s="1"/>
  <c r="EA21" i="1"/>
  <c r="AM43" i="1" s="1"/>
  <c r="EC21" i="1"/>
  <c r="AO43" i="1" s="1"/>
  <c r="EE21" i="1"/>
  <c r="AQ43" i="1" s="1"/>
  <c r="EG21" i="1"/>
  <c r="AS43" i="1" s="1"/>
  <c r="C34" i="1"/>
  <c r="D34" i="1"/>
  <c r="E34" i="1"/>
  <c r="F34" i="1"/>
  <c r="G34" i="1"/>
  <c r="U34" i="1"/>
  <c r="V34" i="1"/>
  <c r="M44" i="1"/>
  <c r="Q44" i="1"/>
  <c r="S44" i="1"/>
  <c r="U44" i="1"/>
  <c r="DK22" i="1"/>
  <c r="AC34" i="1" s="1"/>
  <c r="DM22" i="1"/>
  <c r="AD34" i="1" s="1"/>
  <c r="DO22" i="1"/>
  <c r="AA44" i="1" s="1"/>
  <c r="DQ22" i="1"/>
  <c r="AC44" i="1" s="1"/>
  <c r="DS22" i="1"/>
  <c r="AE44" i="1" s="1"/>
  <c r="DU22" i="1"/>
  <c r="AG44" i="1" s="1"/>
  <c r="DW22" i="1"/>
  <c r="AI34" i="1" s="1"/>
  <c r="DY22" i="1"/>
  <c r="AK44" i="1" s="1"/>
  <c r="EA22" i="1"/>
  <c r="AM44" i="1" s="1"/>
  <c r="EC22" i="1"/>
  <c r="AO44" i="1" s="1"/>
  <c r="EE22" i="1"/>
  <c r="AQ44" i="1" s="1"/>
  <c r="EG22" i="1"/>
  <c r="AS44" i="1" s="1"/>
  <c r="C35" i="1"/>
  <c r="E35" i="1"/>
  <c r="F35" i="1"/>
  <c r="G35" i="1"/>
  <c r="H35" i="1"/>
  <c r="I45" i="1"/>
  <c r="U35" i="1"/>
  <c r="M45" i="1"/>
  <c r="N45" i="1" s="1"/>
  <c r="Q45" i="1"/>
  <c r="S45" i="1"/>
  <c r="U45" i="1"/>
  <c r="DK23" i="1"/>
  <c r="AC35" i="1" s="1"/>
  <c r="DM23" i="1"/>
  <c r="DO23" i="1"/>
  <c r="AA45" i="1" s="1"/>
  <c r="DQ23" i="1"/>
  <c r="AC45" i="1" s="1"/>
  <c r="DS23" i="1"/>
  <c r="AG35" i="1" s="1"/>
  <c r="DU23" i="1"/>
  <c r="AG45" i="1" s="1"/>
  <c r="DW23" i="1"/>
  <c r="AI35" i="1" s="1"/>
  <c r="DY23" i="1"/>
  <c r="AK45" i="1" s="1"/>
  <c r="EA23" i="1"/>
  <c r="AK35" i="1" s="1"/>
  <c r="EC23" i="1"/>
  <c r="AO45" i="1" s="1"/>
  <c r="EE23" i="1"/>
  <c r="AQ45" i="1" s="1"/>
  <c r="EG23" i="1"/>
  <c r="AS45" i="1" s="1"/>
  <c r="X31" i="1"/>
  <c r="T31" i="1"/>
  <c r="P31" i="1"/>
  <c r="N31" i="1"/>
  <c r="L32" i="1"/>
  <c r="K31" i="1"/>
  <c r="J31" i="1"/>
  <c r="I32" i="1"/>
  <c r="DM15" i="1"/>
  <c r="AD28" i="1" s="1"/>
  <c r="DC15" i="1"/>
  <c r="Y28" i="1" s="1"/>
  <c r="DK15" i="1"/>
  <c r="DI15" i="1"/>
  <c r="DG15" i="1"/>
  <c r="AA28" i="1" s="1"/>
  <c r="DE15" i="1"/>
  <c r="Z28" i="1" s="1"/>
  <c r="E26" i="10"/>
  <c r="E25" i="10"/>
  <c r="L31" i="1"/>
  <c r="K32" i="1"/>
  <c r="N32" i="1"/>
  <c r="P32" i="1"/>
  <c r="Q32" i="1"/>
  <c r="T32" i="1"/>
  <c r="X32" i="1"/>
  <c r="AK32" i="1"/>
  <c r="I33" i="1"/>
  <c r="J33" i="1"/>
  <c r="L33" i="1"/>
  <c r="N33" i="1"/>
  <c r="P33" i="1"/>
  <c r="Q33" i="1"/>
  <c r="X33" i="1"/>
  <c r="I34" i="1"/>
  <c r="J34" i="1"/>
  <c r="L34" i="1"/>
  <c r="N34" i="1"/>
  <c r="Q34" i="1"/>
  <c r="T34" i="1"/>
  <c r="X34" i="1"/>
  <c r="I35" i="1"/>
  <c r="J35" i="1"/>
  <c r="K35" i="1"/>
  <c r="N35" i="1"/>
  <c r="P35" i="1"/>
  <c r="Q35" i="1"/>
  <c r="T35" i="1"/>
  <c r="X35" i="1"/>
  <c r="G46" i="1"/>
  <c r="DI24" i="1"/>
  <c r="DE24" i="1"/>
  <c r="F26" i="8"/>
  <c r="BS24" i="1" l="1"/>
  <c r="AE35" i="1"/>
  <c r="AH34" i="1"/>
  <c r="H32" i="1"/>
  <c r="P41" i="1"/>
  <c r="AD41" i="1"/>
  <c r="AL45" i="1"/>
  <c r="C43" i="1"/>
  <c r="H31" i="1"/>
  <c r="AM34" i="1"/>
  <c r="AN34" i="1"/>
  <c r="AF34" i="1"/>
  <c r="K45" i="1"/>
  <c r="L45" i="1" s="1"/>
  <c r="O31" i="1"/>
  <c r="O34" i="1"/>
  <c r="AG42" i="1"/>
  <c r="AH42" i="1" s="1"/>
  <c r="AH35" i="1"/>
  <c r="AE34" i="1"/>
  <c r="Y42" i="1"/>
  <c r="Z42" i="1" s="1"/>
  <c r="AH33" i="1"/>
  <c r="AA43" i="1"/>
  <c r="AB43" i="1" s="1"/>
  <c r="AG31" i="1"/>
  <c r="AG34" i="1"/>
  <c r="AE42" i="1"/>
  <c r="AF42" i="1" s="1"/>
  <c r="O42" i="1"/>
  <c r="P42" i="1" s="1"/>
  <c r="AJ31" i="1"/>
  <c r="W31" i="1"/>
  <c r="Y41" i="1"/>
  <c r="Z41" i="1" s="1"/>
  <c r="E28" i="10"/>
  <c r="CC24" i="1"/>
  <c r="DU24" i="1"/>
  <c r="AJ32" i="1"/>
  <c r="AR45" i="1"/>
  <c r="V44" i="1"/>
  <c r="AB44" i="1"/>
  <c r="AP41" i="1"/>
  <c r="I42" i="1"/>
  <c r="CM24" i="1"/>
  <c r="AN35" i="1"/>
  <c r="AL33" i="1"/>
  <c r="AM31" i="1"/>
  <c r="AC28" i="1"/>
  <c r="AT44" i="1"/>
  <c r="AN44" i="1"/>
  <c r="AT43" i="1"/>
  <c r="AC43" i="1"/>
  <c r="AD43" i="1" s="1"/>
  <c r="R43" i="1"/>
  <c r="AD42" i="1"/>
  <c r="AI44" i="1"/>
  <c r="AJ44" i="1" s="1"/>
  <c r="AH44" i="1"/>
  <c r="H42" i="1"/>
  <c r="AJ35" i="1"/>
  <c r="W34" i="1"/>
  <c r="AK33" i="1"/>
  <c r="AE31" i="1"/>
  <c r="R45" i="1"/>
  <c r="N43" i="1"/>
  <c r="EE24" i="1"/>
  <c r="AF32" i="1"/>
  <c r="AN33" i="1"/>
  <c r="CK24" i="1"/>
  <c r="AP45" i="1"/>
  <c r="AI45" i="1"/>
  <c r="AJ45" i="1" s="1"/>
  <c r="AR44" i="1"/>
  <c r="AL44" i="1"/>
  <c r="T44" i="1"/>
  <c r="AR43" i="1"/>
  <c r="V42" i="1"/>
  <c r="AN41" i="1"/>
  <c r="AI41" i="1"/>
  <c r="AJ41" i="1" s="1"/>
  <c r="S24" i="1"/>
  <c r="DO24" i="1"/>
  <c r="AM35" i="1"/>
  <c r="W35" i="1"/>
  <c r="AK34" i="1"/>
  <c r="N36" i="1"/>
  <c r="AE32" i="1"/>
  <c r="AL31" i="1"/>
  <c r="AT45" i="1"/>
  <c r="AB45" i="1"/>
  <c r="V45" i="1"/>
  <c r="AF44" i="1"/>
  <c r="R44" i="1"/>
  <c r="AP43" i="1"/>
  <c r="AH43" i="1"/>
  <c r="V43" i="1"/>
  <c r="AT42" i="1"/>
  <c r="AL42" i="1"/>
  <c r="T42" i="1"/>
  <c r="AT41" i="1"/>
  <c r="T41" i="1"/>
  <c r="N41" i="1"/>
  <c r="AM24" i="1"/>
  <c r="DQ24" i="1"/>
  <c r="EC24" i="1"/>
  <c r="AL35" i="1"/>
  <c r="AF35" i="1"/>
  <c r="O35" i="1"/>
  <c r="AJ34" i="1"/>
  <c r="AN32" i="1"/>
  <c r="AK31" i="1"/>
  <c r="AF31" i="1"/>
  <c r="AH45" i="1"/>
  <c r="T45" i="1"/>
  <c r="AP44" i="1"/>
  <c r="AD44" i="1"/>
  <c r="N44" i="1"/>
  <c r="H44" i="1"/>
  <c r="J44" i="1" s="1"/>
  <c r="AN43" i="1"/>
  <c r="DS24" i="1"/>
  <c r="AI42" i="1"/>
  <c r="AJ42" i="1" s="1"/>
  <c r="R42" i="1"/>
  <c r="AR41" i="1"/>
  <c r="I41" i="1"/>
  <c r="W24" i="1"/>
  <c r="M42" i="1"/>
  <c r="N42" i="1" s="1"/>
  <c r="AL43" i="1"/>
  <c r="AK46" i="1"/>
  <c r="BD24" i="1"/>
  <c r="F31" i="1"/>
  <c r="F36" i="1" s="1"/>
  <c r="Q24" i="1"/>
  <c r="AD45" i="1"/>
  <c r="M24" i="1"/>
  <c r="E31" i="1"/>
  <c r="E36" i="1" s="1"/>
  <c r="O24" i="1"/>
  <c r="BB24" i="1"/>
  <c r="CU24" i="1"/>
  <c r="DY24" i="1"/>
  <c r="AJ33" i="1"/>
  <c r="Y45" i="1"/>
  <c r="Z45" i="1" s="1"/>
  <c r="AD35" i="1"/>
  <c r="Y43" i="1"/>
  <c r="Z43" i="1" s="1"/>
  <c r="AD33" i="1"/>
  <c r="DK24" i="1"/>
  <c r="AC32" i="1"/>
  <c r="W41" i="1"/>
  <c r="X41" i="1" s="1"/>
  <c r="AC31" i="1"/>
  <c r="C24" i="1"/>
  <c r="CA24" i="1"/>
  <c r="O33" i="1"/>
  <c r="AI24" i="1"/>
  <c r="K24" i="1"/>
  <c r="DM24" i="1"/>
  <c r="CY24" i="1"/>
  <c r="EA24" i="1"/>
  <c r="AL34" i="1"/>
  <c r="AM33" i="1"/>
  <c r="W33" i="1"/>
  <c r="AN31" i="1"/>
  <c r="AM45" i="1"/>
  <c r="AN45" i="1" s="1"/>
  <c r="AE45" i="1"/>
  <c r="AF45" i="1" s="1"/>
  <c r="W45" i="1"/>
  <c r="X45" i="1" s="1"/>
  <c r="Y44" i="1"/>
  <c r="Z44" i="1" s="1"/>
  <c r="AE43" i="1"/>
  <c r="AF43" i="1" s="1"/>
  <c r="J43" i="1"/>
  <c r="AO42" i="1"/>
  <c r="O45" i="1"/>
  <c r="P45" i="1" s="1"/>
  <c r="O43" i="1"/>
  <c r="P43" i="1" s="1"/>
  <c r="AL41" i="1"/>
  <c r="AG41" i="1"/>
  <c r="AB41" i="1"/>
  <c r="V41" i="1"/>
  <c r="DC24" i="1"/>
  <c r="AS46" i="1"/>
  <c r="EG24" i="1"/>
  <c r="T33" i="1"/>
  <c r="T36" i="1" s="1"/>
  <c r="K33" i="1"/>
  <c r="W44" i="1"/>
  <c r="X44" i="1" s="1"/>
  <c r="AI36" i="1"/>
  <c r="K43" i="1"/>
  <c r="L43" i="1" s="1"/>
  <c r="O44" i="1"/>
  <c r="P44" i="1" s="1"/>
  <c r="AF41" i="1"/>
  <c r="R41" i="1"/>
  <c r="V33" i="1"/>
  <c r="CQ24" i="1"/>
  <c r="V35" i="1"/>
  <c r="M33" i="1"/>
  <c r="K44" i="1"/>
  <c r="L44" i="1" s="1"/>
  <c r="M35" i="1"/>
  <c r="M32" i="1"/>
  <c r="AS24" i="1"/>
  <c r="K42" i="1"/>
  <c r="L42" i="1" s="1"/>
  <c r="Z36" i="1"/>
  <c r="Y36" i="1"/>
  <c r="AB36" i="1"/>
  <c r="AA36" i="1"/>
  <c r="U46" i="1"/>
  <c r="G24" i="1"/>
  <c r="I24" i="1"/>
  <c r="D33" i="1"/>
  <c r="C44" i="1"/>
  <c r="D44" i="1" s="1"/>
  <c r="C45" i="1"/>
  <c r="D45" i="1" s="1"/>
  <c r="BQ24" i="1"/>
  <c r="J26" i="8"/>
  <c r="P21" i="8" s="1"/>
  <c r="P26" i="8" s="1"/>
  <c r="AG24" i="1"/>
  <c r="J32" i="1"/>
  <c r="J36" i="1" s="1"/>
  <c r="C33" i="1"/>
  <c r="E24" i="1"/>
  <c r="U36" i="1"/>
  <c r="T43" i="1"/>
  <c r="S46" i="1"/>
  <c r="Q31" i="1"/>
  <c r="Q36" i="1" s="1"/>
  <c r="BO24" i="1"/>
  <c r="BK24" i="1"/>
  <c r="AC24" i="1"/>
  <c r="AN42" i="1"/>
  <c r="AR42" i="1"/>
  <c r="AQ46" i="1"/>
  <c r="AO24" i="1"/>
  <c r="L35" i="1"/>
  <c r="H34" i="1"/>
  <c r="AB42" i="1"/>
  <c r="K34" i="1"/>
  <c r="X36" i="1"/>
  <c r="AM32" i="1"/>
  <c r="CO24" i="1"/>
  <c r="DA24" i="1"/>
  <c r="I31" i="1"/>
  <c r="I36" i="1" s="1"/>
  <c r="AI43" i="1"/>
  <c r="W43" i="1"/>
  <c r="X43" i="1" s="1"/>
  <c r="W42" i="1"/>
  <c r="AE24" i="1"/>
  <c r="Q46" i="1"/>
  <c r="AA24" i="1"/>
  <c r="AQ24" i="1"/>
  <c r="DW24" i="1"/>
  <c r="AZ24" i="1"/>
  <c r="P34" i="1"/>
  <c r="P36" i="1" s="1"/>
  <c r="H41" i="1"/>
  <c r="K41" i="1"/>
  <c r="L41" i="1" s="1"/>
  <c r="H45" i="1"/>
  <c r="J45" i="1" s="1"/>
  <c r="J42" i="1" l="1"/>
  <c r="I46" i="1"/>
  <c r="C42" i="1"/>
  <c r="D42" i="1" s="1"/>
  <c r="Y24" i="1"/>
  <c r="G33" i="1"/>
  <c r="H36" i="1"/>
  <c r="M46" i="1"/>
  <c r="AG36" i="1"/>
  <c r="AC36" i="1"/>
  <c r="AH36" i="1"/>
  <c r="AA46" i="1"/>
  <c r="R33" i="1"/>
  <c r="AK36" i="1"/>
  <c r="AC46" i="1"/>
  <c r="AD46" i="1"/>
  <c r="Y46" i="1"/>
  <c r="Z46" i="1"/>
  <c r="AE36" i="1"/>
  <c r="R34" i="1"/>
  <c r="G16" i="10"/>
  <c r="L22" i="8"/>
  <c r="E16" i="10" s="1"/>
  <c r="N46" i="1"/>
  <c r="S31" i="1"/>
  <c r="G37" i="1"/>
  <c r="V36" i="1"/>
  <c r="O46" i="1"/>
  <c r="AB46" i="1"/>
  <c r="W36" i="1"/>
  <c r="AL36" i="1"/>
  <c r="AF36" i="1"/>
  <c r="AM46" i="1"/>
  <c r="R46" i="1"/>
  <c r="AJ36" i="1"/>
  <c r="K36" i="1"/>
  <c r="AK24" i="1"/>
  <c r="C41" i="1"/>
  <c r="AF46" i="1"/>
  <c r="V46" i="1"/>
  <c r="S33" i="1"/>
  <c r="AR46" i="1"/>
  <c r="T46" i="1"/>
  <c r="AM36" i="1"/>
  <c r="CW24" i="1"/>
  <c r="AN46" i="1"/>
  <c r="P46" i="1"/>
  <c r="AN36" i="1"/>
  <c r="AD36" i="1"/>
  <c r="AT46" i="1"/>
  <c r="D36" i="1"/>
  <c r="CI24" i="1"/>
  <c r="S35" i="1"/>
  <c r="S34" i="1"/>
  <c r="S32" i="1"/>
  <c r="AE46" i="1"/>
  <c r="CF24" i="1"/>
  <c r="AL46" i="1"/>
  <c r="AH41" i="1"/>
  <c r="AH46" i="1" s="1"/>
  <c r="AG46" i="1"/>
  <c r="AP42" i="1"/>
  <c r="AP46" i="1" s="1"/>
  <c r="AO46" i="1"/>
  <c r="G31" i="1"/>
  <c r="G36" i="1" s="1"/>
  <c r="U24" i="1"/>
  <c r="CS24" i="1"/>
  <c r="AV24" i="1"/>
  <c r="M31" i="1"/>
  <c r="BV24" i="1"/>
  <c r="E44" i="1"/>
  <c r="F44" i="1" s="1"/>
  <c r="E45" i="1"/>
  <c r="F45" i="1" s="1"/>
  <c r="AU45" i="1" s="1"/>
  <c r="AV45" i="1" s="1"/>
  <c r="R32" i="1"/>
  <c r="R35" i="1"/>
  <c r="R31" i="1"/>
  <c r="BY24" i="1"/>
  <c r="J41" i="1"/>
  <c r="J46" i="1" s="1"/>
  <c r="H46" i="1"/>
  <c r="X42" i="1"/>
  <c r="X46" i="1" s="1"/>
  <c r="W46" i="1"/>
  <c r="L46" i="1"/>
  <c r="K46" i="1"/>
  <c r="BG24" i="1"/>
  <c r="O32" i="1"/>
  <c r="O36" i="1" s="1"/>
  <c r="AJ43" i="1"/>
  <c r="AJ46" i="1" s="1"/>
  <c r="AI46" i="1"/>
  <c r="L36" i="1"/>
  <c r="E43" i="1"/>
  <c r="D43" i="1"/>
  <c r="M34" i="1"/>
  <c r="C36" i="1"/>
  <c r="EI24" i="1" l="1"/>
  <c r="G11" i="10" s="1"/>
  <c r="E11" i="10" s="1"/>
  <c r="B31" i="10" s="1"/>
  <c r="E42" i="1"/>
  <c r="F42" i="1" s="1"/>
  <c r="AU42" i="1" s="1"/>
  <c r="AV42" i="1" s="1"/>
  <c r="A25" i="1"/>
  <c r="AO33" i="1"/>
  <c r="AP33" i="1" s="1"/>
  <c r="AU44" i="1"/>
  <c r="AV44" i="1" s="1"/>
  <c r="AO35" i="1"/>
  <c r="AP35" i="1" s="1"/>
  <c r="G17" i="10"/>
  <c r="E41" i="1"/>
  <c r="D41" i="1"/>
  <c r="D46" i="1" s="1"/>
  <c r="C46" i="1"/>
  <c r="S36" i="1"/>
  <c r="AO34" i="1"/>
  <c r="AP34" i="1" s="1"/>
  <c r="AO31" i="1"/>
  <c r="AP31" i="1" s="1"/>
  <c r="M36" i="1"/>
  <c r="F43" i="1"/>
  <c r="AU43" i="1" s="1"/>
  <c r="AV43" i="1" s="1"/>
  <c r="R36" i="1"/>
  <c r="G18" i="10"/>
  <c r="AO32" i="1"/>
  <c r="AP32" i="1" s="1"/>
  <c r="E46" i="1" l="1"/>
  <c r="F41" i="1"/>
  <c r="AU41" i="1" s="1"/>
  <c r="AV41" i="1" s="1"/>
  <c r="AO36" i="1"/>
  <c r="F46" i="1" l="1"/>
  <c r="AU46" i="1"/>
  <c r="AX44" i="1" s="1"/>
  <c r="AX45" i="1" l="1"/>
  <c r="D3" i="10" s="1"/>
  <c r="G3" i="10" l="1"/>
  <c r="D5" i="10"/>
  <c r="G5" i="10" l="1"/>
  <c r="G8" i="10" l="1"/>
  <c r="AL31" i="4" l="1"/>
  <c r="AM31" i="4" s="1"/>
  <c r="AK31" i="4"/>
  <c r="AL40" i="4" l="1"/>
  <c r="AM40" i="4" s="1"/>
  <c r="AK40" i="4"/>
  <c r="AL46" i="4"/>
  <c r="AM46" i="4" s="1"/>
  <c r="AK46" i="4"/>
  <c r="AL35" i="4"/>
  <c r="AM35" i="4" s="1"/>
  <c r="AK35" i="4"/>
  <c r="AK42" i="4"/>
  <c r="AL42" i="4"/>
  <c r="AM42" i="4" s="1"/>
  <c r="AK38" i="4"/>
  <c r="AL38" i="4"/>
  <c r="AM38" i="4" s="1"/>
  <c r="AK44" i="4"/>
  <c r="AL44" i="4"/>
  <c r="AM44" i="4" s="1"/>
  <c r="AK43" i="4"/>
  <c r="AL43" i="4"/>
  <c r="AM43" i="4" s="1"/>
  <c r="AL41" i="4"/>
  <c r="AM41" i="4" s="1"/>
  <c r="AK41" i="4"/>
  <c r="AM33" i="4"/>
  <c r="AL32" i="4"/>
  <c r="AM32" i="4" s="1"/>
  <c r="AK32" i="4"/>
  <c r="AK36" i="4"/>
  <c r="AL36" i="4"/>
  <c r="AM36" i="4" s="1"/>
  <c r="AK47" i="4"/>
  <c r="AL47" i="4"/>
  <c r="AM47" i="4" s="1"/>
  <c r="AL39" i="4"/>
  <c r="AM39" i="4" s="1"/>
  <c r="AK39" i="4"/>
  <c r="AK34" i="4"/>
  <c r="AL34" i="4"/>
  <c r="AL45" i="4"/>
  <c r="AM45" i="4" s="1"/>
  <c r="AK45" i="4"/>
  <c r="AL37" i="4"/>
  <c r="AM37" i="4" s="1"/>
  <c r="AK37" i="4"/>
  <c r="AM34" i="4" l="1"/>
  <c r="AP47" i="4" a="1"/>
  <c r="AP47" i="4" s="1"/>
  <c r="AP21" i="4" l="1"/>
  <c r="AO21" i="4" s="1"/>
  <c r="AO47" i="4"/>
  <c r="E27" i="10" l="1"/>
  <c r="D75" i="4"/>
  <c r="G22" i="10" s="1"/>
  <c r="F27" i="10"/>
  <c r="G31" i="10"/>
  <c r="C75" i="4" l="1"/>
  <c r="E22" i="1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<sst xmlns="http://schemas.openxmlformats.org/spreadsheetml/2006/main" count="1376" uniqueCount="300">
  <si>
    <t>Ce calculateur est une aide pour le calcul des réductions d'émissions et l'évaluation des rabais et bonus dans le cadre des projets utilisant la méthode SOBAC'ECO-TMM</t>
  </si>
  <si>
    <t>Tous les onglets hormis "A LIRE" et "RECAPITULATIF" sont à compléter
Veiller à bien dérouler l'ensemble des pages pour la saisie : 
Les saisies sont dans toute les zones de la feuille, la plupart des résultats sont dans les zones basses à droite.</t>
  </si>
  <si>
    <t>Dans tous les onglets : cellules en orange à compléter</t>
  </si>
  <si>
    <t>/ ! \ ATTENTION aux teneurs en éléments fertilisants  : modifier ou compléter si besoin</t>
  </si>
  <si>
    <t>Résultats : réductions d'émissions de GES, rabais, cobénéfices</t>
  </si>
  <si>
    <t>Résultats intermédiaires</t>
  </si>
  <si>
    <t>Les cellules des autres couleurs sont pré-saisies ou se remplissent par calcul</t>
  </si>
  <si>
    <t>Réductions d'émissions</t>
  </si>
  <si>
    <t>GES avant notification</t>
  </si>
  <si>
    <t>teq CO2 sur 5 ans, soit</t>
  </si>
  <si>
    <t>teq CO2/ha/an</t>
  </si>
  <si>
    <t>GES après notification</t>
  </si>
  <si>
    <t>réduction des émissions du projet avant vérification des cobénéfices et rabais/bonus potentiels</t>
  </si>
  <si>
    <t>Vérification des cobénéfices nécessaires à la validation des réductions d'émissions</t>
  </si>
  <si>
    <t>cobénéfice vérifié (O/N)</t>
  </si>
  <si>
    <t>points de bonus</t>
  </si>
  <si>
    <t>préservation de la ressource en eau</t>
  </si>
  <si>
    <t>préservation de la qualité de l'eau</t>
  </si>
  <si>
    <t>préservation de la biodiversité</t>
  </si>
  <si>
    <t>Rabais et bonus potentiels sur les réductions d'émissions</t>
  </si>
  <si>
    <t>Rabais ou bonus</t>
  </si>
  <si>
    <t>Valeur du rabais ou bonus</t>
  </si>
  <si>
    <t>contractualisation MAEC</t>
  </si>
  <si>
    <t>conversion AB</t>
  </si>
  <si>
    <t>évolution de la production</t>
  </si>
  <si>
    <t xml:space="preserve">évolution de l'occupation des terres </t>
  </si>
  <si>
    <t>Réduction d'émissions validables</t>
  </si>
  <si>
    <t>CALCULS DES EMISSIONS AVANT NOTIFICATION</t>
  </si>
  <si>
    <t>1. ACHATS ET VARIATIONS DE STOCKS D'INTRANTS</t>
  </si>
  <si>
    <t>ENGRAIS SIMPLES</t>
  </si>
  <si>
    <t>ENGRAIS BINAIRES</t>
  </si>
  <si>
    <t>ENGRAIS TERNAIRES</t>
  </si>
  <si>
    <t>PRODUITS PHYTOSANITAIRES</t>
  </si>
  <si>
    <t>CHAUX ET AMENDEMENTS CALCO-MAGNESIENS</t>
  </si>
  <si>
    <t>AMENDEMENTS ORGANIQUES NFU 44-051</t>
  </si>
  <si>
    <t>Ammonitrate anhydre</t>
  </si>
  <si>
    <t>Ammonitrate 33,5%</t>
  </si>
  <si>
    <t>Ammonitrate calcaire 27%</t>
  </si>
  <si>
    <t>Solution azotée</t>
  </si>
  <si>
    <t>Urée</t>
  </si>
  <si>
    <t>Autres</t>
  </si>
  <si>
    <t>Trisuperphosphate</t>
  </si>
  <si>
    <t>Autres engrais phosphatés</t>
  </si>
  <si>
    <t>Chlorure de Potasse</t>
  </si>
  <si>
    <t>Autres engrais potassiques</t>
  </si>
  <si>
    <t>Engrais binaire PK</t>
  </si>
  <si>
    <t>Nitrate de potassium</t>
  </si>
  <si>
    <t>Engrais binaire NK</t>
  </si>
  <si>
    <t>Monoammonium phosphate</t>
  </si>
  <si>
    <t xml:space="preserve">Diammonium phosphate </t>
  </si>
  <si>
    <t>engrais NPK-1</t>
  </si>
  <si>
    <t>engrais NPK- 2</t>
  </si>
  <si>
    <t>génériques</t>
  </si>
  <si>
    <t>chaux vive</t>
  </si>
  <si>
    <t>carbonate de calcium</t>
  </si>
  <si>
    <t>dolomie</t>
  </si>
  <si>
    <t>écumes de sucrerie</t>
  </si>
  <si>
    <t>Amendement 4</t>
  </si>
  <si>
    <t>Compost de biodéchets (moins de 10% de déchets verts)</t>
  </si>
  <si>
    <t>Compost de biodéchets et de déchets verts</t>
  </si>
  <si>
    <t>Fumier (mix générique) stocké en surface ou en fosse</t>
  </si>
  <si>
    <t>Fumier et fraction solide de lisier, séché thermiquement</t>
  </si>
  <si>
    <t>Compost moyen (déchets verts, biodéchets, boues, fumier, lisier)</t>
  </si>
  <si>
    <t>Compost de fraction solide de digestat issu de fumier et de déchets verts</t>
  </si>
  <si>
    <t>Compost de lisier de porc + paille</t>
  </si>
  <si>
    <t>Compost de fraction solide de lisier</t>
  </si>
  <si>
    <t>Fraction solide de digestat agricole, séché thermiquement et pelletisé</t>
  </si>
  <si>
    <t>Digestat de boues d’épuration</t>
  </si>
  <si>
    <t>achats (kg)</t>
  </si>
  <si>
    <t>stock initial (kg)</t>
  </si>
  <si>
    <t>stock final (kg)</t>
  </si>
  <si>
    <t>achats (t)</t>
  </si>
  <si>
    <t>stock initial (t)</t>
  </si>
  <si>
    <t>stock final (t)</t>
  </si>
  <si>
    <t>N-5</t>
  </si>
  <si>
    <t>N-4</t>
  </si>
  <si>
    <t>N-3</t>
  </si>
  <si>
    <t>N-2</t>
  </si>
  <si>
    <t>N-1</t>
  </si>
  <si>
    <t>2. QUANTITES CONSOMMEES D'INTRANTS ET CONVERSION EN UNITES N, P et K POUR LES ENGRAIS MINERAUX</t>
  </si>
  <si>
    <t>ENGRAIS MINERAUX</t>
  </si>
  <si>
    <t>CHAUX ET AMENDEMENTS CALCO-MAGNESIEN</t>
  </si>
  <si>
    <t>GENERIQUES</t>
  </si>
  <si>
    <t>CHAUX VIVE</t>
  </si>
  <si>
    <t>CARBONATE DE CALCIUM</t>
  </si>
  <si>
    <t>DOLOMIE</t>
  </si>
  <si>
    <t>ECUMES DE SUCRERIE</t>
  </si>
  <si>
    <t>AZOTE</t>
  </si>
  <si>
    <t>PHOSPHORE</t>
  </si>
  <si>
    <t>POTASSE</t>
  </si>
  <si>
    <t>ENGRAIS BINAIRE PK</t>
  </si>
  <si>
    <t>nitrate de potassium</t>
  </si>
  <si>
    <t>ENGRAIS BINAIRE NK</t>
  </si>
  <si>
    <t>monoammonium phosphate</t>
  </si>
  <si>
    <t>diammonium phosphate</t>
  </si>
  <si>
    <t>ENGRAIS NPK-1</t>
  </si>
  <si>
    <t>ENGRAIS NPK-2</t>
  </si>
  <si>
    <t>Quantités (kg)</t>
  </si>
  <si>
    <t>Phosphore</t>
  </si>
  <si>
    <t>Potasse</t>
  </si>
  <si>
    <t>Azote</t>
  </si>
  <si>
    <t>%N</t>
  </si>
  <si>
    <t>Unités de N</t>
  </si>
  <si>
    <t>FE N</t>
  </si>
  <si>
    <t>%P205</t>
  </si>
  <si>
    <t>Unités de P205</t>
  </si>
  <si>
    <t>FE P205</t>
  </si>
  <si>
    <t>%K20</t>
  </si>
  <si>
    <t>Unités de K20</t>
  </si>
  <si>
    <t>FE K20</t>
  </si>
  <si>
    <t>%K2O</t>
  </si>
  <si>
    <t>%P2O5</t>
  </si>
  <si>
    <t>Unités de P2O5</t>
  </si>
  <si>
    <t>FE P2O5</t>
  </si>
  <si>
    <t>FE PPP</t>
  </si>
  <si>
    <t xml:space="preserve">VN </t>
  </si>
  <si>
    <t>Quantités VN (kg)</t>
  </si>
  <si>
    <t>FE Chaux</t>
  </si>
  <si>
    <t>VN</t>
  </si>
  <si>
    <t>FE carbonate Ca</t>
  </si>
  <si>
    <t>FE dolomie</t>
  </si>
  <si>
    <t>FE écumes sucrerie</t>
  </si>
  <si>
    <t>FE Amendement 1</t>
  </si>
  <si>
    <t>FE Amendement 2</t>
  </si>
  <si>
    <t>FE Amendement 3</t>
  </si>
  <si>
    <t>FE Amendement 4</t>
  </si>
  <si>
    <t>FE Amendement 5</t>
  </si>
  <si>
    <t>FE Amendement 6</t>
  </si>
  <si>
    <t>quantités (t)</t>
  </si>
  <si>
    <t>FE amendement (kgeqCO2/t)</t>
  </si>
  <si>
    <t>TOTAUX</t>
  </si>
  <si>
    <t>3. CALCULS DES EMISSIONS INDIRECTES AMONT EN kg eqCO2</t>
  </si>
  <si>
    <t>PRODUITS
PHYTOS</t>
  </si>
  <si>
    <t>AMENDEMENTS ORGANIQUES NFU44-051</t>
  </si>
  <si>
    <t>TOTAUX
kgeqCO2</t>
  </si>
  <si>
    <r>
      <t>TOTAUX kgeqCO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/ha</t>
    </r>
  </si>
  <si>
    <t>Génériques</t>
  </si>
  <si>
    <t>Ecumes de sucrerie</t>
  </si>
  <si>
    <t>4. CALCULS DES EMISSIONS DIRECTES AU CHAMP EN kgeqCO2</t>
  </si>
  <si>
    <t>N2O ENGRAIS MINERAUX AZOTES</t>
  </si>
  <si>
    <t>N2O AUTRES SOURCES D'AZOTE ORGANIQUES</t>
  </si>
  <si>
    <t xml:space="preserve"> CO2 CHAUX ET DOLOMIE</t>
  </si>
  <si>
    <t>Total Unités N apportées</t>
  </si>
  <si>
    <t>Emissions N2O directes</t>
  </si>
  <si>
    <t>Emissions N2O indirectes</t>
  </si>
  <si>
    <t>Total kg eq CO2</t>
  </si>
  <si>
    <t>Total unités N apportées</t>
  </si>
  <si>
    <t>Quantité de CaCO3 (kg)</t>
  </si>
  <si>
    <t>émissions CO2 directes</t>
  </si>
  <si>
    <t>Quantité de CaMg(CO3)2 (kg)</t>
  </si>
  <si>
    <t xml:space="preserve"> N Amendement organique 1</t>
  </si>
  <si>
    <t>émissions N2O (kgeq CO2)</t>
  </si>
  <si>
    <t>N amendement organique 2</t>
  </si>
  <si>
    <t>N Amendement organique 3</t>
  </si>
  <si>
    <t>N Amendement organique 4</t>
  </si>
  <si>
    <t>N amendement organique 5</t>
  </si>
  <si>
    <t xml:space="preserve"> N amendement organique 6</t>
  </si>
  <si>
    <t>N Compost de biodéchets (moins de 10% de déchets verts)</t>
  </si>
  <si>
    <t>N Compost de biodéchets et de déchets verts</t>
  </si>
  <si>
    <t>N Fumier (mix générique) stocké en surface ou en fosse</t>
  </si>
  <si>
    <t>N Fumier et fraction solide de lisier, séché thermiquement</t>
  </si>
  <si>
    <t>N Compost moyen (déchets verts, biodéchets, boues, fumier, lisier)</t>
  </si>
  <si>
    <t>N Compost de fraction solide de digestat issu de fumier et de déchets verts</t>
  </si>
  <si>
    <t>N Compost de lisier de porc + paille</t>
  </si>
  <si>
    <t>N Compost de fraction solide de lisier</t>
  </si>
  <si>
    <t>N Fraction solide de digestat agricole, séché thermiquement et pelletisé</t>
  </si>
  <si>
    <t>N Digestat de boues d’épuration</t>
  </si>
  <si>
    <t>Total des émissions de GES générées en 5 ans (scénario de référence)</t>
  </si>
  <si>
    <t>kg eq CO2</t>
  </si>
  <si>
    <t>t eq CO2</t>
  </si>
  <si>
    <t xml:space="preserve">5. FACTEURS D'EMISSION </t>
  </si>
  <si>
    <t>Facteur d'émission N2O direct engrais minéraux (kg N2O/kgN)</t>
  </si>
  <si>
    <t>Facteur d'émission N2O direct autres sources d'azote (kgN2O/kgN)</t>
  </si>
  <si>
    <t>Facteur d'émission N2O indirect N volatilisé engrais minéraux (kg N2O/kg N)</t>
  </si>
  <si>
    <t>Facteur d'émission N2O indirect N volatilisé autres sources d'azote (kg N2O/kg N)</t>
  </si>
  <si>
    <t>Facteur d'émission N2O indirect N lixivié (kg N2O/kg N)</t>
  </si>
  <si>
    <t>Facteur d'émission chaux calcaire</t>
  </si>
  <si>
    <t>Facteur d'émission chaux dolomie</t>
  </si>
  <si>
    <t>6. FACTEURS DE CARACTERISATION</t>
  </si>
  <si>
    <t>Facteurs de caractérisation du N2O (kg eq CO2/ kgN2O)</t>
  </si>
  <si>
    <t>7. REFERENCES TENEURS EN N AMENDEMENTS ORGANIQUES</t>
  </si>
  <si>
    <t>Teneur en N (g/kg)</t>
  </si>
  <si>
    <t>N</t>
  </si>
  <si>
    <t>N+1</t>
  </si>
  <si>
    <t>N+2</t>
  </si>
  <si>
    <t>N+3</t>
  </si>
  <si>
    <t>N+4</t>
  </si>
  <si>
    <t xml:space="preserve">Suivi de la production </t>
  </si>
  <si>
    <t>Avant la Notification du Projet</t>
  </si>
  <si>
    <t>année</t>
  </si>
  <si>
    <t>SAU (ha)</t>
  </si>
  <si>
    <t>SFP (ha)</t>
  </si>
  <si>
    <t>UGB</t>
  </si>
  <si>
    <t>Quantité de lait vendu (hL)</t>
  </si>
  <si>
    <t>Quantité de viande vendue en vif (t)</t>
  </si>
  <si>
    <t>rendement moyen annuel lait (hL/ha)</t>
  </si>
  <si>
    <t>Valeur du rabais ou du bonus</t>
  </si>
  <si>
    <t>Année</t>
  </si>
  <si>
    <t>rdt moyen référence (t/ha)</t>
  </si>
  <si>
    <t>rdt moyen projet (t/ha)</t>
  </si>
  <si>
    <t>écart relatif -20%</t>
  </si>
  <si>
    <t>quantité vendue</t>
  </si>
  <si>
    <t>rdt moyen (t/ha)</t>
  </si>
  <si>
    <t>culture</t>
  </si>
  <si>
    <t>Suivi des surfaces : évolution du carbone du sol</t>
  </si>
  <si>
    <t>Surface en prairies permanentes (ha)</t>
  </si>
  <si>
    <t>Surface en cultures pérennes (ha)</t>
  </si>
  <si>
    <t>surface en haies (ha)</t>
  </si>
  <si>
    <t>RABAIS ou BONUS</t>
  </si>
  <si>
    <t>A la dernière année du Projet</t>
  </si>
  <si>
    <t xml:space="preserve">saisir O/N </t>
  </si>
  <si>
    <r>
      <rPr>
        <sz val="11"/>
        <color theme="1"/>
        <rFont val="Calibri"/>
        <family val="2"/>
      </rPr>
      <t xml:space="preserve">• </t>
    </r>
    <r>
      <rPr>
        <sz val="11"/>
        <color theme="1"/>
        <rFont val="Calibri"/>
        <family val="2"/>
        <scheme val="minor"/>
      </rPr>
      <t>Une MAEC « systèmes » ou bien correspondant à des enjeux agro-environnementaux localisés sur une zone du territoire a été contractualisée durant les 5 années du projet</t>
    </r>
  </si>
  <si>
    <r>
      <rPr>
        <sz val="11"/>
        <color theme="1"/>
        <rFont val="Calibri"/>
        <family val="2"/>
      </rPr>
      <t xml:space="preserve">• </t>
    </r>
    <r>
      <rPr>
        <sz val="11"/>
        <color theme="1"/>
        <rFont val="Calibri"/>
        <family val="2"/>
        <scheme val="minor"/>
      </rPr>
      <t>L'exloitation agricole a débuté sa conversion à l'agriculture biologique durant les 5 années du projet</t>
    </r>
  </si>
  <si>
    <t>Indicateurs de co-bénéfices</t>
  </si>
  <si>
    <t>IFT</t>
  </si>
  <si>
    <t>lien vers le site du ministère de l'agriculture pour les calculs de l'IFT :</t>
  </si>
  <si>
    <t>https://alim.agriculture.gouv.fr/ift/bilan-ift/2018</t>
  </si>
  <si>
    <t>choix des références</t>
  </si>
  <si>
    <t>spécifiques (O/N)</t>
  </si>
  <si>
    <t>génériques (O/N)</t>
  </si>
  <si>
    <t xml:space="preserve">IFT herbicide exploitation </t>
  </si>
  <si>
    <t>IFT hors herbicide exploitation</t>
  </si>
  <si>
    <t>écart des IFT herbicides :</t>
  </si>
  <si>
    <t>écart des IFT non herbicides :</t>
  </si>
  <si>
    <t>moyenne olympique de référence</t>
  </si>
  <si>
    <t>moyenne olympique du projet</t>
  </si>
  <si>
    <t>points de bonus liés à une moindre consommation d'herbicides :</t>
  </si>
  <si>
    <t>Eau d'irrigation</t>
  </si>
  <si>
    <t>points de bonus liés à une moindre consommation de non-herbicides :</t>
  </si>
  <si>
    <t>consommation eau irrigation (m3)</t>
  </si>
  <si>
    <t>écart des consommations d'eau avant-après projet</t>
  </si>
  <si>
    <t>conso cumulée (m3)</t>
  </si>
  <si>
    <t>Points de bonus liés à une moindre consommation d'eau d'irrigation :</t>
  </si>
  <si>
    <t>Autres indicateurs de co-bénéfices</t>
  </si>
  <si>
    <t>A COMPLETER PAR L'UTILISATEUR</t>
  </si>
  <si>
    <t>rdt moyen référence par ha</t>
  </si>
  <si>
    <t>rendement moyen annuel animal (UGB/haSFP)</t>
  </si>
  <si>
    <t>valeur du rabais ou bonus</t>
  </si>
  <si>
    <t>RABAIS ou BONUS ?</t>
  </si>
  <si>
    <t>Elevage</t>
  </si>
  <si>
    <t>Cultures</t>
  </si>
  <si>
    <t>rendement moyen annuel viande (tviandes/haSAU)</t>
  </si>
  <si>
    <t>Bonus et rabais : Valeur globale</t>
  </si>
  <si>
    <t>Global - Elevage &amp; Cultures</t>
  </si>
  <si>
    <t>Valeur globale</t>
  </si>
  <si>
    <t>Déclaration des surfaces</t>
  </si>
  <si>
    <t>Production végétale</t>
  </si>
  <si>
    <t>Production animale</t>
  </si>
  <si>
    <t>Réduction des engrais azotés</t>
  </si>
  <si>
    <t>Réduction vérifiée (O/N)</t>
  </si>
  <si>
    <t>Suivi des contractualisations MAEC et conversion à l'agriculture biologique</t>
  </si>
  <si>
    <t>Après la notification du Projet</t>
  </si>
  <si>
    <t>Avant la notification du Projet</t>
  </si>
  <si>
    <t>Blé hiver</t>
  </si>
  <si>
    <t>Orge hiver</t>
  </si>
  <si>
    <t>Soja</t>
  </si>
  <si>
    <t>Triticale</t>
  </si>
  <si>
    <t>Cultures:</t>
  </si>
  <si>
    <t>N'est pas vide:</t>
  </si>
  <si>
    <t>GLOBAL</t>
  </si>
  <si>
    <t>Resultat final</t>
  </si>
  <si>
    <t>Culture 1</t>
  </si>
  <si>
    <t>Culture 2</t>
  </si>
  <si>
    <t>Culture 3</t>
  </si>
  <si>
    <t>Culture 4</t>
  </si>
  <si>
    <t>Culture 5</t>
  </si>
  <si>
    <t>Culture 6</t>
  </si>
  <si>
    <t>Culture 7</t>
  </si>
  <si>
    <t>Culture 8</t>
  </si>
  <si>
    <t>Culture 9</t>
  </si>
  <si>
    <t>Culture 10</t>
  </si>
  <si>
    <t>Culture 11</t>
  </si>
  <si>
    <t>Culture 12</t>
  </si>
  <si>
    <t>Culture 13</t>
  </si>
  <si>
    <t>Culture 14</t>
  </si>
  <si>
    <t>Culture 15</t>
  </si>
  <si>
    <t>Culture 16</t>
  </si>
  <si>
    <t>Culture 17</t>
  </si>
  <si>
    <t>Culture 18</t>
  </si>
  <si>
    <t>Culture 19</t>
  </si>
  <si>
    <t>Culture 20</t>
  </si>
  <si>
    <t>Culture 21</t>
  </si>
  <si>
    <t>Culture 22</t>
  </si>
  <si>
    <t>Culture 23</t>
  </si>
  <si>
    <t>Culture 24</t>
  </si>
  <si>
    <t>Culture 25</t>
  </si>
  <si>
    <t>ANNÉE 1</t>
  </si>
  <si>
    <t>ANNÉE 2</t>
  </si>
  <si>
    <t>ANNÉE 3</t>
  </si>
  <si>
    <t>ANNÉE 4</t>
  </si>
  <si>
    <t>ANNÉE 5</t>
  </si>
  <si>
    <t>Bactériosol</t>
  </si>
  <si>
    <t>Bactériolit</t>
  </si>
  <si>
    <t>Maïs ensilage</t>
  </si>
  <si>
    <t>Prairie temporaire</t>
  </si>
  <si>
    <t>Prairie permanente</t>
  </si>
  <si>
    <t>Colza</t>
  </si>
  <si>
    <t>Jachère</t>
  </si>
  <si>
    <t>Maïs</t>
  </si>
  <si>
    <t>CALCULS DES EMISSIONS APRES NOTIFICATION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</si>
</sst>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_-;\-* #,##0.00_-;_-* &quot;-&quot;??_-;_-@_-"/>
    <numFmt numFmtId="165" formatCode="0.0"/>
    <numFmt numFmtId="166" formatCode="0.000"/>
    <numFmt numFmtId="167" formatCode="0.00000"/>
    <numFmt numFmtId="168" formatCode="_-* #,##0.00\ _€_-;\-* #,##0.00\ _€_-;_-* &quot;-&quot;??\ _€_-;_-@_-"/>
    <numFmt numFmtId="169" formatCode="0.0000"/>
    <numFmt numFmtId="170" formatCode="0.0%"/>
  </numFmts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4"/>
      <color theme="0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sz val="11"/>
      <color indexed="8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C000"/>
        <bgColor rgb="FFFFC000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9" fontId="4" fillId="0" borderId="0" applyFont="0" applyFill="0" applyBorder="0" applyAlignment="0" applyProtection="0"/>
    <xf numFmtId="0" fontId="6" fillId="0" borderId="0" applyNumberFormat="0" applyFill="0" applyBorder="0" applyAlignment="0" applyProtection="0"/>
    <xf numFmtId="164" fontId="4" fillId="0" borderId="0" applyFont="0" applyFill="0" applyBorder="0" applyAlignment="0" applyProtection="0"/>
    <xf numFmtId="0" fontId="21" fillId="0" borderId="0"/>
    <xf numFmtId="0" fontId="4" fillId="0" borderId="0"/>
  </cellStyleXfs>
  <cellXfs count="485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1" fillId="0" borderId="0" xfId="0" applyFont="1"/>
    <xf numFmtId="10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9" fontId="0" fillId="0" borderId="1" xfId="0" applyNumberFormat="1" applyBorder="1" applyAlignment="1">
      <alignment horizontal="center"/>
    </xf>
    <xf numFmtId="0" fontId="3" fillId="0" borderId="0" xfId="0" applyFont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2" fillId="7" borderId="4" xfId="0" applyFont="1" applyFill="1" applyBorder="1" applyAlignment="1">
      <alignment vertical="center"/>
    </xf>
    <xf numFmtId="0" fontId="2" fillId="7" borderId="7" xfId="0" applyFont="1" applyFill="1" applyBorder="1"/>
    <xf numFmtId="0" fontId="2" fillId="7" borderId="0" xfId="0" applyFont="1" applyFill="1"/>
    <xf numFmtId="0" fontId="0" fillId="0" borderId="0" xfId="0" applyAlignment="1">
      <alignment horizontal="justify" vertical="center"/>
    </xf>
    <xf numFmtId="0" fontId="0" fillId="0" borderId="0" xfId="0" applyAlignment="1">
      <alignment horizontal="left"/>
    </xf>
    <xf numFmtId="9" fontId="0" fillId="0" borderId="1" xfId="1" applyFont="1" applyBorder="1"/>
    <xf numFmtId="0" fontId="3" fillId="7" borderId="0" xfId="0" applyFont="1" applyFill="1" applyAlignment="1">
      <alignment horizontal="left"/>
    </xf>
    <xf numFmtId="0" fontId="2" fillId="7" borderId="0" xfId="0" applyFont="1" applyFill="1" applyAlignment="1">
      <alignment horizontal="left" vertical="center"/>
    </xf>
    <xf numFmtId="9" fontId="0" fillId="0" borderId="1" xfId="1" applyFont="1" applyBorder="1" applyAlignment="1">
      <alignment horizontal="center"/>
    </xf>
    <xf numFmtId="0" fontId="0" fillId="6" borderId="0" xfId="0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1" xfId="0" applyBorder="1" applyAlignment="1">
      <alignment vertical="center" shrinkToFit="1"/>
    </xf>
    <xf numFmtId="0" fontId="2" fillId="7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20" fontId="0" fillId="0" borderId="0" xfId="0" applyNumberFormat="1"/>
    <xf numFmtId="0" fontId="1" fillId="0" borderId="2" xfId="0" applyFont="1" applyBorder="1" applyAlignment="1">
      <alignment horizontal="center" vertical="center"/>
    </xf>
    <xf numFmtId="0" fontId="8" fillId="17" borderId="1" xfId="0" applyFont="1" applyFill="1" applyBorder="1" applyAlignment="1">
      <alignment horizontal="center" vertical="center"/>
    </xf>
    <xf numFmtId="165" fontId="1" fillId="0" borderId="1" xfId="0" applyNumberFormat="1" applyFont="1" applyBorder="1"/>
    <xf numFmtId="0" fontId="0" fillId="0" borderId="35" xfId="0" applyBorder="1"/>
    <xf numFmtId="0" fontId="0" fillId="9" borderId="12" xfId="0" applyFill="1" applyBorder="1" applyAlignment="1">
      <alignment horizontal="left"/>
    </xf>
    <xf numFmtId="0" fontId="0" fillId="9" borderId="28" xfId="0" applyFill="1" applyBorder="1"/>
    <xf numFmtId="0" fontId="0" fillId="9" borderId="28" xfId="0" applyFill="1" applyBorder="1" applyAlignment="1">
      <alignment horizontal="right"/>
    </xf>
    <xf numFmtId="0" fontId="0" fillId="9" borderId="7" xfId="0" applyFill="1" applyBorder="1" applyAlignment="1">
      <alignment horizontal="left"/>
    </xf>
    <xf numFmtId="0" fontId="0" fillId="9" borderId="0" xfId="0" applyFill="1"/>
    <xf numFmtId="0" fontId="0" fillId="9" borderId="0" xfId="0" applyFill="1" applyAlignment="1">
      <alignment horizontal="right"/>
    </xf>
    <xf numFmtId="0" fontId="0" fillId="9" borderId="11" xfId="0" applyFill="1" applyBorder="1"/>
    <xf numFmtId="0" fontId="0" fillId="9" borderId="6" xfId="0" applyFill="1" applyBorder="1" applyAlignment="1">
      <alignment horizontal="left"/>
    </xf>
    <xf numFmtId="0" fontId="0" fillId="9" borderId="4" xfId="0" applyFill="1" applyBorder="1"/>
    <xf numFmtId="0" fontId="0" fillId="9" borderId="14" xfId="0" applyFill="1" applyBorder="1"/>
    <xf numFmtId="0" fontId="0" fillId="0" borderId="0" xfId="0" applyAlignment="1">
      <alignment shrinkToFit="1"/>
    </xf>
    <xf numFmtId="0" fontId="0" fillId="0" borderId="1" xfId="0" applyBorder="1" applyAlignment="1">
      <alignment shrinkToFit="1"/>
    </xf>
    <xf numFmtId="0" fontId="0" fillId="0" borderId="1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9" xfId="0" applyBorder="1" applyAlignment="1">
      <alignment shrinkToFit="1"/>
    </xf>
    <xf numFmtId="0" fontId="0" fillId="0" borderId="20" xfId="0" applyBorder="1" applyAlignment="1">
      <alignment shrinkToFit="1"/>
    </xf>
    <xf numFmtId="0" fontId="0" fillId="0" borderId="19" xfId="0" applyBorder="1"/>
    <xf numFmtId="0" fontId="0" fillId="0" borderId="20" xfId="0" applyBorder="1"/>
    <xf numFmtId="0" fontId="10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horizontal="right"/>
    </xf>
    <xf numFmtId="0" fontId="2" fillId="17" borderId="1" xfId="0" applyFont="1" applyFill="1" applyBorder="1" applyAlignment="1">
      <alignment horizontal="center" vertical="center"/>
    </xf>
    <xf numFmtId="9" fontId="0" fillId="18" borderId="1" xfId="0" applyNumberFormat="1" applyFill="1" applyBorder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0" fontId="0" fillId="7" borderId="0" xfId="0" applyFill="1"/>
    <xf numFmtId="0" fontId="0" fillId="2" borderId="2" xfId="0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0" fillId="3" borderId="2" xfId="0" applyFill="1" applyBorder="1" applyAlignment="1">
      <alignment vertical="center" wrapText="1" shrinkToFi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shrinkToFit="1"/>
    </xf>
    <xf numFmtId="0" fontId="2" fillId="7" borderId="0" xfId="0" applyFont="1" applyFill="1" applyAlignment="1">
      <alignment vertical="center"/>
    </xf>
    <xf numFmtId="0" fontId="0" fillId="9" borderId="13" xfId="0" applyFill="1" applyBorder="1"/>
    <xf numFmtId="0" fontId="0" fillId="9" borderId="4" xfId="0" applyFill="1" applyBorder="1" applyAlignment="1">
      <alignment horizontal="right"/>
    </xf>
    <xf numFmtId="0" fontId="2" fillId="7" borderId="10" xfId="0" applyFont="1" applyFill="1" applyBorder="1" applyAlignment="1">
      <alignment horizontal="center" vertical="center"/>
    </xf>
    <xf numFmtId="0" fontId="0" fillId="0" borderId="3" xfId="0" applyBorder="1"/>
    <xf numFmtId="0" fontId="0" fillId="19" borderId="2" xfId="0" applyFill="1" applyBorder="1" applyAlignment="1">
      <alignment horizontal="left"/>
    </xf>
    <xf numFmtId="0" fontId="0" fillId="19" borderId="5" xfId="0" applyFill="1" applyBorder="1"/>
    <xf numFmtId="0" fontId="0" fillId="19" borderId="1" xfId="0" applyFill="1" applyBorder="1"/>
    <xf numFmtId="0" fontId="14" fillId="0" borderId="12" xfId="0" applyFont="1" applyBorder="1" applyAlignment="1">
      <alignment vertical="center" wrapText="1" shrinkToFit="1"/>
    </xf>
    <xf numFmtId="0" fontId="14" fillId="14" borderId="12" xfId="0" applyFont="1" applyFill="1" applyBorder="1" applyAlignment="1">
      <alignment vertical="center" wrapText="1" shrinkToFit="1"/>
    </xf>
    <xf numFmtId="0" fontId="1" fillId="0" borderId="2" xfId="0" applyFont="1" applyBorder="1" applyAlignment="1">
      <alignment horizontal="center"/>
    </xf>
    <xf numFmtId="165" fontId="1" fillId="0" borderId="1" xfId="0" applyNumberFormat="1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 shrinkToFit="1"/>
    </xf>
    <xf numFmtId="0" fontId="8" fillId="12" borderId="37" xfId="0" applyFont="1" applyFill="1" applyBorder="1" applyAlignment="1">
      <alignment horizontal="center" vertical="center"/>
    </xf>
    <xf numFmtId="1" fontId="0" fillId="0" borderId="0" xfId="0" applyNumberFormat="1"/>
    <xf numFmtId="0" fontId="2" fillId="7" borderId="6" xfId="0" applyFont="1" applyFill="1" applyBorder="1"/>
    <xf numFmtId="0" fontId="2" fillId="7" borderId="4" xfId="0" applyFont="1" applyFill="1" applyBorder="1"/>
    <xf numFmtId="0" fontId="0" fillId="0" borderId="0" xfId="0" quotePrefix="1"/>
    <xf numFmtId="2" fontId="16" fillId="0" borderId="26" xfId="0" applyNumberFormat="1" applyFont="1" applyBorder="1" applyAlignment="1">
      <alignment horizontal="right"/>
    </xf>
    <xf numFmtId="2" fontId="0" fillId="0" borderId="44" xfId="0" applyNumberFormat="1" applyBorder="1"/>
    <xf numFmtId="0" fontId="0" fillId="15" borderId="10" xfId="0" applyFill="1" applyBorder="1" applyAlignment="1" applyProtection="1">
      <alignment horizontal="right" vertical="center"/>
      <protection locked="0"/>
    </xf>
    <xf numFmtId="0" fontId="0" fillId="15" borderId="1" xfId="0" applyFill="1" applyBorder="1" applyAlignment="1" applyProtection="1">
      <alignment horizontal="right"/>
      <protection locked="0"/>
    </xf>
    <xf numFmtId="0" fontId="0" fillId="0" borderId="0" xfId="0" applyProtection="1">
      <protection locked="0"/>
    </xf>
    <xf numFmtId="0" fontId="0" fillId="15" borderId="46" xfId="0" applyFill="1" applyBorder="1" applyProtection="1">
      <protection locked="0"/>
    </xf>
    <xf numFmtId="0" fontId="0" fillId="15" borderId="10" xfId="0" applyFill="1" applyBorder="1" applyAlignment="1" applyProtection="1">
      <alignment horizontal="center" vertical="center"/>
      <protection locked="0"/>
    </xf>
    <xf numFmtId="0" fontId="0" fillId="15" borderId="1" xfId="0" applyFill="1" applyBorder="1" applyAlignment="1" applyProtection="1">
      <alignment horizontal="center" vertical="center"/>
      <protection locked="0"/>
    </xf>
    <xf numFmtId="167" fontId="0" fillId="16" borderId="3" xfId="0" applyNumberFormat="1" applyFill="1" applyBorder="1"/>
    <xf numFmtId="2" fontId="0" fillId="0" borderId="1" xfId="0" applyNumberFormat="1" applyBorder="1"/>
    <xf numFmtId="0" fontId="0" fillId="0" borderId="3" xfId="0" applyBorder="1" applyAlignment="1">
      <alignment horizontal="center" vertical="center"/>
    </xf>
    <xf numFmtId="0" fontId="0" fillId="15" borderId="0" xfId="0" applyFill="1" applyProtection="1">
      <protection locked="0"/>
    </xf>
    <xf numFmtId="0" fontId="7" fillId="0" borderId="0" xfId="0" applyFont="1" applyProtection="1">
      <protection locked="0"/>
    </xf>
    <xf numFmtId="0" fontId="0" fillId="12" borderId="0" xfId="0" applyFill="1" applyProtection="1">
      <protection locked="0"/>
    </xf>
    <xf numFmtId="0" fontId="0" fillId="17" borderId="0" xfId="0" applyFill="1" applyProtection="1">
      <protection locked="0"/>
    </xf>
    <xf numFmtId="0" fontId="17" fillId="0" borderId="0" xfId="0" applyFont="1" applyProtection="1">
      <protection locked="0"/>
    </xf>
    <xf numFmtId="2" fontId="8" fillId="12" borderId="46" xfId="0" applyNumberFormat="1" applyFont="1" applyFill="1" applyBorder="1" applyProtection="1">
      <protection locked="0"/>
    </xf>
    <xf numFmtId="0" fontId="0" fillId="0" borderId="0" xfId="0" applyAlignment="1" applyProtection="1">
      <alignment horizontal="right"/>
      <protection locked="0"/>
    </xf>
    <xf numFmtId="0" fontId="0" fillId="0" borderId="0" xfId="0" applyAlignment="1" applyProtection="1">
      <alignment horizontal="center"/>
      <protection locked="0"/>
    </xf>
    <xf numFmtId="0" fontId="8" fillId="12" borderId="46" xfId="0" applyFont="1" applyFill="1" applyBorder="1" applyAlignment="1" applyProtection="1">
      <alignment horizontal="center"/>
      <protection locked="0"/>
    </xf>
    <xf numFmtId="1" fontId="8" fillId="12" borderId="46" xfId="0" applyNumberFormat="1" applyFont="1" applyFill="1" applyBorder="1" applyAlignment="1" applyProtection="1">
      <alignment horizontal="center"/>
      <protection locked="0"/>
    </xf>
    <xf numFmtId="0" fontId="8" fillId="12" borderId="39" xfId="0" applyFont="1" applyFill="1" applyBorder="1" applyAlignment="1" applyProtection="1">
      <alignment horizontal="center"/>
      <protection locked="0"/>
    </xf>
    <xf numFmtId="166" fontId="2" fillId="20" borderId="2" xfId="0" applyNumberFormat="1" applyFont="1" applyFill="1" applyBorder="1"/>
    <xf numFmtId="0" fontId="0" fillId="15" borderId="19" xfId="0" applyFill="1" applyBorder="1" applyAlignment="1" applyProtection="1">
      <alignment horizontal="left"/>
      <protection locked="0"/>
    </xf>
    <xf numFmtId="0" fontId="0" fillId="15" borderId="1" xfId="0" applyFill="1" applyBorder="1" applyAlignment="1" applyProtection="1">
      <alignment horizontal="left"/>
      <protection locked="0"/>
    </xf>
    <xf numFmtId="0" fontId="0" fillId="15" borderId="20" xfId="0" applyFill="1" applyBorder="1" applyAlignment="1" applyProtection="1">
      <alignment horizontal="left"/>
      <protection locked="0"/>
    </xf>
    <xf numFmtId="0" fontId="0" fillId="15" borderId="17" xfId="0" applyFill="1" applyBorder="1" applyAlignment="1" applyProtection="1">
      <alignment horizontal="left"/>
      <protection locked="0"/>
    </xf>
    <xf numFmtId="0" fontId="0" fillId="15" borderId="21" xfId="0" applyFill="1" applyBorder="1" applyAlignment="1" applyProtection="1">
      <alignment horizontal="left"/>
      <protection locked="0"/>
    </xf>
    <xf numFmtId="0" fontId="0" fillId="15" borderId="18" xfId="0" applyFill="1" applyBorder="1" applyAlignment="1" applyProtection="1">
      <alignment horizontal="left"/>
      <protection locked="0"/>
    </xf>
    <xf numFmtId="0" fontId="1" fillId="15" borderId="1" xfId="0" applyFont="1" applyFill="1" applyBorder="1" applyAlignment="1" applyProtection="1">
      <alignment horizontal="center" vertical="center"/>
      <protection locked="0"/>
    </xf>
    <xf numFmtId="0" fontId="0" fillId="15" borderId="2" xfId="0" applyFill="1" applyBorder="1" applyAlignment="1" applyProtection="1">
      <alignment horizontal="center" vertical="center"/>
      <protection locked="0"/>
    </xf>
    <xf numFmtId="0" fontId="0" fillId="15" borderId="46" xfId="0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left" vertical="center"/>
    </xf>
    <xf numFmtId="0" fontId="6" fillId="0" borderId="0" xfId="2" applyAlignment="1">
      <alignment horizontal="center"/>
    </xf>
    <xf numFmtId="0" fontId="1" fillId="0" borderId="40" xfId="0" applyFont="1" applyBorder="1"/>
    <xf numFmtId="0" fontId="6" fillId="0" borderId="42" xfId="2" applyBorder="1" applyAlignment="1">
      <alignment horizontal="center"/>
    </xf>
    <xf numFmtId="0" fontId="16" fillId="0" borderId="41" xfId="2" applyFont="1" applyBorder="1" applyAlignment="1">
      <alignment horizontal="left"/>
    </xf>
    <xf numFmtId="0" fontId="1" fillId="0" borderId="1" xfId="0" applyFont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 wrapText="1"/>
    </xf>
    <xf numFmtId="0" fontId="8" fillId="12" borderId="42" xfId="0" applyFont="1" applyFill="1" applyBorder="1"/>
    <xf numFmtId="0" fontId="8" fillId="12" borderId="41" xfId="0" applyFont="1" applyFill="1" applyBorder="1"/>
    <xf numFmtId="0" fontId="8" fillId="12" borderId="40" xfId="0" applyFont="1" applyFill="1" applyBorder="1" applyAlignment="1">
      <alignment vertical="center"/>
    </xf>
    <xf numFmtId="0" fontId="8" fillId="12" borderId="42" xfId="0" applyFont="1" applyFill="1" applyBorder="1" applyAlignment="1">
      <alignment vertical="center"/>
    </xf>
    <xf numFmtId="0" fontId="8" fillId="12" borderId="41" xfId="0" applyFont="1" applyFill="1" applyBorder="1" applyAlignment="1">
      <alignment vertical="center"/>
    </xf>
    <xf numFmtId="0" fontId="8" fillId="12" borderId="31" xfId="0" applyFont="1" applyFill="1" applyBorder="1"/>
    <xf numFmtId="0" fontId="8" fillId="12" borderId="40" xfId="0" applyFont="1" applyFill="1" applyBorder="1" applyAlignment="1">
      <alignment horizontal="left"/>
    </xf>
    <xf numFmtId="0" fontId="2" fillId="17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12" borderId="40" xfId="0" applyFill="1" applyBorder="1"/>
    <xf numFmtId="0" fontId="0" fillId="12" borderId="42" xfId="0" applyFill="1" applyBorder="1"/>
    <xf numFmtId="0" fontId="1" fillId="12" borderId="46" xfId="0" applyFont="1" applyFill="1" applyBorder="1" applyAlignment="1">
      <alignment horizontal="center" vertical="center"/>
    </xf>
    <xf numFmtId="0" fontId="0" fillId="12" borderId="43" xfId="0" applyFill="1" applyBorder="1"/>
    <xf numFmtId="0" fontId="0" fillId="12" borderId="34" xfId="0" applyFill="1" applyBorder="1"/>
    <xf numFmtId="0" fontId="1" fillId="0" borderId="1" xfId="0" applyFont="1" applyBorder="1" applyAlignment="1">
      <alignment horizontal="center" wrapText="1" shrinkToFit="1"/>
    </xf>
    <xf numFmtId="0" fontId="1" fillId="0" borderId="0" xfId="0" applyFont="1" applyAlignment="1">
      <alignment horizontal="center" wrapText="1" shrinkToFit="1"/>
    </xf>
    <xf numFmtId="0" fontId="2" fillId="12" borderId="41" xfId="0" applyFont="1" applyFill="1" applyBorder="1"/>
    <xf numFmtId="0" fontId="8" fillId="0" borderId="0" xfId="0" applyFont="1" applyAlignment="1">
      <alignment vertical="center"/>
    </xf>
    <xf numFmtId="0" fontId="0" fillId="0" borderId="0" xfId="0" applyAlignment="1">
      <alignment wrapText="1"/>
    </xf>
    <xf numFmtId="0" fontId="8" fillId="17" borderId="1" xfId="0" applyFont="1" applyFill="1" applyBorder="1" applyAlignment="1">
      <alignment horizontal="center" vertical="center" wrapText="1"/>
    </xf>
    <xf numFmtId="1" fontId="1" fillId="12" borderId="46" xfId="0" applyNumberFormat="1" applyFont="1" applyFill="1" applyBorder="1" applyAlignment="1">
      <alignment horizontal="right" vertical="center"/>
    </xf>
    <xf numFmtId="2" fontId="0" fillId="0" borderId="0" xfId="0" applyNumberFormat="1" applyProtection="1">
      <protection locked="0"/>
    </xf>
    <xf numFmtId="164" fontId="0" fillId="0" borderId="0" xfId="3" applyFont="1" applyProtection="1">
      <protection locked="0"/>
    </xf>
    <xf numFmtId="168" fontId="0" fillId="0" borderId="0" xfId="0" applyNumberFormat="1" applyProtection="1">
      <protection locked="0"/>
    </xf>
    <xf numFmtId="169" fontId="0" fillId="0" borderId="0" xfId="0" applyNumberFormat="1" applyProtection="1">
      <protection locked="0"/>
    </xf>
    <xf numFmtId="9" fontId="0" fillId="0" borderId="0" xfId="0" applyNumberFormat="1"/>
    <xf numFmtId="2" fontId="0" fillId="0" borderId="0" xfId="0" applyNumberFormat="1"/>
    <xf numFmtId="0" fontId="0" fillId="14" borderId="1" xfId="0" applyFill="1" applyBorder="1" applyAlignment="1" applyProtection="1">
      <alignment shrinkToFit="1"/>
      <protection locked="0"/>
    </xf>
    <xf numFmtId="166" fontId="0" fillId="0" borderId="0" xfId="0" applyNumberFormat="1"/>
    <xf numFmtId="164" fontId="0" fillId="0" borderId="0" xfId="3" applyFont="1"/>
    <xf numFmtId="0" fontId="0" fillId="0" borderId="8" xfId="0" applyBorder="1" applyAlignment="1">
      <alignment horizontal="center" vertical="center"/>
    </xf>
    <xf numFmtId="166" fontId="0" fillId="0" borderId="0" xfId="0" applyNumberFormat="1" applyAlignment="1">
      <alignment horizontal="right"/>
    </xf>
    <xf numFmtId="0" fontId="1" fillId="0" borderId="0" xfId="0" applyFont="1" applyAlignment="1">
      <alignment horizontal="center" vertical="center" wrapText="1" shrinkToFit="1"/>
    </xf>
    <xf numFmtId="0" fontId="8" fillId="17" borderId="47" xfId="0" applyFont="1" applyFill="1" applyBorder="1" applyAlignment="1">
      <alignment horizontal="center" vertical="center" wrapText="1"/>
    </xf>
    <xf numFmtId="0" fontId="8" fillId="17" borderId="47" xfId="0" applyFont="1" applyFill="1" applyBorder="1" applyAlignment="1">
      <alignment vertical="center" wrapText="1"/>
    </xf>
    <xf numFmtId="165" fontId="0" fillId="0" borderId="0" xfId="0" applyNumberFormat="1"/>
    <xf numFmtId="169" fontId="0" fillId="0" borderId="0" xfId="0" applyNumberFormat="1"/>
    <xf numFmtId="9" fontId="0" fillId="0" borderId="0" xfId="0" applyNumberFormat="1" applyProtection="1">
      <protection locked="0"/>
    </xf>
    <xf numFmtId="0" fontId="0" fillId="0" borderId="0" xfId="0" applyAlignment="1" applyProtection="1">
      <alignment horizontal="right" wrapText="1"/>
      <protection locked="0"/>
    </xf>
    <xf numFmtId="9" fontId="2" fillId="12" borderId="40" xfId="1" applyFont="1" applyFill="1" applyBorder="1"/>
    <xf numFmtId="0" fontId="2" fillId="17" borderId="40" xfId="0" quotePrefix="1" applyFont="1" applyFill="1" applyBorder="1"/>
    <xf numFmtId="9" fontId="2" fillId="17" borderId="46" xfId="1" applyFont="1" applyFill="1" applyBorder="1" applyAlignment="1">
      <alignment horizontal="center"/>
    </xf>
    <xf numFmtId="0" fontId="8" fillId="12" borderId="46" xfId="0" applyFont="1" applyFill="1" applyBorder="1" applyAlignment="1">
      <alignment vertical="center" wrapText="1"/>
    </xf>
    <xf numFmtId="0" fontId="2" fillId="12" borderId="46" xfId="0" applyFont="1" applyFill="1" applyBorder="1"/>
    <xf numFmtId="9" fontId="2" fillId="12" borderId="46" xfId="1" applyFont="1" applyFill="1" applyBorder="1"/>
    <xf numFmtId="9" fontId="8" fillId="12" borderId="46" xfId="1" applyFont="1" applyFill="1" applyBorder="1" applyAlignment="1" applyProtection="1">
      <alignment horizontal="center"/>
      <protection locked="0"/>
    </xf>
    <xf numFmtId="0" fontId="8" fillId="17" borderId="50" xfId="0" applyFont="1" applyFill="1" applyBorder="1" applyAlignment="1">
      <alignment horizontal="center" vertical="center" wrapText="1"/>
    </xf>
    <xf numFmtId="0" fontId="2" fillId="17" borderId="50" xfId="0" applyFont="1" applyFill="1" applyBorder="1" applyAlignment="1">
      <alignment horizontal="center" vertical="center" wrapText="1"/>
    </xf>
    <xf numFmtId="9" fontId="2" fillId="17" borderId="50" xfId="1" applyFont="1" applyFill="1" applyBorder="1" applyAlignment="1">
      <alignment horizontal="center" vertical="center"/>
    </xf>
    <xf numFmtId="9" fontId="0" fillId="0" borderId="0" xfId="1" applyFont="1"/>
    <xf numFmtId="170" fontId="0" fillId="15" borderId="1" xfId="1" applyNumberFormat="1" applyFont="1" applyFill="1" applyBorder="1" applyAlignment="1" applyProtection="1">
      <alignment horizontal="center"/>
      <protection locked="0"/>
    </xf>
    <xf numFmtId="0" fontId="2" fillId="7" borderId="6" xfId="0" applyFont="1" applyFill="1" applyBorder="1" applyAlignment="1">
      <alignment horizontal="left"/>
    </xf>
    <xf numFmtId="0" fontId="2" fillId="7" borderId="4" xfId="0" applyFont="1" applyFill="1" applyBorder="1" applyAlignment="1">
      <alignment horizontal="left"/>
    </xf>
    <xf numFmtId="9" fontId="2" fillId="17" borderId="47" xfId="1" applyFont="1" applyFill="1" applyBorder="1" applyAlignment="1">
      <alignment horizontal="center" vertical="center"/>
    </xf>
    <xf numFmtId="0" fontId="2" fillId="17" borderId="47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2" xfId="0" applyBorder="1" applyAlignment="1">
      <alignment horizontal="center" vertical="center" shrinkToFit="1"/>
    </xf>
    <xf numFmtId="0" fontId="0" fillId="0" borderId="26" xfId="0" applyBorder="1" applyAlignment="1">
      <alignment horizontal="center" vertical="center"/>
    </xf>
    <xf numFmtId="0" fontId="1" fillId="0" borderId="37" xfId="0" applyFont="1" applyBorder="1" applyAlignment="1">
      <alignment horizontal="center" vertical="center" wrapText="1" shrinkToFit="1"/>
    </xf>
    <xf numFmtId="0" fontId="7" fillId="0" borderId="0" xfId="0" applyFont="1" applyAlignment="1">
      <alignment wrapText="1"/>
    </xf>
    <xf numFmtId="166" fontId="0" fillId="0" borderId="0" xfId="3" applyNumberFormat="1" applyFont="1" applyAlignment="1" applyProtection="1">
      <alignment horizontal="right"/>
      <protection locked="0"/>
    </xf>
    <xf numFmtId="0" fontId="8" fillId="17" borderId="40" xfId="0" applyFont="1" applyFill="1" applyBorder="1" applyAlignment="1">
      <alignment horizontal="center" vertical="center" wrapText="1"/>
    </xf>
    <xf numFmtId="0" fontId="8" fillId="17" borderId="46" xfId="0" applyFont="1" applyFill="1" applyBorder="1" applyAlignment="1">
      <alignment horizontal="center" vertical="center" wrapText="1"/>
    </xf>
    <xf numFmtId="164" fontId="8" fillId="17" borderId="37" xfId="3" applyFont="1" applyFill="1" applyBorder="1" applyAlignment="1">
      <alignment horizontal="center" vertical="center" wrapText="1"/>
    </xf>
    <xf numFmtId="164" fontId="2" fillId="17" borderId="26" xfId="3" applyFont="1" applyFill="1" applyBorder="1" applyAlignment="1">
      <alignment horizontal="center" vertical="center" wrapText="1"/>
    </xf>
    <xf numFmtId="164" fontId="2" fillId="17" borderId="46" xfId="3" applyFont="1" applyFill="1" applyBorder="1" applyAlignment="1">
      <alignment horizontal="center" vertical="center" wrapText="1"/>
    </xf>
    <xf numFmtId="164" fontId="8" fillId="17" borderId="37" xfId="3" applyFont="1" applyFill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164" fontId="0" fillId="15" borderId="1" xfId="3" applyFont="1" applyFill="1" applyBorder="1" applyAlignment="1" applyProtection="1">
      <alignment horizontal="center" vertical="center"/>
      <protection locked="0"/>
    </xf>
    <xf numFmtId="0" fontId="3" fillId="7" borderId="0" xfId="0" applyFont="1" applyFill="1" applyAlignment="1">
      <alignment horizontal="center"/>
    </xf>
    <xf numFmtId="0" fontId="3" fillId="7" borderId="0" xfId="0" applyFont="1" applyFill="1"/>
    <xf numFmtId="0" fontId="2" fillId="7" borderId="10" xfId="0" applyFont="1" applyFill="1" applyBorder="1" applyAlignment="1">
      <alignment horizontal="center"/>
    </xf>
    <xf numFmtId="0" fontId="0" fillId="0" borderId="19" xfId="0" applyBorder="1" applyAlignment="1">
      <alignment horizontal="center" vertical="center" shrinkToFit="1"/>
    </xf>
    <xf numFmtId="0" fontId="0" fillId="0" borderId="20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9" fontId="0" fillId="0" borderId="21" xfId="1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10" fontId="0" fillId="0" borderId="21" xfId="0" applyNumberFormat="1" applyBorder="1" applyAlignment="1">
      <alignment horizontal="center" vertical="center"/>
    </xf>
    <xf numFmtId="0" fontId="0" fillId="0" borderId="21" xfId="0" applyBorder="1" applyAlignment="1">
      <alignment horizontal="center"/>
    </xf>
    <xf numFmtId="9" fontId="0" fillId="0" borderId="21" xfId="0" applyNumberFormat="1" applyBorder="1" applyAlignment="1">
      <alignment horizontal="center" vertical="center"/>
    </xf>
    <xf numFmtId="9" fontId="0" fillId="18" borderId="21" xfId="0" applyNumberFormat="1" applyFill="1" applyBorder="1" applyAlignment="1">
      <alignment horizontal="center"/>
    </xf>
    <xf numFmtId="9" fontId="0" fillId="0" borderId="21" xfId="0" applyNumberForma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7" xfId="0" applyBorder="1" applyAlignment="1">
      <alignment horizontal="center"/>
    </xf>
    <xf numFmtId="9" fontId="0" fillId="0" borderId="21" xfId="1" applyFont="1" applyBorder="1"/>
    <xf numFmtId="0" fontId="0" fillId="0" borderId="62" xfId="0" applyBorder="1" applyAlignment="1">
      <alignment horizontal="center" vertical="center"/>
    </xf>
    <xf numFmtId="0" fontId="0" fillId="0" borderId="19" xfId="0" applyBorder="1" applyAlignment="1">
      <alignment vertical="center" shrinkToFit="1"/>
    </xf>
    <xf numFmtId="0" fontId="0" fillId="0" borderId="20" xfId="0" applyBorder="1" applyAlignment="1">
      <alignment vertical="center" shrinkToFit="1"/>
    </xf>
    <xf numFmtId="0" fontId="2" fillId="7" borderId="6" xfId="0" applyFont="1" applyFill="1" applyBorder="1" applyAlignment="1">
      <alignment horizontal="center" vertical="center"/>
    </xf>
    <xf numFmtId="0" fontId="2" fillId="7" borderId="14" xfId="0" applyFont="1" applyFill="1" applyBorder="1" applyAlignment="1">
      <alignment horizontal="center" vertical="center"/>
    </xf>
    <xf numFmtId="9" fontId="0" fillId="0" borderId="21" xfId="1" applyFont="1" applyBorder="1" applyAlignment="1">
      <alignment horizontal="center"/>
    </xf>
    <xf numFmtId="0" fontId="0" fillId="0" borderId="21" xfId="0" applyBorder="1"/>
    <xf numFmtId="170" fontId="0" fillId="15" borderId="21" xfId="1" applyNumberFormat="1" applyFont="1" applyFill="1" applyBorder="1" applyAlignment="1" applyProtection="1">
      <alignment horizontal="center"/>
      <protection locked="0"/>
    </xf>
    <xf numFmtId="165" fontId="0" fillId="0" borderId="21" xfId="0" applyNumberFormat="1" applyBorder="1" applyAlignment="1">
      <alignment horizontal="center"/>
    </xf>
    <xf numFmtId="0" fontId="0" fillId="0" borderId="1" xfId="0" applyBorder="1" applyAlignment="1">
      <alignment horizontal="right"/>
    </xf>
    <xf numFmtId="0" fontId="3" fillId="0" borderId="0" xfId="0" applyFont="1" applyAlignment="1">
      <alignment vertical="center"/>
    </xf>
    <xf numFmtId="0" fontId="0" fillId="0" borderId="20" xfId="0" applyBorder="1" applyAlignment="1">
      <alignment horizontal="center" vertical="center"/>
    </xf>
    <xf numFmtId="0" fontId="0" fillId="15" borderId="19" xfId="0" applyFill="1" applyBorder="1" applyAlignment="1" applyProtection="1">
      <alignment horizontal="center" vertical="center"/>
      <protection locked="0"/>
    </xf>
    <xf numFmtId="0" fontId="0" fillId="15" borderId="17" xfId="0" applyFill="1" applyBorder="1" applyAlignment="1" applyProtection="1">
      <alignment horizontal="center" vertical="center"/>
      <protection locked="0"/>
    </xf>
    <xf numFmtId="0" fontId="0" fillId="0" borderId="36" xfId="0" applyBorder="1"/>
    <xf numFmtId="0" fontId="0" fillId="0" borderId="62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58" xfId="0" applyBorder="1" applyAlignment="1">
      <alignment horizontal="left" vertical="center" wrapText="1"/>
    </xf>
    <xf numFmtId="0" fontId="0" fillId="15" borderId="15" xfId="0" applyFill="1" applyBorder="1" applyAlignment="1" applyProtection="1">
      <alignment horizontal="left"/>
      <protection locked="0"/>
    </xf>
    <xf numFmtId="0" fontId="0" fillId="15" borderId="36" xfId="0" applyFill="1" applyBorder="1" applyAlignment="1" applyProtection="1">
      <alignment horizontal="left"/>
      <protection locked="0"/>
    </xf>
    <xf numFmtId="0" fontId="0" fillId="15" borderId="16" xfId="0" applyFill="1" applyBorder="1" applyAlignment="1" applyProtection="1">
      <alignment horizontal="left"/>
      <protection locked="0"/>
    </xf>
    <xf numFmtId="0" fontId="0" fillId="0" borderId="12" xfId="0" applyBorder="1" applyAlignment="1">
      <alignment horizontal="left" vertical="center" wrapText="1"/>
    </xf>
    <xf numFmtId="0" fontId="0" fillId="15" borderId="57" xfId="0" applyFill="1" applyBorder="1" applyAlignment="1" applyProtection="1">
      <alignment horizontal="left"/>
      <protection locked="0"/>
    </xf>
    <xf numFmtId="0" fontId="0" fillId="15" borderId="2" xfId="0" applyFill="1" applyBorder="1" applyAlignment="1" applyProtection="1">
      <alignment horizontal="left"/>
      <protection locked="0"/>
    </xf>
    <xf numFmtId="0" fontId="0" fillId="15" borderId="66" xfId="0" applyFill="1" applyBorder="1" applyAlignment="1" applyProtection="1">
      <alignment horizontal="left"/>
      <protection locked="0"/>
    </xf>
    <xf numFmtId="0" fontId="2" fillId="21" borderId="67" xfId="0" applyFont="1" applyFill="1" applyBorder="1" applyAlignment="1">
      <alignment horizontal="center" vertical="center"/>
    </xf>
    <xf numFmtId="0" fontId="0" fillId="0" borderId="24" xfId="0" applyBorder="1"/>
    <xf numFmtId="0" fontId="0" fillId="0" borderId="25" xfId="0" applyBorder="1"/>
    <xf numFmtId="0" fontId="0" fillId="0" borderId="16" xfId="0" applyBorder="1"/>
    <xf numFmtId="0" fontId="0" fillId="0" borderId="18" xfId="0" applyBorder="1"/>
    <xf numFmtId="0" fontId="0" fillId="0" borderId="10" xfId="0" applyBorder="1"/>
    <xf numFmtId="0" fontId="0" fillId="0" borderId="23" xfId="0" applyBorder="1"/>
    <xf numFmtId="0" fontId="2" fillId="21" borderId="68" xfId="0" applyFont="1" applyFill="1" applyBorder="1" applyAlignment="1">
      <alignment horizontal="center" vertical="center"/>
    </xf>
    <xf numFmtId="0" fontId="0" fillId="0" borderId="9" xfId="0" applyBorder="1"/>
    <xf numFmtId="0" fontId="0" fillId="0" borderId="58" xfId="0" applyBorder="1"/>
    <xf numFmtId="0" fontId="0" fillId="0" borderId="53" xfId="0" applyBorder="1" applyAlignment="1">
      <alignment horizontal="center" vertical="center"/>
    </xf>
    <xf numFmtId="0" fontId="0" fillId="15" borderId="21" xfId="0" applyFill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center" wrapText="1"/>
    </xf>
    <xf numFmtId="0" fontId="11" fillId="0" borderId="0" xfId="0" applyFont="1" applyAlignment="1">
      <alignment horizontal="center" wrapText="1"/>
    </xf>
    <xf numFmtId="165" fontId="8" fillId="17" borderId="31" xfId="0" applyNumberFormat="1" applyFont="1" applyFill="1" applyBorder="1" applyAlignment="1">
      <alignment horizontal="center" vertical="center"/>
    </xf>
    <xf numFmtId="2" fontId="0" fillId="15" borderId="20" xfId="0" applyNumberFormat="1" applyFill="1" applyBorder="1" applyAlignment="1" applyProtection="1">
      <alignment horizontal="center" vertical="center"/>
      <protection locked="0"/>
    </xf>
    <xf numFmtId="2" fontId="0" fillId="15" borderId="19" xfId="0" applyNumberFormat="1" applyFill="1" applyBorder="1" applyAlignment="1" applyProtection="1">
      <alignment horizontal="center" vertical="center"/>
      <protection locked="0"/>
    </xf>
    <xf numFmtId="2" fontId="0" fillId="15" borderId="1" xfId="0" applyNumberFormat="1" applyFill="1" applyBorder="1" applyAlignment="1" applyProtection="1">
      <alignment horizontal="center" vertical="center"/>
      <protection locked="0"/>
    </xf>
    <xf numFmtId="2" fontId="0" fillId="15" borderId="18" xfId="0" applyNumberFormat="1" applyFill="1" applyBorder="1" applyAlignment="1" applyProtection="1">
      <alignment horizontal="center" vertical="center"/>
      <protection locked="0"/>
    </xf>
    <xf numFmtId="2" fontId="0" fillId="15" borderId="17" xfId="0" applyNumberFormat="1" applyFill="1" applyBorder="1" applyAlignment="1" applyProtection="1">
      <alignment horizontal="center" vertical="center"/>
      <protection locked="0"/>
    </xf>
    <xf numFmtId="2" fontId="0" fillId="15" borderId="21" xfId="0" applyNumberFormat="1" applyFill="1" applyBorder="1" applyAlignment="1" applyProtection="1">
      <alignment horizontal="center" vertical="center"/>
      <protection locked="0"/>
    </xf>
    <xf numFmtId="2" fontId="0" fillId="15" borderId="19" xfId="0" applyNumberFormat="1" applyFill="1" applyBorder="1" applyProtection="1">
      <protection locked="0"/>
    </xf>
    <xf numFmtId="169" fontId="8" fillId="12" borderId="46" xfId="0" applyNumberFormat="1" applyFont="1" applyFill="1" applyBorder="1" applyProtection="1">
      <protection locked="0"/>
    </xf>
    <xf numFmtId="2" fontId="8" fillId="12" borderId="46" xfId="0" applyNumberFormat="1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right" wrapText="1"/>
      <protection locked="0"/>
    </xf>
    <xf numFmtId="0" fontId="20" fillId="0" borderId="15" xfId="0" applyFont="1" applyBorder="1" applyAlignment="1">
      <alignment horizontal="center" vertical="center" textRotation="255" wrapText="1"/>
    </xf>
    <xf numFmtId="0" fontId="20" fillId="0" borderId="19" xfId="0" applyFont="1" applyBorder="1" applyAlignment="1">
      <alignment horizontal="center" vertical="center" textRotation="255" wrapText="1"/>
    </xf>
    <xf numFmtId="0" fontId="20" fillId="0" borderId="17" xfId="0" applyFont="1" applyBorder="1" applyAlignment="1">
      <alignment horizontal="center" vertical="center" textRotation="255" wrapText="1"/>
    </xf>
    <xf numFmtId="0" fontId="20" fillId="0" borderId="24" xfId="0" applyFont="1" applyBorder="1" applyAlignment="1">
      <alignment horizontal="center" vertical="center" textRotation="255" wrapText="1"/>
    </xf>
    <xf numFmtId="0" fontId="20" fillId="0" borderId="62" xfId="0" applyFont="1" applyBorder="1" applyAlignment="1">
      <alignment horizontal="center" vertical="center" textRotation="255" wrapText="1"/>
    </xf>
    <xf numFmtId="0" fontId="0" fillId="0" borderId="9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1" fillId="11" borderId="9" xfId="0" applyFont="1" applyFill="1" applyBorder="1" applyAlignment="1">
      <alignment horizontal="center" vertical="center" wrapText="1" shrinkToFit="1"/>
    </xf>
    <xf numFmtId="0" fontId="1" fillId="11" borderId="10" xfId="0" applyFont="1" applyFill="1" applyBorder="1" applyAlignment="1">
      <alignment horizontal="center" vertical="center" wrapText="1" shrinkToFit="1"/>
    </xf>
    <xf numFmtId="0" fontId="14" fillId="0" borderId="12" xfId="0" applyFont="1" applyBorder="1" applyAlignment="1">
      <alignment horizontal="center" vertical="center" wrapText="1" shrinkToFit="1"/>
    </xf>
    <xf numFmtId="0" fontId="14" fillId="0" borderId="7" xfId="0" applyFont="1" applyBorder="1" applyAlignment="1">
      <alignment horizontal="center" vertical="center" wrapText="1" shrinkToFit="1"/>
    </xf>
    <xf numFmtId="0" fontId="14" fillId="0" borderId="9" xfId="0" applyFont="1" applyBorder="1" applyAlignment="1">
      <alignment horizontal="center" vertical="center" wrapText="1" shrinkToFit="1"/>
    </xf>
    <xf numFmtId="0" fontId="14" fillId="0" borderId="8" xfId="0" applyFont="1" applyBorder="1" applyAlignment="1">
      <alignment horizontal="center" vertical="center" wrapText="1" shrinkToFit="1"/>
    </xf>
    <xf numFmtId="0" fontId="0" fillId="5" borderId="2" xfId="0" applyFill="1" applyBorder="1" applyAlignment="1">
      <alignment horizontal="center" vertical="center" shrinkToFit="1"/>
    </xf>
    <xf numFmtId="0" fontId="0" fillId="5" borderId="5" xfId="0" applyFill="1" applyBorder="1" applyAlignment="1">
      <alignment horizontal="center" vertical="center" shrinkToFit="1"/>
    </xf>
    <xf numFmtId="0" fontId="0" fillId="5" borderId="3" xfId="0" applyFill="1" applyBorder="1" applyAlignment="1">
      <alignment horizontal="center" vertical="center" shrinkToFit="1"/>
    </xf>
    <xf numFmtId="0" fontId="12" fillId="11" borderId="9" xfId="0" applyFont="1" applyFill="1" applyBorder="1" applyAlignment="1">
      <alignment horizontal="center" vertical="center" wrapText="1" shrinkToFit="1"/>
    </xf>
    <xf numFmtId="0" fontId="12" fillId="11" borderId="10" xfId="0" applyFont="1" applyFill="1" applyBorder="1" applyAlignment="1">
      <alignment horizontal="center" vertical="center" wrapText="1" shrinkToFit="1"/>
    </xf>
    <xf numFmtId="0" fontId="0" fillId="0" borderId="64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18" borderId="58" xfId="0" applyFill="1" applyBorder="1" applyAlignment="1">
      <alignment horizontal="center" vertical="center"/>
    </xf>
    <xf numFmtId="0" fontId="0" fillId="18" borderId="59" xfId="0" applyFill="1" applyBorder="1" applyAlignment="1">
      <alignment horizontal="center" vertical="center"/>
    </xf>
    <xf numFmtId="0" fontId="0" fillId="18" borderId="61" xfId="0" applyFill="1" applyBorder="1" applyAlignment="1">
      <alignment horizontal="center" vertical="center"/>
    </xf>
    <xf numFmtId="0" fontId="14" fillId="0" borderId="10" xfId="0" applyFont="1" applyBorder="1" applyAlignment="1">
      <alignment horizontal="center" vertical="center" wrapText="1" shrinkToFit="1"/>
    </xf>
    <xf numFmtId="0" fontId="0" fillId="2" borderId="2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2" xfId="0" applyFill="1" applyBorder="1" applyAlignment="1">
      <alignment horizontal="center" shrinkToFit="1"/>
    </xf>
    <xf numFmtId="0" fontId="0" fillId="5" borderId="5" xfId="0" applyFill="1" applyBorder="1" applyAlignment="1">
      <alignment horizontal="center" shrinkToFit="1"/>
    </xf>
    <xf numFmtId="0" fontId="0" fillId="5" borderId="3" xfId="0" applyFill="1" applyBorder="1" applyAlignment="1">
      <alignment horizontal="center" shrinkToFit="1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18" borderId="9" xfId="0" applyFill="1" applyBorder="1" applyAlignment="1">
      <alignment horizontal="center" vertical="center"/>
    </xf>
    <xf numFmtId="0" fontId="0" fillId="18" borderId="8" xfId="0" applyFill="1" applyBorder="1" applyAlignment="1">
      <alignment horizontal="center" vertical="center"/>
    </xf>
    <xf numFmtId="0" fontId="0" fillId="18" borderId="60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5" borderId="28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0" borderId="63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10" fillId="0" borderId="64" xfId="0" applyFont="1" applyBorder="1" applyAlignment="1">
      <alignment horizontal="center" vertical="center" wrapText="1"/>
    </xf>
    <xf numFmtId="0" fontId="10" fillId="0" borderId="63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3" fillId="0" borderId="64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0" fillId="15" borderId="15" xfId="0" applyFill="1" applyBorder="1" applyAlignment="1" applyProtection="1">
      <alignment horizontal="center" vertical="center"/>
      <protection locked="0"/>
    </xf>
    <xf numFmtId="0" fontId="0" fillId="15" borderId="36" xfId="0" applyFill="1" applyBorder="1" applyAlignment="1" applyProtection="1">
      <alignment horizontal="center" vertical="center"/>
      <protection locked="0"/>
    </xf>
    <xf numFmtId="0" fontId="0" fillId="15" borderId="16" xfId="0" applyFill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2" borderId="53" xfId="0" applyFill="1" applyBorder="1" applyAlignment="1">
      <alignment horizontal="center" vertical="center"/>
    </xf>
    <xf numFmtId="0" fontId="0" fillId="2" borderId="54" xfId="0" applyFill="1" applyBorder="1" applyAlignment="1">
      <alignment horizontal="center" vertical="center"/>
    </xf>
    <xf numFmtId="0" fontId="0" fillId="2" borderId="55" xfId="0" applyFill="1" applyBorder="1" applyAlignment="1">
      <alignment horizontal="center" vertical="center"/>
    </xf>
    <xf numFmtId="0" fontId="0" fillId="2" borderId="56" xfId="0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0" fillId="9" borderId="53" xfId="0" applyFill="1" applyBorder="1" applyAlignment="1">
      <alignment horizontal="center" vertical="center"/>
    </xf>
    <xf numFmtId="0" fontId="0" fillId="9" borderId="54" xfId="0" applyFill="1" applyBorder="1" applyAlignment="1">
      <alignment horizontal="center" vertical="center"/>
    </xf>
    <xf numFmtId="0" fontId="0" fillId="9" borderId="55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54" xfId="0" applyFill="1" applyBorder="1" applyAlignment="1">
      <alignment horizontal="center" vertical="center"/>
    </xf>
    <xf numFmtId="0" fontId="0" fillId="8" borderId="55" xfId="0" applyFill="1" applyBorder="1" applyAlignment="1">
      <alignment horizontal="center" vertical="center"/>
    </xf>
    <xf numFmtId="0" fontId="0" fillId="13" borderId="29" xfId="0" applyFill="1" applyBorder="1" applyAlignment="1">
      <alignment horizontal="center" vertical="center"/>
    </xf>
    <xf numFmtId="0" fontId="0" fillId="13" borderId="30" xfId="0" applyFill="1" applyBorder="1" applyAlignment="1">
      <alignment horizontal="center" vertical="center"/>
    </xf>
    <xf numFmtId="0" fontId="0" fillId="13" borderId="63" xfId="0" applyFill="1" applyBorder="1" applyAlignment="1">
      <alignment horizontal="center" vertical="center"/>
    </xf>
    <xf numFmtId="0" fontId="0" fillId="0" borderId="27" xfId="0" applyBorder="1" applyAlignment="1">
      <alignment horizontal="center"/>
    </xf>
    <xf numFmtId="0" fontId="0" fillId="2" borderId="53" xfId="0" applyFill="1" applyBorder="1" applyAlignment="1">
      <alignment horizontal="center" vertical="center" shrinkToFit="1"/>
    </xf>
    <xf numFmtId="0" fontId="0" fillId="2" borderId="54" xfId="0" applyFill="1" applyBorder="1" applyAlignment="1">
      <alignment horizontal="center" vertical="center" shrinkToFit="1"/>
    </xf>
    <xf numFmtId="0" fontId="0" fillId="2" borderId="55" xfId="0" applyFill="1" applyBorder="1" applyAlignment="1">
      <alignment horizontal="center" vertical="center" shrinkToFit="1"/>
    </xf>
    <xf numFmtId="166" fontId="0" fillId="15" borderId="9" xfId="0" applyNumberFormat="1" applyFill="1" applyBorder="1" applyAlignment="1" applyProtection="1">
      <alignment horizontal="center" vertical="center"/>
      <protection locked="0"/>
    </xf>
    <xf numFmtId="166" fontId="0" fillId="15" borderId="8" xfId="0" applyNumberFormat="1" applyFill="1" applyBorder="1" applyAlignment="1" applyProtection="1">
      <alignment horizontal="center" vertical="center"/>
      <protection locked="0"/>
    </xf>
    <xf numFmtId="166" fontId="0" fillId="15" borderId="60" xfId="0" applyNumberFormat="1" applyFill="1" applyBorder="1" applyAlignment="1" applyProtection="1">
      <alignment horizontal="center" vertical="center"/>
      <protection locked="0"/>
    </xf>
    <xf numFmtId="0" fontId="2" fillId="7" borderId="7" xfId="0" applyFont="1" applyFill="1" applyBorder="1" applyAlignment="1">
      <alignment horizontal="left"/>
    </xf>
    <xf numFmtId="0" fontId="2" fillId="7" borderId="0" xfId="0" applyFont="1" applyFill="1" applyAlignment="1">
      <alignment horizontal="left"/>
    </xf>
    <xf numFmtId="0" fontId="0" fillId="0" borderId="26" xfId="0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 shrinkToFit="1"/>
    </xf>
    <xf numFmtId="0" fontId="0" fillId="4" borderId="64" xfId="0" applyFill="1" applyBorder="1" applyAlignment="1">
      <alignment horizontal="center" vertical="center" wrapText="1" shrinkToFit="1"/>
    </xf>
    <xf numFmtId="0" fontId="0" fillId="4" borderId="30" xfId="0" applyFill="1" applyBorder="1" applyAlignment="1">
      <alignment horizontal="center" vertical="center" wrapText="1" shrinkToFit="1"/>
    </xf>
    <xf numFmtId="0" fontId="0" fillId="4" borderId="63" xfId="0" applyFill="1" applyBorder="1" applyAlignment="1">
      <alignment horizontal="center" vertical="center" wrapText="1" shrinkToFit="1"/>
    </xf>
    <xf numFmtId="0" fontId="0" fillId="4" borderId="7" xfId="0" applyFill="1" applyBorder="1" applyAlignment="1">
      <alignment horizontal="center" vertical="center" wrapText="1" shrinkToFit="1"/>
    </xf>
    <xf numFmtId="0" fontId="0" fillId="4" borderId="0" xfId="0" applyFill="1" applyAlignment="1">
      <alignment horizontal="center" vertical="center" wrapText="1" shrinkToFit="1"/>
    </xf>
    <xf numFmtId="0" fontId="0" fillId="4" borderId="11" xfId="0" applyFill="1" applyBorder="1" applyAlignment="1">
      <alignment horizontal="center" vertical="center" wrapText="1" shrinkToFit="1"/>
    </xf>
    <xf numFmtId="0" fontId="0" fillId="4" borderId="6" xfId="0" applyFill="1" applyBorder="1" applyAlignment="1">
      <alignment horizontal="center" vertical="center" wrapText="1" shrinkToFit="1"/>
    </xf>
    <xf numFmtId="0" fontId="0" fillId="4" borderId="4" xfId="0" applyFill="1" applyBorder="1" applyAlignment="1">
      <alignment horizontal="center" vertical="center" wrapText="1" shrinkToFit="1"/>
    </xf>
    <xf numFmtId="0" fontId="0" fillId="4" borderId="14" xfId="0" applyFill="1" applyBorder="1" applyAlignment="1">
      <alignment horizontal="center" vertical="center" wrapText="1" shrinkToFit="1"/>
    </xf>
    <xf numFmtId="0" fontId="0" fillId="3" borderId="29" xfId="0" applyFill="1" applyBorder="1" applyAlignment="1">
      <alignment horizontal="center" vertical="center" shrinkToFit="1"/>
    </xf>
    <xf numFmtId="0" fontId="0" fillId="3" borderId="31" xfId="0" applyFill="1" applyBorder="1" applyAlignment="1">
      <alignment horizontal="center" vertical="center" shrinkToFit="1"/>
    </xf>
    <xf numFmtId="0" fontId="0" fillId="3" borderId="32" xfId="0" applyFill="1" applyBorder="1" applyAlignment="1">
      <alignment horizontal="center" vertical="center" shrinkToFit="1"/>
    </xf>
    <xf numFmtId="0" fontId="0" fillId="3" borderId="33" xfId="0" applyFill="1" applyBorder="1" applyAlignment="1">
      <alignment horizontal="center" vertical="center" shrinkToFit="1"/>
    </xf>
    <xf numFmtId="0" fontId="0" fillId="3" borderId="22" xfId="0" applyFill="1" applyBorder="1" applyAlignment="1">
      <alignment horizontal="center" vertical="center" shrinkToFit="1"/>
    </xf>
    <xf numFmtId="0" fontId="0" fillId="3" borderId="23" xfId="0" applyFill="1" applyBorder="1" applyAlignment="1">
      <alignment horizontal="center" vertical="center" shrinkToFit="1"/>
    </xf>
    <xf numFmtId="0" fontId="0" fillId="4" borderId="29" xfId="0" applyFill="1" applyBorder="1" applyAlignment="1">
      <alignment horizontal="center" vertical="center" shrinkToFit="1"/>
    </xf>
    <xf numFmtId="0" fontId="0" fillId="4" borderId="30" xfId="0" applyFill="1" applyBorder="1" applyAlignment="1">
      <alignment horizontal="center" vertical="center" shrinkToFit="1"/>
    </xf>
    <xf numFmtId="0" fontId="0" fillId="4" borderId="63" xfId="0" applyFill="1" applyBorder="1" applyAlignment="1">
      <alignment horizontal="center" vertical="center" shrinkToFit="1"/>
    </xf>
    <xf numFmtId="0" fontId="0" fillId="4" borderId="32" xfId="0" applyFill="1" applyBorder="1" applyAlignment="1">
      <alignment horizontal="center" vertical="center" shrinkToFit="1"/>
    </xf>
    <xf numFmtId="0" fontId="0" fillId="4" borderId="0" xfId="0" applyFill="1" applyAlignment="1">
      <alignment horizontal="center" vertical="center" shrinkToFit="1"/>
    </xf>
    <xf numFmtId="0" fontId="0" fillId="4" borderId="11" xfId="0" applyFill="1" applyBorder="1" applyAlignment="1">
      <alignment horizontal="center" vertical="center" shrinkToFit="1"/>
    </xf>
    <xf numFmtId="0" fontId="0" fillId="4" borderId="22" xfId="0" applyFill="1" applyBorder="1" applyAlignment="1">
      <alignment horizontal="center" vertical="center" shrinkToFit="1"/>
    </xf>
    <xf numFmtId="0" fontId="0" fillId="4" borderId="4" xfId="0" applyFill="1" applyBorder="1" applyAlignment="1">
      <alignment horizontal="center" vertical="center" shrinkToFit="1"/>
    </xf>
    <xf numFmtId="0" fontId="0" fillId="4" borderId="14" xfId="0" applyFill="1" applyBorder="1" applyAlignment="1">
      <alignment horizontal="center" vertical="center" shrinkToFit="1"/>
    </xf>
    <xf numFmtId="0" fontId="3" fillId="7" borderId="0" xfId="0" applyFont="1" applyFill="1" applyAlignment="1">
      <alignment horizontal="center"/>
    </xf>
    <xf numFmtId="0" fontId="0" fillId="13" borderId="64" xfId="0" applyFill="1" applyBorder="1" applyAlignment="1">
      <alignment horizontal="center" vertical="center"/>
    </xf>
    <xf numFmtId="0" fontId="0" fillId="13" borderId="31" xfId="0" applyFill="1" applyBorder="1" applyAlignment="1">
      <alignment horizontal="center" vertical="center"/>
    </xf>
    <xf numFmtId="0" fontId="0" fillId="0" borderId="15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36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4" borderId="2" xfId="0" applyFill="1" applyBorder="1" applyAlignment="1">
      <alignment horizontal="center" vertical="center" shrinkToFit="1"/>
    </xf>
    <xf numFmtId="0" fontId="0" fillId="4" borderId="5" xfId="0" applyFill="1" applyBorder="1" applyAlignment="1">
      <alignment horizontal="center" vertical="center" shrinkToFit="1"/>
    </xf>
    <xf numFmtId="0" fontId="0" fillId="4" borderId="3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3" fillId="0" borderId="0" xfId="0" applyFont="1" applyAlignment="1">
      <alignment horizontal="left"/>
    </xf>
    <xf numFmtId="0" fontId="0" fillId="2" borderId="57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62" xfId="0" applyBorder="1" applyAlignment="1">
      <alignment horizontal="center" vertical="center" shrinkToFit="1"/>
    </xf>
    <xf numFmtId="0" fontId="0" fillId="0" borderId="24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/>
    </xf>
    <xf numFmtId="0" fontId="1" fillId="11" borderId="8" xfId="0" applyFont="1" applyFill="1" applyBorder="1" applyAlignment="1">
      <alignment horizontal="center" vertical="center" wrapText="1" shrinkToFit="1"/>
    </xf>
    <xf numFmtId="0" fontId="0" fillId="4" borderId="5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1" fillId="0" borderId="29" xfId="0" applyFont="1" applyBorder="1" applyAlignment="1">
      <alignment horizontal="center" wrapText="1"/>
    </xf>
    <xf numFmtId="0" fontId="1" fillId="0" borderId="30" xfId="0" applyFont="1" applyBorder="1" applyAlignment="1">
      <alignment horizontal="center" wrapText="1"/>
    </xf>
    <xf numFmtId="0" fontId="1" fillId="0" borderId="31" xfId="0" applyFont="1" applyBorder="1" applyAlignment="1">
      <alignment horizontal="center" wrapText="1"/>
    </xf>
    <xf numFmtId="0" fontId="1" fillId="0" borderId="32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33" xfId="0" applyFont="1" applyBorder="1" applyAlignment="1">
      <alignment horizontal="center" wrapText="1"/>
    </xf>
    <xf numFmtId="0" fontId="14" fillId="0" borderId="6" xfId="0" applyFont="1" applyBorder="1" applyAlignment="1">
      <alignment horizontal="center" vertical="center" wrapText="1" shrinkToFit="1"/>
    </xf>
    <xf numFmtId="0" fontId="0" fillId="3" borderId="19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 shrinkToFit="1"/>
    </xf>
    <xf numFmtId="0" fontId="0" fillId="5" borderId="0" xfId="0" applyFill="1" applyAlignment="1">
      <alignment horizontal="center" vertical="center" shrinkToFit="1"/>
    </xf>
    <xf numFmtId="0" fontId="0" fillId="5" borderId="11" xfId="0" applyFill="1" applyBorder="1" applyAlignment="1">
      <alignment horizontal="center" vertical="center" shrinkToFit="1"/>
    </xf>
    <xf numFmtId="0" fontId="0" fillId="10" borderId="29" xfId="0" applyFill="1" applyBorder="1" applyAlignment="1">
      <alignment horizontal="center" vertical="center" shrinkToFit="1"/>
    </xf>
    <xf numFmtId="0" fontId="0" fillId="10" borderId="63" xfId="0" applyFill="1" applyBorder="1" applyAlignment="1">
      <alignment horizontal="center" vertical="center" shrinkToFit="1"/>
    </xf>
    <xf numFmtId="0" fontId="0" fillId="10" borderId="32" xfId="0" applyFill="1" applyBorder="1" applyAlignment="1">
      <alignment horizontal="center" vertical="center" shrinkToFit="1"/>
    </xf>
    <xf numFmtId="0" fontId="0" fillId="10" borderId="11" xfId="0" applyFill="1" applyBorder="1" applyAlignment="1">
      <alignment horizontal="center" vertical="center" shrinkToFit="1"/>
    </xf>
    <xf numFmtId="0" fontId="0" fillId="10" borderId="22" xfId="0" applyFill="1" applyBorder="1" applyAlignment="1">
      <alignment horizontal="center" vertical="center" shrinkToFit="1"/>
    </xf>
    <xf numFmtId="0" fontId="0" fillId="10" borderId="14" xfId="0" applyFill="1" applyBorder="1" applyAlignment="1">
      <alignment horizontal="center" vertical="center" shrinkToFit="1"/>
    </xf>
    <xf numFmtId="0" fontId="0" fillId="10" borderId="64" xfId="0" applyFill="1" applyBorder="1" applyAlignment="1">
      <alignment horizontal="center" vertical="center" shrinkToFit="1"/>
    </xf>
    <xf numFmtId="0" fontId="0" fillId="10" borderId="7" xfId="0" applyFill="1" applyBorder="1" applyAlignment="1">
      <alignment horizontal="center" vertical="center" shrinkToFit="1"/>
    </xf>
    <xf numFmtId="0" fontId="0" fillId="10" borderId="6" xfId="0" applyFill="1" applyBorder="1" applyAlignment="1">
      <alignment horizontal="center" vertical="center" shrinkToFit="1"/>
    </xf>
    <xf numFmtId="0" fontId="0" fillId="4" borderId="31" xfId="0" applyFill="1" applyBorder="1" applyAlignment="1">
      <alignment horizontal="center" vertical="center" wrapText="1" shrinkToFit="1"/>
    </xf>
    <xf numFmtId="0" fontId="0" fillId="4" borderId="33" xfId="0" applyFill="1" applyBorder="1" applyAlignment="1">
      <alignment horizontal="center" vertical="center" wrapText="1" shrinkToFit="1"/>
    </xf>
    <xf numFmtId="0" fontId="0" fillId="4" borderId="23" xfId="0" applyFill="1" applyBorder="1" applyAlignment="1">
      <alignment horizontal="center" vertical="center" wrapText="1" shrinkToFit="1"/>
    </xf>
    <xf numFmtId="0" fontId="0" fillId="9" borderId="7" xfId="0" applyFill="1" applyBorder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0" fillId="9" borderId="11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 wrapText="1"/>
    </xf>
    <xf numFmtId="0" fontId="0" fillId="8" borderId="11" xfId="0" applyFill="1" applyBorder="1" applyAlignment="1">
      <alignment horizontal="center" vertical="center" wrapText="1"/>
    </xf>
    <xf numFmtId="166" fontId="0" fillId="22" borderId="65" xfId="0" applyNumberFormat="1" applyFill="1" applyBorder="1" applyAlignment="1" applyProtection="1">
      <alignment horizontal="center" vertical="center" wrapText="1"/>
      <protection locked="0"/>
    </xf>
    <xf numFmtId="0" fontId="8" fillId="12" borderId="40" xfId="0" applyFont="1" applyFill="1" applyBorder="1" applyAlignment="1">
      <alignment horizontal="right"/>
    </xf>
    <xf numFmtId="0" fontId="8" fillId="12" borderId="42" xfId="0" applyFont="1" applyFill="1" applyBorder="1" applyAlignment="1">
      <alignment horizontal="right"/>
    </xf>
    <xf numFmtId="0" fontId="8" fillId="12" borderId="29" xfId="0" applyFont="1" applyFill="1" applyBorder="1" applyAlignment="1">
      <alignment horizontal="right"/>
    </xf>
    <xf numFmtId="0" fontId="8" fillId="12" borderId="30" xfId="0" applyFont="1" applyFill="1" applyBorder="1" applyAlignment="1">
      <alignment horizontal="right"/>
    </xf>
    <xf numFmtId="0" fontId="1" fillId="15" borderId="0" xfId="0" applyFont="1" applyFill="1" applyAlignment="1" applyProtection="1">
      <alignment horizontal="center"/>
      <protection locked="0"/>
    </xf>
    <xf numFmtId="0" fontId="6" fillId="0" borderId="0" xfId="2" applyAlignment="1">
      <alignment horizontal="center"/>
    </xf>
    <xf numFmtId="0" fontId="2" fillId="12" borderId="40" xfId="0" applyFont="1" applyFill="1" applyBorder="1" applyAlignment="1">
      <alignment horizontal="center"/>
    </xf>
    <xf numFmtId="0" fontId="2" fillId="12" borderId="42" xfId="0" applyFont="1" applyFill="1" applyBorder="1" applyAlignment="1">
      <alignment horizontal="center"/>
    </xf>
    <xf numFmtId="0" fontId="2" fillId="12" borderId="41" xfId="0" applyFont="1" applyFill="1" applyBorder="1" applyAlignment="1">
      <alignment horizontal="center"/>
    </xf>
    <xf numFmtId="0" fontId="0" fillId="12" borderId="40" xfId="0" applyFill="1" applyBorder="1" applyAlignment="1">
      <alignment horizontal="right" wrapText="1"/>
    </xf>
    <xf numFmtId="0" fontId="0" fillId="12" borderId="42" xfId="0" applyFill="1" applyBorder="1" applyAlignment="1">
      <alignment horizontal="right" wrapText="1"/>
    </xf>
    <xf numFmtId="0" fontId="0" fillId="12" borderId="41" xfId="0" applyFill="1" applyBorder="1" applyAlignment="1">
      <alignment horizontal="right" wrapText="1"/>
    </xf>
    <xf numFmtId="0" fontId="19" fillId="17" borderId="48" xfId="0" applyFont="1" applyFill="1" applyBorder="1" applyAlignment="1">
      <alignment horizontal="center" vertical="center" wrapText="1"/>
    </xf>
    <xf numFmtId="0" fontId="19" fillId="17" borderId="49" xfId="0" applyFont="1" applyFill="1" applyBorder="1" applyAlignment="1">
      <alignment horizontal="center" vertical="center" wrapText="1"/>
    </xf>
    <xf numFmtId="0" fontId="19" fillId="17" borderId="50" xfId="0" applyFont="1" applyFill="1" applyBorder="1" applyAlignment="1">
      <alignment horizontal="center" vertical="center" wrapText="1"/>
    </xf>
    <xf numFmtId="0" fontId="19" fillId="7" borderId="7" xfId="0" applyFont="1" applyFill="1" applyBorder="1" applyAlignment="1">
      <alignment horizontal="left" vertical="center"/>
    </xf>
    <xf numFmtId="0" fontId="19" fillId="7" borderId="0" xfId="0" applyFont="1" applyFill="1" applyAlignment="1">
      <alignment horizontal="left" vertical="center"/>
    </xf>
    <xf numFmtId="0" fontId="11" fillId="0" borderId="31" xfId="0" applyFont="1" applyBorder="1" applyAlignment="1">
      <alignment horizontal="center" vertical="center" wrapText="1"/>
    </xf>
    <xf numFmtId="0" fontId="11" fillId="0" borderId="33" xfId="0" applyFont="1" applyBorder="1" applyAlignment="1">
      <alignment horizontal="center" vertical="center" wrapText="1"/>
    </xf>
    <xf numFmtId="0" fontId="11" fillId="0" borderId="35" xfId="0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wrapText="1"/>
    </xf>
    <xf numFmtId="0" fontId="11" fillId="0" borderId="0" xfId="0" applyFont="1" applyAlignment="1">
      <alignment horizontal="center" wrapText="1"/>
    </xf>
    <xf numFmtId="0" fontId="11" fillId="0" borderId="34" xfId="0" applyFont="1" applyBorder="1" applyAlignment="1">
      <alignment horizontal="center" wrapText="1"/>
    </xf>
    <xf numFmtId="0" fontId="11" fillId="0" borderId="29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11" fillId="0" borderId="37" xfId="0" applyFont="1" applyBorder="1" applyAlignment="1">
      <alignment horizontal="center" vertical="center" wrapText="1"/>
    </xf>
    <xf numFmtId="0" fontId="11" fillId="0" borderId="38" xfId="0" applyFont="1" applyBorder="1" applyAlignment="1">
      <alignment horizontal="center" vertical="center" wrapText="1"/>
    </xf>
    <xf numFmtId="0" fontId="11" fillId="0" borderId="45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 shrinkToFit="1"/>
    </xf>
    <xf numFmtId="0" fontId="1" fillId="0" borderId="38" xfId="0" applyFont="1" applyBorder="1" applyAlignment="1">
      <alignment horizontal="center" vertical="center" wrapText="1" shrinkToFit="1"/>
    </xf>
    <xf numFmtId="0" fontId="19" fillId="17" borderId="51" xfId="0" applyFont="1" applyFill="1" applyBorder="1" applyAlignment="1">
      <alignment horizontal="center" vertical="center" wrapText="1"/>
    </xf>
    <xf numFmtId="0" fontId="19" fillId="17" borderId="5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8" fillId="17" borderId="0" xfId="0" applyFont="1" applyFill="1" applyAlignment="1">
      <alignment horizontal="center" vertical="center" wrapText="1"/>
    </xf>
    <xf numFmtId="0" fontId="8" fillId="17" borderId="3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2" fillId="17" borderId="1" xfId="0" applyNumberFormat="1" applyFont="1" applyFill="1" applyBorder="1" applyAlignment="1">
      <alignment horizontal="center" vertical="center"/>
    </xf>
    <xf numFmtId="0" fontId="0" fillId="15" borderId="10" xfId="0" applyNumberFormat="1" applyFill="1" applyBorder="1" applyAlignment="1" applyProtection="1">
      <alignment horizontal="center" vertical="center"/>
      <protection locked="0"/>
    </xf>
    <xf numFmtId="2" fontId="2" fillId="0" borderId="0" xfId="0" applyNumberFormat="1" applyFont="1"/>
    <xf numFmtId="0" fontId="8" fillId="12" borderId="30" xfId="1" applyNumberFormat="1" applyFont="1" applyFill="1" applyBorder="1"/>
    <xf numFmtId="2" fontId="8" fillId="12" borderId="42" xfId="1" applyNumberFormat="1" applyFont="1" applyFill="1" applyBorder="1"/>
  </cellXfs>
  <cellStyles count="6">
    <cellStyle name="Lien hypertexte" xfId="2" builtinId="8"/>
    <cellStyle name="Milliers" xfId="3" builtinId="3"/>
    <cellStyle name="Normal" xfId="0" builtinId="0"/>
    <cellStyle name="Normal 3" xfId="5" xr:uid="{8546CFBC-848B-3641-9AE7-5D8423A48B8B}"/>
    <cellStyle name="Normal 5" xfId="4" xr:uid="{6DB0892A-6A16-A647-B2DC-17CE45CF027D}"/>
    <cellStyle name="Pourcentage" xfId="1" builtinId="5"/>
  </cellStyles>
  <dxfs count="1">
    <dxf>
      <fill>
        <patternFill>
          <bgColor theme="9" tint="-0.24994659260841701"/>
        </patternFill>
      </fill>
    </dxf>
  </dxfs>
  <tableStyles count="0" defaultTableStyle="TableStyleMedium2" defaultPivotStyle="PivotStyleLight16"/>
  <colors>
    <mruColors>
      <color rgb="FF000000"/>
      <color rgb="FFEAF4E4"/>
      <color rgb="FFFF5050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542925</xdr:colOff>
      <xdr:row>0</xdr:row>
      <xdr:rowOff>99060</xdr:rowOff>
    </xdr:from>
    <xdr:to>
      <xdr:col>2</xdr:col>
      <xdr:colOff>393576</xdr:colOff>
      <xdr:row>4</xdr:row>
      <xdr:rowOff>35058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51C51787-9A34-4278-ABC7-07A38DDA8E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2925" y="99060"/>
          <a:ext cx="1435611" cy="1421898"/>
        </a:xfrm>
        <a:prstGeom prst="rect">
          <a:avLst/>
        </a:prstGeom>
        <a:solidFill>
          <a:schemeClr val="bg1"/>
        </a:solidFill>
        <a:ln cap="flat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Etienne%20DUCLOS/Dropbox/Mon%20PC%20(DESKTOP-EPMCITF)/Documents/SYSFARM/Carbone/Tableau-agriculteurs-V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/Projets%20R&amp;D/LabelBasCarbone/AAP%20BonDiagnosticCarbone/Diagnostics%20et%20PlanAction%20AGROSTRANFERT/PORTAL%20Pierrick/Synth&#232;se_v3.5_PORTAL_Pierric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tions réf."/>
      <sheetName val="Syst. de cult. 1 réf."/>
      <sheetName val="Syst. de cult. 1 pro."/>
      <sheetName val="Syst. de cult. 2 réf."/>
      <sheetName val="Syst. de cult. 2 pro."/>
      <sheetName val="Syst. de cult. 3 réf."/>
      <sheetName val="Syst. de cult. 3 pro."/>
      <sheetName val="Table des leviers"/>
      <sheetName val="Listes déroulantes"/>
      <sheetName val="Feuil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R1" t="str">
            <v xml:space="preserve"> </v>
          </cell>
          <cell r="S1" t="str">
            <v>Avoine hiver</v>
          </cell>
          <cell r="T1" t="str">
            <v>Avoine pl entière (Dérobées)</v>
          </cell>
          <cell r="U1" t="str">
            <v>Avoine printemps</v>
          </cell>
          <cell r="V1" t="str">
            <v>Betterave fourragère</v>
          </cell>
          <cell r="W1" t="str">
            <v>Betterave sucrière</v>
          </cell>
          <cell r="X1" t="str">
            <v>Blé dur</v>
          </cell>
          <cell r="Y1" t="str">
            <v>Blé hiver</v>
          </cell>
          <cell r="Z1" t="str">
            <v>Blé pl entière</v>
          </cell>
          <cell r="AA1" t="str">
            <v>Blé printemps</v>
          </cell>
          <cell r="AB1" t="str">
            <v>Cameline</v>
          </cell>
          <cell r="AC1" t="str">
            <v>Cameline (Dérobées)</v>
          </cell>
          <cell r="AD1" t="str">
            <v>Carotte industrielle petite</v>
          </cell>
          <cell r="AE1" t="str">
            <v>Carotte légumière</v>
          </cell>
          <cell r="AF1" t="str">
            <v>Chanvre Fibres</v>
          </cell>
          <cell r="AG1" t="str">
            <v>Chenevis</v>
          </cell>
          <cell r="AH1" t="str">
            <v>Chicorée</v>
          </cell>
          <cell r="AI1" t="str">
            <v>Chou brocoli</v>
          </cell>
          <cell r="AJ1" t="str">
            <v>Chou Bruxelles</v>
          </cell>
          <cell r="AK1" t="str">
            <v>Chou fleur</v>
          </cell>
          <cell r="AL1" t="str">
            <v>Chou fourrager</v>
          </cell>
          <cell r="AM1" t="str">
            <v>Chou pommé</v>
          </cell>
          <cell r="AN1" t="str">
            <v>Colza (Dérobées)</v>
          </cell>
          <cell r="AO1" t="str">
            <v>Colza Associe</v>
          </cell>
          <cell r="AP1" t="str">
            <v>Colza Associe Legumineuse</v>
          </cell>
          <cell r="AQ1" t="str">
            <v>Colza hiver</v>
          </cell>
          <cell r="AR1" t="str">
            <v>Colza printemps</v>
          </cell>
          <cell r="AS1" t="str">
            <v>Endive</v>
          </cell>
          <cell r="AT1" t="str">
            <v>Epinard</v>
          </cell>
          <cell r="AU1" t="str">
            <v>Epinard (Dérobées)</v>
          </cell>
          <cell r="AV1" t="str">
            <v>Escourgeon</v>
          </cell>
          <cell r="AW1" t="str">
            <v>Féverole</v>
          </cell>
          <cell r="AX1" t="str">
            <v>Féverole pl entière (Dérobées)</v>
          </cell>
          <cell r="AY1" t="str">
            <v>Haricot flageolet</v>
          </cell>
          <cell r="AZ1" t="str">
            <v>Haricot vert</v>
          </cell>
          <cell r="BA1" t="str">
            <v>Haricot vert (Dérobées)</v>
          </cell>
          <cell r="BB1" t="str">
            <v>Laitue</v>
          </cell>
          <cell r="BC1" t="str">
            <v>Lentille</v>
          </cell>
          <cell r="BD1" t="str">
            <v>Lin fibre</v>
          </cell>
          <cell r="BE1" t="str">
            <v>Lin oléagineux</v>
          </cell>
          <cell r="BF1" t="str">
            <v>Lupin</v>
          </cell>
          <cell r="BG1" t="str">
            <v>Luzerne</v>
          </cell>
          <cell r="BH1" t="str">
            <v>Luzerne 2 ans foin</v>
          </cell>
          <cell r="BI1" t="str">
            <v>Luzerne ensilée 35%MS</v>
          </cell>
          <cell r="BJ1" t="str">
            <v>Maïs ensilage (Dérobées)</v>
          </cell>
          <cell r="BK1" t="str">
            <v>Maïs fourrage 30%MS</v>
          </cell>
          <cell r="BL1" t="str">
            <v>Maïs grain</v>
          </cell>
          <cell r="BM1" t="str">
            <v>Maïs grain (Dérobées)</v>
          </cell>
          <cell r="BN1" t="str">
            <v>Mélange d'espèces (Dérobées)</v>
          </cell>
          <cell r="BO1" t="str">
            <v>Mélange Gram&amp;Lég</v>
          </cell>
          <cell r="BP1" t="str">
            <v>Foin</v>
          </cell>
          <cell r="BQ1" t="str">
            <v>Méteil</v>
          </cell>
          <cell r="BR1" t="str">
            <v>Méteil (Dérobées)</v>
          </cell>
          <cell r="BS1" t="str">
            <v>Moutarde</v>
          </cell>
          <cell r="BT1" t="str">
            <v>Moutarde (Dérobées)</v>
          </cell>
          <cell r="BU1" t="str">
            <v>Moutarde Brune graine</v>
          </cell>
          <cell r="BV1" t="str">
            <v>Navette (Dérobées)</v>
          </cell>
          <cell r="BW1" t="str">
            <v>Oignon</v>
          </cell>
          <cell r="BX1" t="str">
            <v>Orge grain (Dérobées)</v>
          </cell>
          <cell r="BY1" t="str">
            <v>Orge hiver</v>
          </cell>
          <cell r="BZ1" t="str">
            <v>Orge pl entière (Dérobées)</v>
          </cell>
          <cell r="CA1" t="str">
            <v>Orge printemps</v>
          </cell>
          <cell r="CB1" t="str">
            <v>Phacélie (Dérobées)</v>
          </cell>
          <cell r="CC1" t="str">
            <v>Pois Chiche</v>
          </cell>
          <cell r="CD1" t="str">
            <v>Pois de conserve</v>
          </cell>
          <cell r="CE1" t="str">
            <v>Pois de conserve (Dérobées)</v>
          </cell>
          <cell r="CF1" t="str">
            <v>Pois protéagineux</v>
          </cell>
          <cell r="CG1" t="str">
            <v>Pomme de terre conso</v>
          </cell>
          <cell r="CH1" t="str">
            <v>Pomme de terre conso (Dérobées)</v>
          </cell>
          <cell r="CI1" t="str">
            <v>Pomme de terre fécule</v>
          </cell>
          <cell r="CJ1" t="str">
            <v>Pomme de terre plant</v>
          </cell>
          <cell r="CK1" t="str">
            <v>Ray grass anglais</v>
          </cell>
          <cell r="CL1" t="str">
            <v>Ray grass d'Italie</v>
          </cell>
          <cell r="CM1" t="str">
            <v>RGI (Dérobées)</v>
          </cell>
          <cell r="CN1" t="str">
            <v>Sarrasin</v>
          </cell>
          <cell r="CO1" t="str">
            <v>Sarrasin Seigle pl entière (Dérobées)</v>
          </cell>
          <cell r="CP1" t="str">
            <v>Seigle</v>
          </cell>
          <cell r="CQ1" t="str">
            <v>Soja</v>
          </cell>
          <cell r="CR1" t="str">
            <v>Soja grain (Dérobées)</v>
          </cell>
          <cell r="CS1" t="str">
            <v>Sorgho</v>
          </cell>
          <cell r="CT1" t="str">
            <v>Tournesol</v>
          </cell>
          <cell r="CU1" t="str">
            <v>Tournesol grain (Dérobées)</v>
          </cell>
          <cell r="CV1" t="str">
            <v>Trèfle (Dérobées)</v>
          </cell>
          <cell r="CW1" t="str">
            <v>Triticale</v>
          </cell>
        </row>
      </sheetData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 "/>
      <sheetName val="Préparation TéléPAC"/>
      <sheetName val="Recap_Sc. REFERENCE + SdC"/>
      <sheetName val="Recap PROJET + Diagnostic"/>
      <sheetName val="pdf SYNTHESE"/>
      <sheetName val="Leviers"/>
      <sheetName val="Output_BDC_ADEME"/>
      <sheetName val="Listes"/>
    </sheetNames>
    <sheetDataSet>
      <sheetData sheetId="0" refreshError="1"/>
      <sheetData sheetId="1" refreshError="1"/>
      <sheetData sheetId="2" refreshError="1">
        <row r="3">
          <cell r="C3">
            <v>149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alim.agriculture.gouv.fr/ift/bilan-ift/2018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O15"/>
  <sheetViews>
    <sheetView zoomScaleNormal="100" workbookViewId="0">
      <selection activeCell="E17" sqref="E17"/>
    </sheetView>
  </sheetViews>
  <sheetFormatPr baseColWidth="10" defaultColWidth="11.5" defaultRowHeight="15" x14ac:dyDescent="0.2"/>
  <cols>
    <col min="1" max="5" width="11.5" style="91"/>
    <col min="6" max="6" width="11.5" style="91" customWidth="1"/>
    <col min="7" max="8" width="11.5" style="91"/>
    <col min="9" max="9" width="11.5" style="91" customWidth="1"/>
    <col min="10" max="16384" width="11.5" style="91"/>
  </cols>
  <sheetData>
    <row r="2" spans="2:15" x14ac:dyDescent="0.2">
      <c r="D2" s="91" t="s">
        <v>0</v>
      </c>
    </row>
    <row r="4" spans="2:15" ht="74" customHeight="1" x14ac:dyDescent="0.2">
      <c r="D4" s="261" t="s">
        <v>1</v>
      </c>
      <c r="E4" s="261"/>
      <c r="F4" s="261"/>
      <c r="G4" s="261"/>
      <c r="H4" s="261"/>
      <c r="I4" s="261"/>
      <c r="J4" s="261"/>
      <c r="K4" s="261"/>
      <c r="L4" s="261"/>
      <c r="M4" s="261"/>
      <c r="N4" s="261"/>
      <c r="O4" s="261"/>
    </row>
    <row r="8" spans="2:15" x14ac:dyDescent="0.2">
      <c r="B8" s="98"/>
      <c r="C8" s="91" t="s">
        <v>2</v>
      </c>
    </row>
    <row r="9" spans="2:15" x14ac:dyDescent="0.2">
      <c r="C9" s="99" t="s">
        <v>3</v>
      </c>
    </row>
    <row r="11" spans="2:15" x14ac:dyDescent="0.2">
      <c r="B11" s="100"/>
      <c r="C11" s="91" t="s">
        <v>4</v>
      </c>
    </row>
    <row r="13" spans="2:15" x14ac:dyDescent="0.2">
      <c r="B13" s="101"/>
      <c r="C13" s="91" t="s">
        <v>5</v>
      </c>
    </row>
    <row r="15" spans="2:15" x14ac:dyDescent="0.2">
      <c r="C15" s="91" t="s">
        <v>6</v>
      </c>
    </row>
  </sheetData>
  <mergeCells count="1">
    <mergeCell ref="D4:O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S32"/>
  <sheetViews>
    <sheetView tabSelected="1" zoomScaleNormal="85" workbookViewId="0">
      <selection activeCell="G31" sqref="G31"/>
    </sheetView>
  </sheetViews>
  <sheetFormatPr baseColWidth="10" defaultColWidth="11.5" defaultRowHeight="15" x14ac:dyDescent="0.2"/>
  <cols>
    <col min="1" max="1" width="11.5" style="91"/>
    <col min="2" max="2" width="75.1640625" style="91" bestFit="1" customWidth="1"/>
    <col min="3" max="3" width="11.5" style="91"/>
    <col min="4" max="4" width="15.83203125" style="91" customWidth="1"/>
    <col min="5" max="5" width="21.83203125" style="91" bestFit="1" customWidth="1"/>
    <col min="6" max="6" width="16.1640625" style="91" bestFit="1" customWidth="1"/>
    <col min="7" max="7" width="23.1640625" style="91" bestFit="1" customWidth="1"/>
    <col min="8" max="8" width="13.5" style="91" bestFit="1" customWidth="1"/>
    <col min="9" max="9" width="16.5" style="91" customWidth="1"/>
    <col min="10" max="19" width="11.5" style="91"/>
    <col min="20" max="20" width="19.83203125" style="91" customWidth="1"/>
    <col min="21" max="16384" width="11.5" style="91"/>
  </cols>
  <sheetData>
    <row r="2" spans="2:15" ht="16" thickBot="1" x14ac:dyDescent="0.25">
      <c r="B2" s="102" t="s">
        <v>7</v>
      </c>
    </row>
    <row r="3" spans="2:15" ht="16" thickBot="1" x14ac:dyDescent="0.25">
      <c r="B3" s="91" t="s">
        <v>8</v>
      </c>
      <c r="D3" s="103">
        <f>'GES AVANT NOTIFICATION'!AX45</f>
        <v>1140.14741596</v>
      </c>
      <c r="E3" s="91" t="s">
        <v>9</v>
      </c>
      <c r="G3" s="259">
        <f>D3/5/AVERAGE('SUIVI RABAIS PRODUCTION ET C '!D9:H9)</f>
        <v>1.1914762111357271</v>
      </c>
      <c r="H3" s="91" t="s">
        <v>10</v>
      </c>
    </row>
    <row r="4" spans="2:15" ht="16" thickBot="1" x14ac:dyDescent="0.25">
      <c r="D4" s="147"/>
      <c r="G4" s="150"/>
    </row>
    <row r="5" spans="2:15" ht="16" thickBot="1" x14ac:dyDescent="0.25">
      <c r="B5" s="91" t="s">
        <v>11</v>
      </c>
      <c r="D5" s="103">
        <f>'GES APRES NOTIFICATION '!AX45</f>
        <v>669.67429763031782</v>
      </c>
      <c r="E5" s="91" t="s">
        <v>9</v>
      </c>
      <c r="G5" s="259">
        <f>D5/5/AVERAGE('SUIVI RABAIS PRODUCTION ET C '!O9:S9)</f>
        <v>0.78356555037771936</v>
      </c>
      <c r="H5" s="91" t="s">
        <v>10</v>
      </c>
    </row>
    <row r="7" spans="2:15" ht="16" thickBot="1" x14ac:dyDescent="0.25">
      <c r="B7" s="262" t="s">
        <v>12</v>
      </c>
      <c r="C7" s="262"/>
      <c r="D7" s="262"/>
      <c r="E7" s="262"/>
      <c r="F7" s="262"/>
    </row>
    <row r="8" spans="2:15" ht="16" thickBot="1" x14ac:dyDescent="0.25">
      <c r="B8" s="262"/>
      <c r="C8" s="262"/>
      <c r="D8" s="262"/>
      <c r="E8" s="262"/>
      <c r="F8" s="262"/>
      <c r="G8" s="103">
        <f>G3-G5</f>
        <v>0.40791066075800775</v>
      </c>
      <c r="H8" s="91" t="s">
        <v>10</v>
      </c>
    </row>
    <row r="9" spans="2:15" x14ac:dyDescent="0.2">
      <c r="B9" s="164"/>
      <c r="C9" s="164"/>
      <c r="D9" s="164"/>
      <c r="E9" s="164"/>
      <c r="F9" s="164"/>
      <c r="L9"/>
    </row>
    <row r="10" spans="2:15" ht="16" thickBot="1" x14ac:dyDescent="0.25">
      <c r="E10" s="105" t="s">
        <v>249</v>
      </c>
      <c r="F10" s="104"/>
    </row>
    <row r="11" spans="2:15" ht="16" thickBot="1" x14ac:dyDescent="0.25">
      <c r="B11" s="91" t="s">
        <v>248</v>
      </c>
      <c r="E11" s="106" t="str">
        <f>IF(G11&gt;=0.3,"O","N")</f>
        <v>O</v>
      </c>
      <c r="G11" s="171">
        <f>('GES AVANT NOTIFICATION'!EI24-'GES APRES NOTIFICATION '!EI24)/'GES AVANT NOTIFICATION'!EI24</f>
        <v>0.41607000296600172</v>
      </c>
    </row>
    <row r="12" spans="2:15" x14ac:dyDescent="0.2">
      <c r="B12" s="102"/>
    </row>
    <row r="13" spans="2:15" x14ac:dyDescent="0.2">
      <c r="B13" s="102" t="s">
        <v>13</v>
      </c>
      <c r="O13" s="148"/>
    </row>
    <row r="15" spans="2:15" ht="16" thickBot="1" x14ac:dyDescent="0.25">
      <c r="B15" s="102"/>
      <c r="E15" s="105" t="s">
        <v>14</v>
      </c>
      <c r="G15" s="105" t="s">
        <v>15</v>
      </c>
    </row>
    <row r="16" spans="2:15" ht="16" thickBot="1" x14ac:dyDescent="0.25">
      <c r="B16" s="91" t="s">
        <v>16</v>
      </c>
      <c r="E16" s="106" t="str">
        <f>IF('CO-BENEFICES '!L22="le co-bénéfice préservation de la ressource en eau n'est pas effectif", "N", "O")</f>
        <v>O</v>
      </c>
      <c r="G16" s="107">
        <f>'CO-BENEFICES '!P26</f>
        <v>0</v>
      </c>
    </row>
    <row r="17" spans="2:19" ht="16" thickBot="1" x14ac:dyDescent="0.25">
      <c r="B17" s="91" t="s">
        <v>17</v>
      </c>
      <c r="E17" s="106" t="str">
        <f>IF(AND('CO-BENEFICES '!M13="les co-bénéfices basés sur les herbicides ne sont pas validés", 'CO-BENEFICES '!M16="les co-bénéfices basés sur les non-herbicides ne sont pas validés"), "N", "O")</f>
        <v>O</v>
      </c>
      <c r="G17" s="106">
        <f>IF(E17="N", "/", 'CO-BENEFICES '!R18+'CO-BENEFICES '!R19)</f>
        <v>5</v>
      </c>
    </row>
    <row r="18" spans="2:19" ht="16" thickBot="1" x14ac:dyDescent="0.25">
      <c r="B18" s="91" t="s">
        <v>18</v>
      </c>
      <c r="E18" s="106" t="str">
        <f>IF(AND('CO-BENEFICES '!M13="les co-bénéfices basés sur les herbicides ne sont pas validés", 'CO-BENEFICES '!M16="les co-bénéfices basés sur les non-herbicides ne sont pas validés"), "N", "O")</f>
        <v>O</v>
      </c>
      <c r="G18" s="108">
        <f>IF(E18="N", "/", 'CO-BENEFICES '!R18+'CO-BENEFICES '!R19)</f>
        <v>5</v>
      </c>
    </row>
    <row r="20" spans="2:19" x14ac:dyDescent="0.2">
      <c r="B20" s="102" t="s">
        <v>19</v>
      </c>
    </row>
    <row r="21" spans="2:19" ht="16" thickBot="1" x14ac:dyDescent="0.25">
      <c r="B21" s="102"/>
    </row>
    <row r="22" spans="2:19" ht="17.25" customHeight="1" thickBot="1" x14ac:dyDescent="0.25">
      <c r="B22" s="91" t="s">
        <v>244</v>
      </c>
      <c r="E22" s="106" t="str">
        <f>'SUIVI RABAIS PRODUCTION ET C '!C75</f>
        <v>Ni rabais ni bonus</v>
      </c>
      <c r="G22" s="171">
        <f>'SUIVI RABAIS PRODUCTION ET C '!D75</f>
        <v>0</v>
      </c>
    </row>
    <row r="23" spans="2:19" x14ac:dyDescent="0.2">
      <c r="B23" s="102"/>
    </row>
    <row r="24" spans="2:19" ht="16" thickBot="1" x14ac:dyDescent="0.25">
      <c r="E24" s="105" t="s">
        <v>20</v>
      </c>
      <c r="F24" s="105"/>
      <c r="G24" s="105" t="s">
        <v>21</v>
      </c>
      <c r="M24"/>
      <c r="N24"/>
      <c r="O24" s="144"/>
      <c r="P24" s="185"/>
      <c r="Q24" s="144"/>
      <c r="R24" s="144"/>
      <c r="S24" s="144"/>
    </row>
    <row r="25" spans="2:19" ht="16" thickBot="1" x14ac:dyDescent="0.25">
      <c r="B25" s="91" t="s">
        <v>22</v>
      </c>
      <c r="E25" s="106" t="str">
        <f>IF('SUIVI RABAIS PRODUCTION ET C '!M64="O","Rabais","/")</f>
        <v>/</v>
      </c>
      <c r="G25" s="171"/>
      <c r="H25" s="163"/>
      <c r="L25" s="163"/>
      <c r="M25"/>
      <c r="N25"/>
      <c r="O25"/>
      <c r="P25" s="186"/>
      <c r="Q25"/>
      <c r="R25"/>
      <c r="S25"/>
    </row>
    <row r="26" spans="2:19" ht="16" thickBot="1" x14ac:dyDescent="0.25">
      <c r="B26" s="91" t="s">
        <v>23</v>
      </c>
      <c r="E26" s="106" t="str">
        <f>IF('SUIVI RABAIS PRODUCTION ET C '!M66="O","Rabais","/")</f>
        <v>/</v>
      </c>
      <c r="G26" s="171"/>
      <c r="H26" s="163"/>
      <c r="L26" s="163"/>
      <c r="M26"/>
      <c r="N26"/>
      <c r="O26"/>
      <c r="P26" s="186"/>
      <c r="Q26"/>
      <c r="R26"/>
      <c r="S26"/>
    </row>
    <row r="27" spans="2:19" ht="16" thickBot="1" x14ac:dyDescent="0.25">
      <c r="B27" s="91" t="s">
        <v>24</v>
      </c>
      <c r="E27" s="108" t="str">
        <f>'SUIVI RABAIS PRODUCTION ET C '!AO21</f>
        <v>Ni rabais ni bonus</v>
      </c>
      <c r="F27" s="91" t="str">
        <f>'SUIVI RABAIS PRODUCTION ET C '!AO21</f>
        <v>Ni rabais ni bonus</v>
      </c>
      <c r="G27" s="171"/>
      <c r="H27" s="163"/>
      <c r="L27" s="163"/>
      <c r="M27"/>
      <c r="N27"/>
      <c r="O27"/>
      <c r="P27" s="186"/>
      <c r="Q27"/>
      <c r="R27"/>
      <c r="S27"/>
    </row>
    <row r="28" spans="2:19" ht="16" thickBot="1" x14ac:dyDescent="0.25">
      <c r="B28" s="91" t="s">
        <v>25</v>
      </c>
      <c r="E28" s="106" t="str">
        <f>'SUIVI RABAIS PRODUCTION ET C '!I54</f>
        <v>Ni rabais ni bonus</v>
      </c>
      <c r="F28" s="91" t="str">
        <f>'SUIVI RABAIS PRODUCTION ET C '!I54</f>
        <v>Ni rabais ni bonus</v>
      </c>
      <c r="G28" s="171"/>
      <c r="H28" s="163"/>
      <c r="L28" s="163"/>
      <c r="M28"/>
      <c r="N28"/>
      <c r="O28"/>
      <c r="P28" s="186"/>
      <c r="Q28"/>
      <c r="R28"/>
      <c r="S28"/>
    </row>
    <row r="29" spans="2:19" x14ac:dyDescent="0.2">
      <c r="R29" s="163"/>
    </row>
    <row r="30" spans="2:19" ht="16" thickBot="1" x14ac:dyDescent="0.25">
      <c r="B30" s="102" t="s">
        <v>26</v>
      </c>
      <c r="R30" s="163"/>
    </row>
    <row r="31" spans="2:19" ht="16" thickBot="1" x14ac:dyDescent="0.25">
      <c r="B31" s="91" t="str">
        <f>IF(AND(E11="O",E16="O",E17="O",E18="O"),"Les réductions d'émissions sont validables et atteignent","Les réductions d'émissions ne sont pas validables")</f>
        <v>Les réductions d'émissions sont validables et atteignent</v>
      </c>
      <c r="G31" s="260">
        <f>IF(B31="Les réductions d'émissions ne sont pas validables", "/", (D3-D5)*(1+G25)*(1+G26)*(1+G27)*(1+G28))</f>
        <v>470.47311832968217</v>
      </c>
      <c r="R31" s="163"/>
    </row>
    <row r="32" spans="2:19" x14ac:dyDescent="0.2">
      <c r="G32" s="150"/>
    </row>
  </sheetData>
  <mergeCells count="1">
    <mergeCell ref="B7:F8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6E2F6-2BB9-4860-BCD9-D864E70D2CA7}">
  <dimension ref="A1:F126"/>
  <sheetViews>
    <sheetView workbookViewId="0">
      <selection activeCell="E12" sqref="E12"/>
    </sheetView>
  </sheetViews>
  <sheetFormatPr baseColWidth="10" defaultRowHeight="15" x14ac:dyDescent="0.2"/>
  <cols>
    <col min="2" max="2" width="9.33203125" bestFit="1" customWidth="1"/>
    <col min="3" max="3" width="24.1640625" bestFit="1" customWidth="1"/>
    <col min="4" max="4" width="12.83203125" bestFit="1" customWidth="1"/>
    <col min="5" max="5" width="24.1640625" style="4" bestFit="1" customWidth="1"/>
    <col min="6" max="6" width="24.1640625" bestFit="1" customWidth="1"/>
  </cols>
  <sheetData>
    <row r="1" spans="1:6" ht="16" thickBot="1" x14ac:dyDescent="0.25">
      <c r="C1" s="244" t="s">
        <v>257</v>
      </c>
      <c r="D1" s="237" t="s">
        <v>258</v>
      </c>
      <c r="E1" s="237" t="s">
        <v>259</v>
      </c>
      <c r="F1" s="237" t="s">
        <v>260</v>
      </c>
    </row>
    <row r="2" spans="1:6" x14ac:dyDescent="0.2">
      <c r="A2" s="263" t="s">
        <v>286</v>
      </c>
      <c r="B2" s="226" t="s">
        <v>261</v>
      </c>
      <c r="C2" s="240" t="e">
        <f>#REF!</f>
        <v>#REF!</v>
      </c>
      <c r="D2" s="243" t="e">
        <f>NOT(C2=0)</f>
        <v>#REF!</v>
      </c>
      <c r="E2" s="60" t="e" cm="1">
        <f t="array" ref="E2">_xlfn._xlws.FILTER(C2:C126,NOT(C2:C126=0))</f>
        <v>#REF!</v>
      </c>
      <c r="F2" s="238" t="e" cm="1">
        <f t="array" ref="F2">_xlfn._xlws.SORT(_xlfn.UNIQUE(_xlfn._xlws.FILTER(C2:C126,NOT(C2:C126=0))))</f>
        <v>#REF!</v>
      </c>
    </row>
    <row r="3" spans="1:6" x14ac:dyDescent="0.2">
      <c r="A3" s="264"/>
      <c r="B3" s="1" t="s">
        <v>262</v>
      </c>
      <c r="C3" s="54" t="e">
        <f>#REF!</f>
        <v>#REF!</v>
      </c>
      <c r="D3" s="243" t="e">
        <f t="shared" ref="D3:D66" si="0">NOT(C3=0)</f>
        <v>#REF!</v>
      </c>
      <c r="E3" s="60"/>
      <c r="F3" s="53"/>
    </row>
    <row r="4" spans="1:6" x14ac:dyDescent="0.2">
      <c r="A4" s="264"/>
      <c r="B4" s="1" t="s">
        <v>263</v>
      </c>
      <c r="C4" s="54" t="e">
        <f>#REF!</f>
        <v>#REF!</v>
      </c>
      <c r="D4" s="243" t="e">
        <f t="shared" si="0"/>
        <v>#REF!</v>
      </c>
      <c r="E4" s="60"/>
      <c r="F4" s="53"/>
    </row>
    <row r="5" spans="1:6" x14ac:dyDescent="0.2">
      <c r="A5" s="264"/>
      <c r="B5" s="1" t="s">
        <v>264</v>
      </c>
      <c r="C5" s="54" t="e">
        <f>#REF!</f>
        <v>#REF!</v>
      </c>
      <c r="D5" s="243" t="e">
        <f t="shared" si="0"/>
        <v>#REF!</v>
      </c>
      <c r="E5" s="60"/>
      <c r="F5" s="53"/>
    </row>
    <row r="6" spans="1:6" x14ac:dyDescent="0.2">
      <c r="A6" s="264"/>
      <c r="B6" s="1" t="s">
        <v>265</v>
      </c>
      <c r="C6" s="54" t="e">
        <f>#REF!</f>
        <v>#REF!</v>
      </c>
      <c r="D6" s="243" t="e">
        <f t="shared" si="0"/>
        <v>#REF!</v>
      </c>
      <c r="E6" s="60"/>
      <c r="F6" s="53"/>
    </row>
    <row r="7" spans="1:6" x14ac:dyDescent="0.2">
      <c r="A7" s="264"/>
      <c r="B7" s="1" t="s">
        <v>266</v>
      </c>
      <c r="C7" s="54" t="e">
        <f>#REF!</f>
        <v>#REF!</v>
      </c>
      <c r="D7" s="243" t="e">
        <f t="shared" si="0"/>
        <v>#REF!</v>
      </c>
      <c r="E7" s="60"/>
      <c r="F7" s="53"/>
    </row>
    <row r="8" spans="1:6" x14ac:dyDescent="0.2">
      <c r="A8" s="264"/>
      <c r="B8" s="1" t="s">
        <v>267</v>
      </c>
      <c r="C8" s="54" t="e">
        <f>#REF!</f>
        <v>#REF!</v>
      </c>
      <c r="D8" s="243" t="e">
        <f t="shared" si="0"/>
        <v>#REF!</v>
      </c>
      <c r="F8" s="53"/>
    </row>
    <row r="9" spans="1:6" x14ac:dyDescent="0.2">
      <c r="A9" s="264"/>
      <c r="B9" s="1" t="s">
        <v>268</v>
      </c>
      <c r="C9" s="54" t="e">
        <f>#REF!</f>
        <v>#REF!</v>
      </c>
      <c r="D9" s="243" t="e">
        <f t="shared" si="0"/>
        <v>#REF!</v>
      </c>
      <c r="F9" s="53"/>
    </row>
    <row r="10" spans="1:6" x14ac:dyDescent="0.2">
      <c r="A10" s="264"/>
      <c r="B10" s="1" t="s">
        <v>269</v>
      </c>
      <c r="C10" s="54" t="e">
        <f>#REF!</f>
        <v>#REF!</v>
      </c>
      <c r="D10" s="243" t="e">
        <f t="shared" si="0"/>
        <v>#REF!</v>
      </c>
      <c r="F10" s="53"/>
    </row>
    <row r="11" spans="1:6" x14ac:dyDescent="0.2">
      <c r="A11" s="264"/>
      <c r="B11" s="1" t="s">
        <v>270</v>
      </c>
      <c r="C11" s="54" t="e">
        <f>#REF!</f>
        <v>#REF!</v>
      </c>
      <c r="D11" s="243" t="e">
        <f t="shared" si="0"/>
        <v>#REF!</v>
      </c>
    </row>
    <row r="12" spans="1:6" x14ac:dyDescent="0.2">
      <c r="A12" s="264"/>
      <c r="B12" s="1" t="s">
        <v>271</v>
      </c>
      <c r="C12" s="54" t="e">
        <f>#REF!</f>
        <v>#REF!</v>
      </c>
      <c r="D12" s="243" t="e">
        <f t="shared" si="0"/>
        <v>#REF!</v>
      </c>
    </row>
    <row r="13" spans="1:6" x14ac:dyDescent="0.2">
      <c r="A13" s="264"/>
      <c r="B13" s="1" t="s">
        <v>272</v>
      </c>
      <c r="C13" s="54" t="e">
        <f>#REF!</f>
        <v>#REF!</v>
      </c>
      <c r="D13" s="243" t="e">
        <f t="shared" si="0"/>
        <v>#REF!</v>
      </c>
    </row>
    <row r="14" spans="1:6" x14ac:dyDescent="0.2">
      <c r="A14" s="264"/>
      <c r="B14" s="1" t="s">
        <v>273</v>
      </c>
      <c r="C14" s="54" t="e">
        <f>#REF!</f>
        <v>#REF!</v>
      </c>
      <c r="D14" s="243" t="e">
        <f t="shared" si="0"/>
        <v>#REF!</v>
      </c>
    </row>
    <row r="15" spans="1:6" x14ac:dyDescent="0.2">
      <c r="A15" s="264"/>
      <c r="B15" s="1" t="s">
        <v>274</v>
      </c>
      <c r="C15" s="54" t="e">
        <f>#REF!</f>
        <v>#REF!</v>
      </c>
      <c r="D15" s="243" t="e">
        <f t="shared" si="0"/>
        <v>#REF!</v>
      </c>
    </row>
    <row r="16" spans="1:6" x14ac:dyDescent="0.2">
      <c r="A16" s="264"/>
      <c r="B16" s="1" t="s">
        <v>275</v>
      </c>
      <c r="C16" s="54" t="e">
        <f>#REF!</f>
        <v>#REF!</v>
      </c>
      <c r="D16" s="243" t="e">
        <f t="shared" si="0"/>
        <v>#REF!</v>
      </c>
    </row>
    <row r="17" spans="1:4" x14ac:dyDescent="0.2">
      <c r="A17" s="264"/>
      <c r="B17" s="1" t="s">
        <v>276</v>
      </c>
      <c r="C17" s="54" t="e">
        <f>#REF!</f>
        <v>#REF!</v>
      </c>
      <c r="D17" s="243" t="e">
        <f t="shared" si="0"/>
        <v>#REF!</v>
      </c>
    </row>
    <row r="18" spans="1:4" x14ac:dyDescent="0.2">
      <c r="A18" s="264"/>
      <c r="B18" s="1" t="s">
        <v>277</v>
      </c>
      <c r="C18" s="54" t="e">
        <f>#REF!</f>
        <v>#REF!</v>
      </c>
      <c r="D18" s="243" t="e">
        <f t="shared" si="0"/>
        <v>#REF!</v>
      </c>
    </row>
    <row r="19" spans="1:4" x14ac:dyDescent="0.2">
      <c r="A19" s="264"/>
      <c r="B19" s="1" t="s">
        <v>278</v>
      </c>
      <c r="C19" s="54" t="e">
        <f>#REF!</f>
        <v>#REF!</v>
      </c>
      <c r="D19" s="243" t="e">
        <f t="shared" si="0"/>
        <v>#REF!</v>
      </c>
    </row>
    <row r="20" spans="1:4" x14ac:dyDescent="0.2">
      <c r="A20" s="264"/>
      <c r="B20" s="1" t="s">
        <v>279</v>
      </c>
      <c r="C20" s="54" t="e">
        <f>#REF!</f>
        <v>#REF!</v>
      </c>
      <c r="D20" s="243" t="e">
        <f t="shared" si="0"/>
        <v>#REF!</v>
      </c>
    </row>
    <row r="21" spans="1:4" x14ac:dyDescent="0.2">
      <c r="A21" s="264"/>
      <c r="B21" s="1" t="s">
        <v>280</v>
      </c>
      <c r="C21" s="54" t="e">
        <f>#REF!</f>
        <v>#REF!</v>
      </c>
      <c r="D21" s="243" t="e">
        <f t="shared" si="0"/>
        <v>#REF!</v>
      </c>
    </row>
    <row r="22" spans="1:4" x14ac:dyDescent="0.2">
      <c r="A22" s="264"/>
      <c r="B22" s="1" t="s">
        <v>281</v>
      </c>
      <c r="C22" s="54" t="e">
        <f>#REF!</f>
        <v>#REF!</v>
      </c>
      <c r="D22" s="243" t="e">
        <f t="shared" si="0"/>
        <v>#REF!</v>
      </c>
    </row>
    <row r="23" spans="1:4" x14ac:dyDescent="0.2">
      <c r="A23" s="264"/>
      <c r="B23" s="1" t="s">
        <v>282</v>
      </c>
      <c r="C23" s="54" t="e">
        <f>#REF!</f>
        <v>#REF!</v>
      </c>
      <c r="D23" s="243" t="e">
        <f t="shared" si="0"/>
        <v>#REF!</v>
      </c>
    </row>
    <row r="24" spans="1:4" x14ac:dyDescent="0.2">
      <c r="A24" s="264"/>
      <c r="B24" s="1" t="s">
        <v>283</v>
      </c>
      <c r="C24" s="54" t="e">
        <f>#REF!</f>
        <v>#REF!</v>
      </c>
      <c r="D24" s="243" t="e">
        <f t="shared" si="0"/>
        <v>#REF!</v>
      </c>
    </row>
    <row r="25" spans="1:4" x14ac:dyDescent="0.2">
      <c r="A25" s="264"/>
      <c r="B25" s="1" t="s">
        <v>284</v>
      </c>
      <c r="C25" s="54" t="e">
        <f>#REF!</f>
        <v>#REF!</v>
      </c>
      <c r="D25" s="243" t="e">
        <f t="shared" si="0"/>
        <v>#REF!</v>
      </c>
    </row>
    <row r="26" spans="1:4" ht="16" thickBot="1" x14ac:dyDescent="0.25">
      <c r="A26" s="265"/>
      <c r="B26" s="218" t="s">
        <v>285</v>
      </c>
      <c r="C26" s="241" t="e">
        <f>#REF!</f>
        <v>#REF!</v>
      </c>
      <c r="D26" s="243" t="e">
        <f t="shared" si="0"/>
        <v>#REF!</v>
      </c>
    </row>
    <row r="27" spans="1:4" x14ac:dyDescent="0.2">
      <c r="A27" s="266" t="s">
        <v>287</v>
      </c>
      <c r="B27" s="242" t="s">
        <v>261</v>
      </c>
      <c r="C27" s="239" t="e">
        <f>#REF!</f>
        <v>#REF!</v>
      </c>
      <c r="D27" s="243" t="e">
        <f t="shared" si="0"/>
        <v>#REF!</v>
      </c>
    </row>
    <row r="28" spans="1:4" x14ac:dyDescent="0.2">
      <c r="A28" s="264"/>
      <c r="B28" s="1" t="s">
        <v>262</v>
      </c>
      <c r="C28" s="54" t="e">
        <f>#REF!</f>
        <v>#REF!</v>
      </c>
      <c r="D28" s="243" t="e">
        <f t="shared" si="0"/>
        <v>#REF!</v>
      </c>
    </row>
    <row r="29" spans="1:4" x14ac:dyDescent="0.2">
      <c r="A29" s="264"/>
      <c r="B29" s="1" t="s">
        <v>263</v>
      </c>
      <c r="C29" s="54" t="e">
        <f>#REF!</f>
        <v>#REF!</v>
      </c>
      <c r="D29" s="243" t="e">
        <f t="shared" si="0"/>
        <v>#REF!</v>
      </c>
    </row>
    <row r="30" spans="1:4" x14ac:dyDescent="0.2">
      <c r="A30" s="264"/>
      <c r="B30" s="1" t="s">
        <v>264</v>
      </c>
      <c r="C30" s="54" t="e">
        <f>#REF!</f>
        <v>#REF!</v>
      </c>
      <c r="D30" s="243" t="e">
        <f t="shared" si="0"/>
        <v>#REF!</v>
      </c>
    </row>
    <row r="31" spans="1:4" x14ac:dyDescent="0.2">
      <c r="A31" s="264"/>
      <c r="B31" s="1" t="s">
        <v>265</v>
      </c>
      <c r="C31" s="54" t="e">
        <f>#REF!</f>
        <v>#REF!</v>
      </c>
      <c r="D31" s="243" t="e">
        <f t="shared" si="0"/>
        <v>#REF!</v>
      </c>
    </row>
    <row r="32" spans="1:4" x14ac:dyDescent="0.2">
      <c r="A32" s="264"/>
      <c r="B32" s="1" t="s">
        <v>266</v>
      </c>
      <c r="C32" s="54" t="e">
        <f>#REF!</f>
        <v>#REF!</v>
      </c>
      <c r="D32" s="243" t="e">
        <f t="shared" si="0"/>
        <v>#REF!</v>
      </c>
    </row>
    <row r="33" spans="1:4" x14ac:dyDescent="0.2">
      <c r="A33" s="264"/>
      <c r="B33" s="1" t="s">
        <v>267</v>
      </c>
      <c r="C33" s="54" t="e">
        <f>#REF!</f>
        <v>#REF!</v>
      </c>
      <c r="D33" s="243" t="e">
        <f t="shared" si="0"/>
        <v>#REF!</v>
      </c>
    </row>
    <row r="34" spans="1:4" x14ac:dyDescent="0.2">
      <c r="A34" s="264"/>
      <c r="B34" s="1" t="s">
        <v>268</v>
      </c>
      <c r="C34" s="54" t="e">
        <f>#REF!</f>
        <v>#REF!</v>
      </c>
      <c r="D34" s="243" t="e">
        <f t="shared" si="0"/>
        <v>#REF!</v>
      </c>
    </row>
    <row r="35" spans="1:4" x14ac:dyDescent="0.2">
      <c r="A35" s="264"/>
      <c r="B35" s="1" t="s">
        <v>269</v>
      </c>
      <c r="C35" s="54" t="e">
        <f>#REF!</f>
        <v>#REF!</v>
      </c>
      <c r="D35" s="243" t="e">
        <f t="shared" si="0"/>
        <v>#REF!</v>
      </c>
    </row>
    <row r="36" spans="1:4" x14ac:dyDescent="0.2">
      <c r="A36" s="264"/>
      <c r="B36" s="1" t="s">
        <v>270</v>
      </c>
      <c r="C36" s="54" t="e">
        <f>#REF!</f>
        <v>#REF!</v>
      </c>
      <c r="D36" s="243" t="e">
        <f t="shared" si="0"/>
        <v>#REF!</v>
      </c>
    </row>
    <row r="37" spans="1:4" x14ac:dyDescent="0.2">
      <c r="A37" s="264"/>
      <c r="B37" s="1" t="s">
        <v>271</v>
      </c>
      <c r="C37" s="54" t="e">
        <f>#REF!</f>
        <v>#REF!</v>
      </c>
      <c r="D37" s="243" t="e">
        <f t="shared" si="0"/>
        <v>#REF!</v>
      </c>
    </row>
    <row r="38" spans="1:4" x14ac:dyDescent="0.2">
      <c r="A38" s="264"/>
      <c r="B38" s="1" t="s">
        <v>272</v>
      </c>
      <c r="C38" s="54" t="e">
        <f>#REF!</f>
        <v>#REF!</v>
      </c>
      <c r="D38" s="243" t="e">
        <f t="shared" si="0"/>
        <v>#REF!</v>
      </c>
    </row>
    <row r="39" spans="1:4" x14ac:dyDescent="0.2">
      <c r="A39" s="264"/>
      <c r="B39" s="1" t="s">
        <v>273</v>
      </c>
      <c r="C39" s="54" t="e">
        <f>#REF!</f>
        <v>#REF!</v>
      </c>
      <c r="D39" s="243" t="e">
        <f t="shared" si="0"/>
        <v>#REF!</v>
      </c>
    </row>
    <row r="40" spans="1:4" x14ac:dyDescent="0.2">
      <c r="A40" s="264"/>
      <c r="B40" s="1" t="s">
        <v>274</v>
      </c>
      <c r="C40" s="54" t="e">
        <f>#REF!</f>
        <v>#REF!</v>
      </c>
      <c r="D40" s="243" t="e">
        <f t="shared" si="0"/>
        <v>#REF!</v>
      </c>
    </row>
    <row r="41" spans="1:4" x14ac:dyDescent="0.2">
      <c r="A41" s="264"/>
      <c r="B41" s="1" t="s">
        <v>275</v>
      </c>
      <c r="C41" s="54" t="e">
        <f>#REF!</f>
        <v>#REF!</v>
      </c>
      <c r="D41" s="243" t="e">
        <f t="shared" si="0"/>
        <v>#REF!</v>
      </c>
    </row>
    <row r="42" spans="1:4" x14ac:dyDescent="0.2">
      <c r="A42" s="264"/>
      <c r="B42" s="1" t="s">
        <v>276</v>
      </c>
      <c r="C42" s="54" t="e">
        <f>#REF!</f>
        <v>#REF!</v>
      </c>
      <c r="D42" s="243" t="e">
        <f t="shared" si="0"/>
        <v>#REF!</v>
      </c>
    </row>
    <row r="43" spans="1:4" x14ac:dyDescent="0.2">
      <c r="A43" s="264"/>
      <c r="B43" s="1" t="s">
        <v>277</v>
      </c>
      <c r="C43" s="54" t="e">
        <f>#REF!</f>
        <v>#REF!</v>
      </c>
      <c r="D43" s="243" t="e">
        <f t="shared" si="0"/>
        <v>#REF!</v>
      </c>
    </row>
    <row r="44" spans="1:4" x14ac:dyDescent="0.2">
      <c r="A44" s="264"/>
      <c r="B44" s="1" t="s">
        <v>278</v>
      </c>
      <c r="C44" s="54" t="e">
        <f>#REF!</f>
        <v>#REF!</v>
      </c>
      <c r="D44" s="243" t="e">
        <f t="shared" si="0"/>
        <v>#REF!</v>
      </c>
    </row>
    <row r="45" spans="1:4" x14ac:dyDescent="0.2">
      <c r="A45" s="264"/>
      <c r="B45" s="1" t="s">
        <v>279</v>
      </c>
      <c r="C45" s="54" t="e">
        <f>#REF!</f>
        <v>#REF!</v>
      </c>
      <c r="D45" s="243" t="e">
        <f t="shared" si="0"/>
        <v>#REF!</v>
      </c>
    </row>
    <row r="46" spans="1:4" x14ac:dyDescent="0.2">
      <c r="A46" s="264"/>
      <c r="B46" s="1" t="s">
        <v>280</v>
      </c>
      <c r="C46" s="54" t="e">
        <f>#REF!</f>
        <v>#REF!</v>
      </c>
      <c r="D46" s="243" t="e">
        <f t="shared" si="0"/>
        <v>#REF!</v>
      </c>
    </row>
    <row r="47" spans="1:4" x14ac:dyDescent="0.2">
      <c r="A47" s="264"/>
      <c r="B47" s="1" t="s">
        <v>281</v>
      </c>
      <c r="C47" s="54" t="e">
        <f>#REF!</f>
        <v>#REF!</v>
      </c>
      <c r="D47" s="243" t="e">
        <f t="shared" si="0"/>
        <v>#REF!</v>
      </c>
    </row>
    <row r="48" spans="1:4" x14ac:dyDescent="0.2">
      <c r="A48" s="264"/>
      <c r="B48" s="1" t="s">
        <v>282</v>
      </c>
      <c r="C48" s="54" t="e">
        <f>#REF!</f>
        <v>#REF!</v>
      </c>
      <c r="D48" s="243" t="e">
        <f t="shared" si="0"/>
        <v>#REF!</v>
      </c>
    </row>
    <row r="49" spans="1:4" x14ac:dyDescent="0.2">
      <c r="A49" s="264"/>
      <c r="B49" s="1" t="s">
        <v>283</v>
      </c>
      <c r="C49" s="54" t="e">
        <f>#REF!</f>
        <v>#REF!</v>
      </c>
      <c r="D49" s="243" t="e">
        <f t="shared" si="0"/>
        <v>#REF!</v>
      </c>
    </row>
    <row r="50" spans="1:4" x14ac:dyDescent="0.2">
      <c r="A50" s="264"/>
      <c r="B50" s="1" t="s">
        <v>284</v>
      </c>
      <c r="C50" s="54" t="e">
        <f>#REF!</f>
        <v>#REF!</v>
      </c>
      <c r="D50" s="243" t="e">
        <f t="shared" si="0"/>
        <v>#REF!</v>
      </c>
    </row>
    <row r="51" spans="1:4" ht="16" thickBot="1" x14ac:dyDescent="0.25">
      <c r="A51" s="265"/>
      <c r="B51" s="218" t="s">
        <v>285</v>
      </c>
      <c r="C51" s="241" t="e">
        <f>#REF!</f>
        <v>#REF!</v>
      </c>
      <c r="D51" s="243" t="e">
        <f t="shared" si="0"/>
        <v>#REF!</v>
      </c>
    </row>
    <row r="52" spans="1:4" x14ac:dyDescent="0.2">
      <c r="A52" s="266" t="s">
        <v>288</v>
      </c>
      <c r="B52" s="242" t="s">
        <v>261</v>
      </c>
      <c r="C52" s="239" t="e">
        <f>#REF!</f>
        <v>#REF!</v>
      </c>
      <c r="D52" s="243" t="e">
        <f t="shared" si="0"/>
        <v>#REF!</v>
      </c>
    </row>
    <row r="53" spans="1:4" x14ac:dyDescent="0.2">
      <c r="A53" s="264"/>
      <c r="B53" s="1" t="s">
        <v>262</v>
      </c>
      <c r="C53" s="54" t="e">
        <f>#REF!</f>
        <v>#REF!</v>
      </c>
      <c r="D53" s="243" t="e">
        <f t="shared" si="0"/>
        <v>#REF!</v>
      </c>
    </row>
    <row r="54" spans="1:4" x14ac:dyDescent="0.2">
      <c r="A54" s="264"/>
      <c r="B54" s="1" t="s">
        <v>263</v>
      </c>
      <c r="C54" s="54" t="e">
        <f>#REF!</f>
        <v>#REF!</v>
      </c>
      <c r="D54" s="243" t="e">
        <f t="shared" si="0"/>
        <v>#REF!</v>
      </c>
    </row>
    <row r="55" spans="1:4" x14ac:dyDescent="0.2">
      <c r="A55" s="264"/>
      <c r="B55" s="1" t="s">
        <v>264</v>
      </c>
      <c r="C55" s="54" t="e">
        <f>#REF!</f>
        <v>#REF!</v>
      </c>
      <c r="D55" s="243" t="e">
        <f t="shared" si="0"/>
        <v>#REF!</v>
      </c>
    </row>
    <row r="56" spans="1:4" x14ac:dyDescent="0.2">
      <c r="A56" s="264"/>
      <c r="B56" s="1" t="s">
        <v>265</v>
      </c>
      <c r="C56" s="54" t="e">
        <f>#REF!</f>
        <v>#REF!</v>
      </c>
      <c r="D56" s="243" t="e">
        <f t="shared" si="0"/>
        <v>#REF!</v>
      </c>
    </row>
    <row r="57" spans="1:4" x14ac:dyDescent="0.2">
      <c r="A57" s="264"/>
      <c r="B57" s="1" t="s">
        <v>266</v>
      </c>
      <c r="C57" s="54" t="e">
        <f>#REF!</f>
        <v>#REF!</v>
      </c>
      <c r="D57" s="243" t="e">
        <f t="shared" si="0"/>
        <v>#REF!</v>
      </c>
    </row>
    <row r="58" spans="1:4" x14ac:dyDescent="0.2">
      <c r="A58" s="264"/>
      <c r="B58" s="1" t="s">
        <v>267</v>
      </c>
      <c r="C58" s="54" t="e">
        <f>#REF!</f>
        <v>#REF!</v>
      </c>
      <c r="D58" s="243" t="e">
        <f t="shared" si="0"/>
        <v>#REF!</v>
      </c>
    </row>
    <row r="59" spans="1:4" x14ac:dyDescent="0.2">
      <c r="A59" s="264"/>
      <c r="B59" s="1" t="s">
        <v>268</v>
      </c>
      <c r="C59" s="54" t="e">
        <f>#REF!</f>
        <v>#REF!</v>
      </c>
      <c r="D59" s="243" t="e">
        <f t="shared" si="0"/>
        <v>#REF!</v>
      </c>
    </row>
    <row r="60" spans="1:4" x14ac:dyDescent="0.2">
      <c r="A60" s="264"/>
      <c r="B60" s="1" t="s">
        <v>269</v>
      </c>
      <c r="C60" s="54" t="e">
        <f>#REF!</f>
        <v>#REF!</v>
      </c>
      <c r="D60" s="243" t="e">
        <f t="shared" si="0"/>
        <v>#REF!</v>
      </c>
    </row>
    <row r="61" spans="1:4" x14ac:dyDescent="0.2">
      <c r="A61" s="264"/>
      <c r="B61" s="1" t="s">
        <v>270</v>
      </c>
      <c r="C61" s="54" t="e">
        <f>#REF!</f>
        <v>#REF!</v>
      </c>
      <c r="D61" s="243" t="e">
        <f t="shared" si="0"/>
        <v>#REF!</v>
      </c>
    </row>
    <row r="62" spans="1:4" x14ac:dyDescent="0.2">
      <c r="A62" s="264"/>
      <c r="B62" s="1" t="s">
        <v>271</v>
      </c>
      <c r="C62" s="54" t="e">
        <f>#REF!</f>
        <v>#REF!</v>
      </c>
      <c r="D62" s="243" t="e">
        <f t="shared" si="0"/>
        <v>#REF!</v>
      </c>
    </row>
    <row r="63" spans="1:4" x14ac:dyDescent="0.2">
      <c r="A63" s="264"/>
      <c r="B63" s="1" t="s">
        <v>272</v>
      </c>
      <c r="C63" s="54" t="e">
        <f>#REF!</f>
        <v>#REF!</v>
      </c>
      <c r="D63" s="243" t="e">
        <f t="shared" si="0"/>
        <v>#REF!</v>
      </c>
    </row>
    <row r="64" spans="1:4" x14ac:dyDescent="0.2">
      <c r="A64" s="264"/>
      <c r="B64" s="1" t="s">
        <v>273</v>
      </c>
      <c r="C64" s="54" t="e">
        <f>#REF!</f>
        <v>#REF!</v>
      </c>
      <c r="D64" s="243" t="e">
        <f t="shared" si="0"/>
        <v>#REF!</v>
      </c>
    </row>
    <row r="65" spans="1:4" x14ac:dyDescent="0.2">
      <c r="A65" s="264"/>
      <c r="B65" s="1" t="s">
        <v>274</v>
      </c>
      <c r="C65" s="54" t="e">
        <f>#REF!</f>
        <v>#REF!</v>
      </c>
      <c r="D65" s="243" t="e">
        <f t="shared" si="0"/>
        <v>#REF!</v>
      </c>
    </row>
    <row r="66" spans="1:4" x14ac:dyDescent="0.2">
      <c r="A66" s="264"/>
      <c r="B66" s="1" t="s">
        <v>275</v>
      </c>
      <c r="C66" s="54" t="e">
        <f>#REF!</f>
        <v>#REF!</v>
      </c>
      <c r="D66" s="243" t="e">
        <f t="shared" si="0"/>
        <v>#REF!</v>
      </c>
    </row>
    <row r="67" spans="1:4" x14ac:dyDescent="0.2">
      <c r="A67" s="264"/>
      <c r="B67" s="1" t="s">
        <v>276</v>
      </c>
      <c r="C67" s="54" t="e">
        <f>#REF!</f>
        <v>#REF!</v>
      </c>
      <c r="D67" s="243" t="e">
        <f t="shared" ref="D67:D126" si="1">NOT(C67=0)</f>
        <v>#REF!</v>
      </c>
    </row>
    <row r="68" spans="1:4" x14ac:dyDescent="0.2">
      <c r="A68" s="264"/>
      <c r="B68" s="1" t="s">
        <v>277</v>
      </c>
      <c r="C68" s="54" t="e">
        <f>#REF!</f>
        <v>#REF!</v>
      </c>
      <c r="D68" s="243" t="e">
        <f t="shared" si="1"/>
        <v>#REF!</v>
      </c>
    </row>
    <row r="69" spans="1:4" x14ac:dyDescent="0.2">
      <c r="A69" s="264"/>
      <c r="B69" s="1" t="s">
        <v>278</v>
      </c>
      <c r="C69" s="54" t="e">
        <f>#REF!</f>
        <v>#REF!</v>
      </c>
      <c r="D69" s="243" t="e">
        <f t="shared" si="1"/>
        <v>#REF!</v>
      </c>
    </row>
    <row r="70" spans="1:4" x14ac:dyDescent="0.2">
      <c r="A70" s="264"/>
      <c r="B70" s="1" t="s">
        <v>279</v>
      </c>
      <c r="C70" s="54" t="e">
        <f>#REF!</f>
        <v>#REF!</v>
      </c>
      <c r="D70" s="243" t="e">
        <f t="shared" si="1"/>
        <v>#REF!</v>
      </c>
    </row>
    <row r="71" spans="1:4" x14ac:dyDescent="0.2">
      <c r="A71" s="264"/>
      <c r="B71" s="1" t="s">
        <v>280</v>
      </c>
      <c r="C71" s="54" t="e">
        <f>#REF!</f>
        <v>#REF!</v>
      </c>
      <c r="D71" s="243" t="e">
        <f t="shared" si="1"/>
        <v>#REF!</v>
      </c>
    </row>
    <row r="72" spans="1:4" x14ac:dyDescent="0.2">
      <c r="A72" s="264"/>
      <c r="B72" s="1" t="s">
        <v>281</v>
      </c>
      <c r="C72" s="54" t="e">
        <f>#REF!</f>
        <v>#REF!</v>
      </c>
      <c r="D72" s="243" t="e">
        <f t="shared" si="1"/>
        <v>#REF!</v>
      </c>
    </row>
    <row r="73" spans="1:4" x14ac:dyDescent="0.2">
      <c r="A73" s="264"/>
      <c r="B73" s="1" t="s">
        <v>282</v>
      </c>
      <c r="C73" s="54" t="e">
        <f>#REF!</f>
        <v>#REF!</v>
      </c>
      <c r="D73" s="243" t="e">
        <f t="shared" si="1"/>
        <v>#REF!</v>
      </c>
    </row>
    <row r="74" spans="1:4" x14ac:dyDescent="0.2">
      <c r="A74" s="264"/>
      <c r="B74" s="1" t="s">
        <v>283</v>
      </c>
      <c r="C74" s="54" t="e">
        <f>#REF!</f>
        <v>#REF!</v>
      </c>
      <c r="D74" s="243" t="e">
        <f t="shared" si="1"/>
        <v>#REF!</v>
      </c>
    </row>
    <row r="75" spans="1:4" x14ac:dyDescent="0.2">
      <c r="A75" s="264"/>
      <c r="B75" s="1" t="s">
        <v>284</v>
      </c>
      <c r="C75" s="54" t="e">
        <f>#REF!</f>
        <v>#REF!</v>
      </c>
      <c r="D75" s="243" t="e">
        <f t="shared" si="1"/>
        <v>#REF!</v>
      </c>
    </row>
    <row r="76" spans="1:4" ht="16" thickBot="1" x14ac:dyDescent="0.25">
      <c r="A76" s="265"/>
      <c r="B76" s="218" t="s">
        <v>285</v>
      </c>
      <c r="C76" s="241" t="e">
        <f>#REF!</f>
        <v>#REF!</v>
      </c>
      <c r="D76" s="243" t="e">
        <f t="shared" si="1"/>
        <v>#REF!</v>
      </c>
    </row>
    <row r="77" spans="1:4" x14ac:dyDescent="0.2">
      <c r="A77" s="266" t="s">
        <v>289</v>
      </c>
      <c r="B77" s="242" t="s">
        <v>261</v>
      </c>
      <c r="C77" s="239" t="e">
        <f>#REF!</f>
        <v>#REF!</v>
      </c>
      <c r="D77" s="243" t="e">
        <f t="shared" si="1"/>
        <v>#REF!</v>
      </c>
    </row>
    <row r="78" spans="1:4" x14ac:dyDescent="0.2">
      <c r="A78" s="264"/>
      <c r="B78" s="1" t="s">
        <v>262</v>
      </c>
      <c r="C78" s="54" t="e">
        <f>#REF!</f>
        <v>#REF!</v>
      </c>
      <c r="D78" s="243" t="e">
        <f t="shared" si="1"/>
        <v>#REF!</v>
      </c>
    </row>
    <row r="79" spans="1:4" x14ac:dyDescent="0.2">
      <c r="A79" s="264"/>
      <c r="B79" s="1" t="s">
        <v>263</v>
      </c>
      <c r="C79" s="54" t="e">
        <f>#REF!</f>
        <v>#REF!</v>
      </c>
      <c r="D79" s="243" t="e">
        <f t="shared" si="1"/>
        <v>#REF!</v>
      </c>
    </row>
    <row r="80" spans="1:4" x14ac:dyDescent="0.2">
      <c r="A80" s="264"/>
      <c r="B80" s="1" t="s">
        <v>264</v>
      </c>
      <c r="C80" s="54" t="e">
        <f>#REF!</f>
        <v>#REF!</v>
      </c>
      <c r="D80" s="243" t="e">
        <f t="shared" si="1"/>
        <v>#REF!</v>
      </c>
    </row>
    <row r="81" spans="1:4" x14ac:dyDescent="0.2">
      <c r="A81" s="264"/>
      <c r="B81" s="1" t="s">
        <v>265</v>
      </c>
      <c r="C81" s="54" t="e">
        <f>#REF!</f>
        <v>#REF!</v>
      </c>
      <c r="D81" s="243" t="e">
        <f t="shared" si="1"/>
        <v>#REF!</v>
      </c>
    </row>
    <row r="82" spans="1:4" x14ac:dyDescent="0.2">
      <c r="A82" s="264"/>
      <c r="B82" s="1" t="s">
        <v>266</v>
      </c>
      <c r="C82" s="54" t="e">
        <f>#REF!</f>
        <v>#REF!</v>
      </c>
      <c r="D82" s="243" t="e">
        <f t="shared" si="1"/>
        <v>#REF!</v>
      </c>
    </row>
    <row r="83" spans="1:4" x14ac:dyDescent="0.2">
      <c r="A83" s="264"/>
      <c r="B83" s="1" t="s">
        <v>267</v>
      </c>
      <c r="C83" s="54" t="e">
        <f>#REF!</f>
        <v>#REF!</v>
      </c>
      <c r="D83" s="243" t="e">
        <f t="shared" si="1"/>
        <v>#REF!</v>
      </c>
    </row>
    <row r="84" spans="1:4" x14ac:dyDescent="0.2">
      <c r="A84" s="264"/>
      <c r="B84" s="1" t="s">
        <v>268</v>
      </c>
      <c r="C84" s="54" t="e">
        <f>#REF!</f>
        <v>#REF!</v>
      </c>
      <c r="D84" s="243" t="e">
        <f t="shared" si="1"/>
        <v>#REF!</v>
      </c>
    </row>
    <row r="85" spans="1:4" x14ac:dyDescent="0.2">
      <c r="A85" s="264"/>
      <c r="B85" s="1" t="s">
        <v>269</v>
      </c>
      <c r="C85" s="54" t="e">
        <f>#REF!</f>
        <v>#REF!</v>
      </c>
      <c r="D85" s="243" t="e">
        <f t="shared" si="1"/>
        <v>#REF!</v>
      </c>
    </row>
    <row r="86" spans="1:4" x14ac:dyDescent="0.2">
      <c r="A86" s="264"/>
      <c r="B86" s="1" t="s">
        <v>270</v>
      </c>
      <c r="C86" s="54" t="e">
        <f>#REF!</f>
        <v>#REF!</v>
      </c>
      <c r="D86" s="243" t="e">
        <f t="shared" si="1"/>
        <v>#REF!</v>
      </c>
    </row>
    <row r="87" spans="1:4" x14ac:dyDescent="0.2">
      <c r="A87" s="264"/>
      <c r="B87" s="1" t="s">
        <v>271</v>
      </c>
      <c r="C87" s="54" t="e">
        <f>#REF!</f>
        <v>#REF!</v>
      </c>
      <c r="D87" s="243" t="e">
        <f t="shared" si="1"/>
        <v>#REF!</v>
      </c>
    </row>
    <row r="88" spans="1:4" x14ac:dyDescent="0.2">
      <c r="A88" s="264"/>
      <c r="B88" s="1" t="s">
        <v>272</v>
      </c>
      <c r="C88" s="54" t="e">
        <f>#REF!</f>
        <v>#REF!</v>
      </c>
      <c r="D88" s="243" t="e">
        <f t="shared" si="1"/>
        <v>#REF!</v>
      </c>
    </row>
    <row r="89" spans="1:4" x14ac:dyDescent="0.2">
      <c r="A89" s="264"/>
      <c r="B89" s="1" t="s">
        <v>273</v>
      </c>
      <c r="C89" s="54" t="e">
        <f>#REF!</f>
        <v>#REF!</v>
      </c>
      <c r="D89" s="243" t="e">
        <f t="shared" si="1"/>
        <v>#REF!</v>
      </c>
    </row>
    <row r="90" spans="1:4" x14ac:dyDescent="0.2">
      <c r="A90" s="264"/>
      <c r="B90" s="1" t="s">
        <v>274</v>
      </c>
      <c r="C90" s="54" t="e">
        <f>#REF!</f>
        <v>#REF!</v>
      </c>
      <c r="D90" s="243" t="e">
        <f t="shared" si="1"/>
        <v>#REF!</v>
      </c>
    </row>
    <row r="91" spans="1:4" x14ac:dyDescent="0.2">
      <c r="A91" s="264"/>
      <c r="B91" s="1" t="s">
        <v>275</v>
      </c>
      <c r="C91" s="54" t="e">
        <f>#REF!</f>
        <v>#REF!</v>
      </c>
      <c r="D91" s="243" t="e">
        <f t="shared" si="1"/>
        <v>#REF!</v>
      </c>
    </row>
    <row r="92" spans="1:4" x14ac:dyDescent="0.2">
      <c r="A92" s="264"/>
      <c r="B92" s="1" t="s">
        <v>276</v>
      </c>
      <c r="C92" s="54" t="e">
        <f>#REF!</f>
        <v>#REF!</v>
      </c>
      <c r="D92" s="243" t="e">
        <f t="shared" si="1"/>
        <v>#REF!</v>
      </c>
    </row>
    <row r="93" spans="1:4" x14ac:dyDescent="0.2">
      <c r="A93" s="264"/>
      <c r="B93" s="1" t="s">
        <v>277</v>
      </c>
      <c r="C93" s="54" t="e">
        <f>#REF!</f>
        <v>#REF!</v>
      </c>
      <c r="D93" s="243" t="e">
        <f t="shared" si="1"/>
        <v>#REF!</v>
      </c>
    </row>
    <row r="94" spans="1:4" x14ac:dyDescent="0.2">
      <c r="A94" s="264"/>
      <c r="B94" s="1" t="s">
        <v>278</v>
      </c>
      <c r="C94" s="54" t="e">
        <f>#REF!</f>
        <v>#REF!</v>
      </c>
      <c r="D94" s="243" t="e">
        <f t="shared" si="1"/>
        <v>#REF!</v>
      </c>
    </row>
    <row r="95" spans="1:4" x14ac:dyDescent="0.2">
      <c r="A95" s="264"/>
      <c r="B95" s="1" t="s">
        <v>279</v>
      </c>
      <c r="C95" s="54" t="e">
        <f>#REF!</f>
        <v>#REF!</v>
      </c>
      <c r="D95" s="243" t="e">
        <f t="shared" si="1"/>
        <v>#REF!</v>
      </c>
    </row>
    <row r="96" spans="1:4" x14ac:dyDescent="0.2">
      <c r="A96" s="264"/>
      <c r="B96" s="1" t="s">
        <v>280</v>
      </c>
      <c r="C96" s="54" t="e">
        <f>#REF!</f>
        <v>#REF!</v>
      </c>
      <c r="D96" s="243" t="e">
        <f t="shared" si="1"/>
        <v>#REF!</v>
      </c>
    </row>
    <row r="97" spans="1:4" x14ac:dyDescent="0.2">
      <c r="A97" s="264"/>
      <c r="B97" s="1" t="s">
        <v>281</v>
      </c>
      <c r="C97" s="54" t="e">
        <f>#REF!</f>
        <v>#REF!</v>
      </c>
      <c r="D97" s="243" t="e">
        <f t="shared" si="1"/>
        <v>#REF!</v>
      </c>
    </row>
    <row r="98" spans="1:4" x14ac:dyDescent="0.2">
      <c r="A98" s="264"/>
      <c r="B98" s="1" t="s">
        <v>282</v>
      </c>
      <c r="C98" s="54" t="e">
        <f>#REF!</f>
        <v>#REF!</v>
      </c>
      <c r="D98" s="243" t="e">
        <f t="shared" si="1"/>
        <v>#REF!</v>
      </c>
    </row>
    <row r="99" spans="1:4" x14ac:dyDescent="0.2">
      <c r="A99" s="264"/>
      <c r="B99" s="1" t="s">
        <v>283</v>
      </c>
      <c r="C99" s="54" t="e">
        <f>#REF!</f>
        <v>#REF!</v>
      </c>
      <c r="D99" s="243" t="e">
        <f t="shared" si="1"/>
        <v>#REF!</v>
      </c>
    </row>
    <row r="100" spans="1:4" x14ac:dyDescent="0.2">
      <c r="A100" s="264"/>
      <c r="B100" s="1" t="s">
        <v>284</v>
      </c>
      <c r="C100" s="54" t="e">
        <f>#REF!</f>
        <v>#REF!</v>
      </c>
      <c r="D100" s="243" t="e">
        <f t="shared" si="1"/>
        <v>#REF!</v>
      </c>
    </row>
    <row r="101" spans="1:4" ht="16" thickBot="1" x14ac:dyDescent="0.25">
      <c r="A101" s="267"/>
      <c r="B101" s="245" t="s">
        <v>285</v>
      </c>
      <c r="C101" s="246" t="e">
        <f>#REF!</f>
        <v>#REF!</v>
      </c>
      <c r="D101" s="243" t="e">
        <f t="shared" si="1"/>
        <v>#REF!</v>
      </c>
    </row>
    <row r="102" spans="1:4" x14ac:dyDescent="0.2">
      <c r="A102" s="263" t="s">
        <v>290</v>
      </c>
      <c r="B102" s="226" t="s">
        <v>261</v>
      </c>
      <c r="C102" s="240" t="e">
        <f>#REF!</f>
        <v>#REF!</v>
      </c>
      <c r="D102" s="243" t="e">
        <f t="shared" si="1"/>
        <v>#REF!</v>
      </c>
    </row>
    <row r="103" spans="1:4" x14ac:dyDescent="0.2">
      <c r="A103" s="264"/>
      <c r="B103" s="1" t="s">
        <v>262</v>
      </c>
      <c r="C103" s="54" t="e">
        <f>#REF!</f>
        <v>#REF!</v>
      </c>
      <c r="D103" s="243" t="e">
        <f t="shared" si="1"/>
        <v>#REF!</v>
      </c>
    </row>
    <row r="104" spans="1:4" x14ac:dyDescent="0.2">
      <c r="A104" s="264"/>
      <c r="B104" s="1" t="s">
        <v>263</v>
      </c>
      <c r="C104" s="54" t="e">
        <f>#REF!</f>
        <v>#REF!</v>
      </c>
      <c r="D104" s="243" t="e">
        <f t="shared" si="1"/>
        <v>#REF!</v>
      </c>
    </row>
    <row r="105" spans="1:4" x14ac:dyDescent="0.2">
      <c r="A105" s="264"/>
      <c r="B105" s="1" t="s">
        <v>264</v>
      </c>
      <c r="C105" s="54" t="e">
        <f>#REF!</f>
        <v>#REF!</v>
      </c>
      <c r="D105" s="243" t="e">
        <f t="shared" si="1"/>
        <v>#REF!</v>
      </c>
    </row>
    <row r="106" spans="1:4" x14ac:dyDescent="0.2">
      <c r="A106" s="264"/>
      <c r="B106" s="1" t="s">
        <v>265</v>
      </c>
      <c r="C106" s="54" t="e">
        <f>#REF!</f>
        <v>#REF!</v>
      </c>
      <c r="D106" s="243" t="e">
        <f t="shared" si="1"/>
        <v>#REF!</v>
      </c>
    </row>
    <row r="107" spans="1:4" x14ac:dyDescent="0.2">
      <c r="A107" s="264"/>
      <c r="B107" s="1" t="s">
        <v>266</v>
      </c>
      <c r="C107" s="54" t="e">
        <f>#REF!</f>
        <v>#REF!</v>
      </c>
      <c r="D107" s="243" t="e">
        <f t="shared" si="1"/>
        <v>#REF!</v>
      </c>
    </row>
    <row r="108" spans="1:4" x14ac:dyDescent="0.2">
      <c r="A108" s="264"/>
      <c r="B108" s="1" t="s">
        <v>267</v>
      </c>
      <c r="C108" s="54" t="e">
        <f>#REF!</f>
        <v>#REF!</v>
      </c>
      <c r="D108" s="243" t="e">
        <f t="shared" si="1"/>
        <v>#REF!</v>
      </c>
    </row>
    <row r="109" spans="1:4" x14ac:dyDescent="0.2">
      <c r="A109" s="264"/>
      <c r="B109" s="1" t="s">
        <v>268</v>
      </c>
      <c r="C109" s="54" t="e">
        <f>#REF!</f>
        <v>#REF!</v>
      </c>
      <c r="D109" s="243" t="e">
        <f t="shared" si="1"/>
        <v>#REF!</v>
      </c>
    </row>
    <row r="110" spans="1:4" x14ac:dyDescent="0.2">
      <c r="A110" s="264"/>
      <c r="B110" s="1" t="s">
        <v>269</v>
      </c>
      <c r="C110" s="54" t="e">
        <f>#REF!</f>
        <v>#REF!</v>
      </c>
      <c r="D110" s="243" t="e">
        <f t="shared" si="1"/>
        <v>#REF!</v>
      </c>
    </row>
    <row r="111" spans="1:4" x14ac:dyDescent="0.2">
      <c r="A111" s="264"/>
      <c r="B111" s="1" t="s">
        <v>270</v>
      </c>
      <c r="C111" s="54" t="e">
        <f>#REF!</f>
        <v>#REF!</v>
      </c>
      <c r="D111" s="243" t="e">
        <f t="shared" si="1"/>
        <v>#REF!</v>
      </c>
    </row>
    <row r="112" spans="1:4" x14ac:dyDescent="0.2">
      <c r="A112" s="264"/>
      <c r="B112" s="1" t="s">
        <v>271</v>
      </c>
      <c r="C112" s="54" t="e">
        <f>#REF!</f>
        <v>#REF!</v>
      </c>
      <c r="D112" s="243" t="e">
        <f t="shared" si="1"/>
        <v>#REF!</v>
      </c>
    </row>
    <row r="113" spans="1:4" x14ac:dyDescent="0.2">
      <c r="A113" s="264"/>
      <c r="B113" s="1" t="s">
        <v>272</v>
      </c>
      <c r="C113" s="54" t="e">
        <f>#REF!</f>
        <v>#REF!</v>
      </c>
      <c r="D113" s="243" t="e">
        <f t="shared" si="1"/>
        <v>#REF!</v>
      </c>
    </row>
    <row r="114" spans="1:4" x14ac:dyDescent="0.2">
      <c r="A114" s="264"/>
      <c r="B114" s="1" t="s">
        <v>273</v>
      </c>
      <c r="C114" s="54" t="e">
        <f>#REF!</f>
        <v>#REF!</v>
      </c>
      <c r="D114" s="243" t="e">
        <f t="shared" si="1"/>
        <v>#REF!</v>
      </c>
    </row>
    <row r="115" spans="1:4" x14ac:dyDescent="0.2">
      <c r="A115" s="264"/>
      <c r="B115" s="1" t="s">
        <v>274</v>
      </c>
      <c r="C115" s="54" t="e">
        <f>#REF!</f>
        <v>#REF!</v>
      </c>
      <c r="D115" s="243" t="e">
        <f t="shared" si="1"/>
        <v>#REF!</v>
      </c>
    </row>
    <row r="116" spans="1:4" x14ac:dyDescent="0.2">
      <c r="A116" s="264"/>
      <c r="B116" s="1" t="s">
        <v>275</v>
      </c>
      <c r="C116" s="54" t="e">
        <f>#REF!</f>
        <v>#REF!</v>
      </c>
      <c r="D116" s="243" t="e">
        <f t="shared" si="1"/>
        <v>#REF!</v>
      </c>
    </row>
    <row r="117" spans="1:4" x14ac:dyDescent="0.2">
      <c r="A117" s="264"/>
      <c r="B117" s="1" t="s">
        <v>276</v>
      </c>
      <c r="C117" s="54" t="e">
        <f>#REF!</f>
        <v>#REF!</v>
      </c>
      <c r="D117" s="243" t="e">
        <f t="shared" si="1"/>
        <v>#REF!</v>
      </c>
    </row>
    <row r="118" spans="1:4" x14ac:dyDescent="0.2">
      <c r="A118" s="264"/>
      <c r="B118" s="1" t="s">
        <v>277</v>
      </c>
      <c r="C118" s="54" t="e">
        <f>#REF!</f>
        <v>#REF!</v>
      </c>
      <c r="D118" s="243" t="e">
        <f t="shared" si="1"/>
        <v>#REF!</v>
      </c>
    </row>
    <row r="119" spans="1:4" x14ac:dyDescent="0.2">
      <c r="A119" s="264"/>
      <c r="B119" s="1" t="s">
        <v>278</v>
      </c>
      <c r="C119" s="54" t="e">
        <f>#REF!</f>
        <v>#REF!</v>
      </c>
      <c r="D119" s="243" t="e">
        <f t="shared" si="1"/>
        <v>#REF!</v>
      </c>
    </row>
    <row r="120" spans="1:4" x14ac:dyDescent="0.2">
      <c r="A120" s="264"/>
      <c r="B120" s="1" t="s">
        <v>279</v>
      </c>
      <c r="C120" s="54" t="e">
        <f>#REF!</f>
        <v>#REF!</v>
      </c>
      <c r="D120" s="243" t="e">
        <f t="shared" si="1"/>
        <v>#REF!</v>
      </c>
    </row>
    <row r="121" spans="1:4" x14ac:dyDescent="0.2">
      <c r="A121" s="264"/>
      <c r="B121" s="1" t="s">
        <v>280</v>
      </c>
      <c r="C121" s="54" t="e">
        <f>#REF!</f>
        <v>#REF!</v>
      </c>
      <c r="D121" s="243" t="e">
        <f t="shared" si="1"/>
        <v>#REF!</v>
      </c>
    </row>
    <row r="122" spans="1:4" x14ac:dyDescent="0.2">
      <c r="A122" s="264"/>
      <c r="B122" s="1" t="s">
        <v>281</v>
      </c>
      <c r="C122" s="54" t="e">
        <f>#REF!</f>
        <v>#REF!</v>
      </c>
      <c r="D122" s="243" t="e">
        <f t="shared" si="1"/>
        <v>#REF!</v>
      </c>
    </row>
    <row r="123" spans="1:4" x14ac:dyDescent="0.2">
      <c r="A123" s="264"/>
      <c r="B123" s="1" t="s">
        <v>282</v>
      </c>
      <c r="C123" s="54" t="e">
        <f>#REF!</f>
        <v>#REF!</v>
      </c>
      <c r="D123" s="243" t="e">
        <f t="shared" si="1"/>
        <v>#REF!</v>
      </c>
    </row>
    <row r="124" spans="1:4" x14ac:dyDescent="0.2">
      <c r="A124" s="264"/>
      <c r="B124" s="1" t="s">
        <v>283</v>
      </c>
      <c r="C124" s="54" t="e">
        <f>#REF!</f>
        <v>#REF!</v>
      </c>
      <c r="D124" s="243" t="e">
        <f t="shared" si="1"/>
        <v>#REF!</v>
      </c>
    </row>
    <row r="125" spans="1:4" x14ac:dyDescent="0.2">
      <c r="A125" s="264"/>
      <c r="B125" s="1" t="s">
        <v>284</v>
      </c>
      <c r="C125" s="54" t="e">
        <f>#REF!</f>
        <v>#REF!</v>
      </c>
      <c r="D125" s="243" t="e">
        <f t="shared" si="1"/>
        <v>#REF!</v>
      </c>
    </row>
    <row r="126" spans="1:4" ht="16" thickBot="1" x14ac:dyDescent="0.25">
      <c r="A126" s="265"/>
      <c r="B126" s="218" t="s">
        <v>285</v>
      </c>
      <c r="C126" s="241" t="e">
        <f>#REF!</f>
        <v>#REF!</v>
      </c>
      <c r="D126" s="243" t="e">
        <f t="shared" si="1"/>
        <v>#REF!</v>
      </c>
    </row>
  </sheetData>
  <mergeCells count="5">
    <mergeCell ref="A2:A26"/>
    <mergeCell ref="A27:A51"/>
    <mergeCell ref="A52:A76"/>
    <mergeCell ref="A77:A101"/>
    <mergeCell ref="A102:A126"/>
  </mergeCells>
  <phoneticPr fontId="9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I87"/>
  <sheetViews>
    <sheetView zoomScale="70" zoomScaleNormal="70" workbookViewId="0">
      <pane xSplit="2" topLeftCell="C1" activePane="topRight" state="frozenSplit"/>
      <selection pane="topRight" activeCell="C62" sqref="C62:H65"/>
    </sheetView>
  </sheetViews>
  <sheetFormatPr baseColWidth="10" defaultColWidth="11.5" defaultRowHeight="15" x14ac:dyDescent="0.2"/>
  <cols>
    <col min="9" max="9" width="12.5" bestFit="1" customWidth="1"/>
    <col min="22" max="22" width="13" customWidth="1"/>
    <col min="24" max="24" width="13.83203125" customWidth="1"/>
  </cols>
  <sheetData>
    <row r="1" spans="1:139" ht="15" customHeight="1" x14ac:dyDescent="0.2">
      <c r="A1" s="6"/>
      <c r="B1" s="404" t="s">
        <v>27</v>
      </c>
      <c r="C1" s="404"/>
      <c r="D1" s="404"/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  <c r="Z1" s="404"/>
      <c r="AA1" s="404"/>
      <c r="AB1" s="404"/>
      <c r="AC1" s="404"/>
      <c r="AD1" s="404"/>
      <c r="AE1" s="404"/>
      <c r="AF1" s="404"/>
      <c r="AG1" s="404"/>
      <c r="AH1" s="404"/>
      <c r="AI1" s="404"/>
      <c r="AJ1" s="404"/>
      <c r="AK1" s="404"/>
      <c r="AL1" s="404"/>
      <c r="AM1" s="404"/>
      <c r="AN1" s="404"/>
      <c r="AO1" s="404"/>
      <c r="AP1" s="404"/>
      <c r="AQ1" s="404"/>
      <c r="AR1" s="404"/>
      <c r="AS1" s="404"/>
      <c r="AT1" s="404"/>
      <c r="AU1" s="404"/>
      <c r="AV1" s="404"/>
      <c r="AW1" s="404"/>
      <c r="AX1" s="404"/>
      <c r="AY1" s="404"/>
      <c r="AZ1" s="404"/>
      <c r="BA1" s="404"/>
      <c r="BB1" s="404"/>
      <c r="BC1" s="404"/>
      <c r="BD1" s="404"/>
      <c r="BE1" s="404"/>
      <c r="BF1" s="404"/>
      <c r="BG1" s="404"/>
      <c r="BH1" s="404"/>
      <c r="BI1" s="404"/>
      <c r="BJ1" s="404"/>
      <c r="BK1" s="404"/>
      <c r="BL1" s="404"/>
      <c r="BM1" s="404"/>
      <c r="BN1" s="404"/>
      <c r="BO1" s="404"/>
      <c r="BP1" s="404"/>
      <c r="BQ1" s="404"/>
      <c r="BR1" s="404"/>
      <c r="BS1" s="404"/>
      <c r="BT1" s="404"/>
      <c r="BU1" s="404"/>
      <c r="BV1" s="404"/>
      <c r="BW1" s="404"/>
      <c r="BX1" s="404"/>
      <c r="BY1" s="404"/>
      <c r="BZ1" s="404"/>
      <c r="CA1" s="404"/>
      <c r="CB1" s="404"/>
      <c r="CC1" s="404"/>
      <c r="CD1" s="404"/>
      <c r="CE1" s="404"/>
      <c r="CF1" s="404"/>
      <c r="CG1" s="404"/>
      <c r="CH1" s="404"/>
    </row>
    <row r="2" spans="1:139" ht="15" customHeight="1" x14ac:dyDescent="0.2"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404"/>
      <c r="P2" s="404"/>
      <c r="Q2" s="404"/>
      <c r="R2" s="404"/>
      <c r="S2" s="404"/>
      <c r="T2" s="404"/>
      <c r="U2" s="404"/>
      <c r="V2" s="404"/>
      <c r="W2" s="404"/>
      <c r="X2" s="404"/>
      <c r="Y2" s="404"/>
      <c r="Z2" s="404"/>
      <c r="AA2" s="404"/>
      <c r="AB2" s="404"/>
      <c r="AC2" s="404"/>
      <c r="AD2" s="404"/>
      <c r="AE2" s="404"/>
      <c r="AF2" s="404"/>
      <c r="AG2" s="404"/>
      <c r="AH2" s="404"/>
      <c r="AI2" s="404"/>
      <c r="AJ2" s="404"/>
      <c r="AK2" s="404"/>
      <c r="AL2" s="404"/>
      <c r="AM2" s="404"/>
      <c r="AN2" s="404"/>
      <c r="AO2" s="404"/>
      <c r="AP2" s="404"/>
      <c r="AQ2" s="404"/>
      <c r="AR2" s="404"/>
      <c r="AS2" s="404"/>
      <c r="AT2" s="404"/>
      <c r="AU2" s="404"/>
      <c r="AV2" s="404"/>
      <c r="AW2" s="404"/>
      <c r="AX2" s="404"/>
      <c r="AY2" s="404"/>
      <c r="AZ2" s="404"/>
      <c r="BA2" s="404"/>
      <c r="BB2" s="404"/>
      <c r="BC2" s="404"/>
      <c r="BD2" s="404"/>
      <c r="BE2" s="404"/>
      <c r="BF2" s="404"/>
      <c r="BG2" s="404"/>
      <c r="BH2" s="404"/>
      <c r="BI2" s="404"/>
      <c r="BJ2" s="404"/>
      <c r="BK2" s="404"/>
      <c r="BL2" s="404"/>
      <c r="BM2" s="404"/>
      <c r="BN2" s="404"/>
      <c r="BO2" s="404"/>
      <c r="BP2" s="404"/>
      <c r="BQ2" s="404"/>
      <c r="BR2" s="404"/>
      <c r="BS2" s="404"/>
      <c r="BT2" s="404"/>
      <c r="BU2" s="404"/>
      <c r="BV2" s="404"/>
      <c r="BW2" s="404"/>
      <c r="BX2" s="404"/>
      <c r="BY2" s="404"/>
      <c r="BZ2" s="404"/>
      <c r="CA2" s="404"/>
      <c r="CB2" s="404"/>
      <c r="CC2" s="404"/>
      <c r="CD2" s="404"/>
      <c r="CE2" s="404"/>
      <c r="CF2" s="404"/>
      <c r="CG2" s="404"/>
      <c r="CH2" s="404"/>
    </row>
    <row r="3" spans="1:139" ht="15" customHeight="1" thickBot="1" x14ac:dyDescent="0.45">
      <c r="B3" s="20" t="s">
        <v>28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389"/>
      <c r="BQ3" s="389"/>
      <c r="BR3" s="389"/>
      <c r="BS3" s="389"/>
      <c r="BT3" s="195"/>
      <c r="BU3" s="195"/>
      <c r="BV3" s="195"/>
      <c r="BW3" s="195"/>
      <c r="BX3" s="195"/>
      <c r="BY3" s="195"/>
      <c r="BZ3" s="195"/>
      <c r="CA3" s="195"/>
      <c r="CB3" s="195"/>
      <c r="CC3" s="195"/>
      <c r="CD3" s="195"/>
      <c r="CE3" s="195"/>
      <c r="CF3" s="196"/>
      <c r="CG3" s="196"/>
      <c r="CH3" s="196"/>
      <c r="CI3" s="196"/>
      <c r="CJ3" s="389"/>
      <c r="CK3" s="389"/>
      <c r="CL3" s="389"/>
      <c r="CM3" s="389"/>
      <c r="CN3" s="195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</row>
    <row r="4" spans="1:139" ht="15" customHeight="1" thickBot="1" x14ac:dyDescent="0.45">
      <c r="B4" s="11"/>
      <c r="C4" s="337" t="s">
        <v>29</v>
      </c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/>
      <c r="S4" s="338"/>
      <c r="T4" s="338"/>
      <c r="U4" s="338"/>
      <c r="V4" s="338"/>
      <c r="W4" s="338"/>
      <c r="X4" s="338"/>
      <c r="Y4" s="338"/>
      <c r="Z4" s="338"/>
      <c r="AA4" s="338"/>
      <c r="AB4" s="338"/>
      <c r="AC4" s="338"/>
      <c r="AD4" s="338"/>
      <c r="AE4" s="338"/>
      <c r="AF4" s="339"/>
      <c r="AG4" s="337" t="s">
        <v>30</v>
      </c>
      <c r="AH4" s="338"/>
      <c r="AI4" s="338"/>
      <c r="AJ4" s="338"/>
      <c r="AK4" s="338"/>
      <c r="AL4" s="338"/>
      <c r="AM4" s="338"/>
      <c r="AN4" s="338"/>
      <c r="AO4" s="338"/>
      <c r="AP4" s="338"/>
      <c r="AQ4" s="338"/>
      <c r="AR4" s="338"/>
      <c r="AS4" s="338"/>
      <c r="AT4" s="338"/>
      <c r="AU4" s="339"/>
      <c r="AV4" s="337" t="s">
        <v>31</v>
      </c>
      <c r="AW4" s="338"/>
      <c r="AX4" s="340"/>
      <c r="AY4" s="405" t="s">
        <v>31</v>
      </c>
      <c r="AZ4" s="338"/>
      <c r="BA4" s="339"/>
      <c r="BB4" s="345" t="s">
        <v>32</v>
      </c>
      <c r="BC4" s="346"/>
      <c r="BD4" s="347"/>
      <c r="BE4" s="342" t="s">
        <v>33</v>
      </c>
      <c r="BF4" s="343"/>
      <c r="BG4" s="343"/>
      <c r="BH4" s="343"/>
      <c r="BI4" s="343"/>
      <c r="BJ4" s="343"/>
      <c r="BK4" s="343"/>
      <c r="BL4" s="343"/>
      <c r="BM4" s="343"/>
      <c r="BN4" s="343"/>
      <c r="BO4" s="343"/>
      <c r="BP4" s="344"/>
      <c r="BQ4" s="348" t="s">
        <v>34</v>
      </c>
      <c r="BR4" s="349"/>
      <c r="BS4" s="349"/>
      <c r="BT4" s="349"/>
      <c r="BU4" s="349"/>
      <c r="BV4" s="349"/>
      <c r="BW4" s="349"/>
      <c r="BX4" s="349"/>
      <c r="BY4" s="349"/>
      <c r="BZ4" s="349"/>
      <c r="CA4" s="349"/>
      <c r="CB4" s="349"/>
      <c r="CC4" s="349"/>
      <c r="CD4" s="349"/>
      <c r="CE4" s="349"/>
      <c r="CF4" s="349"/>
      <c r="CG4" s="349"/>
      <c r="CH4" s="350"/>
      <c r="CI4" s="390" t="s">
        <v>34</v>
      </c>
      <c r="CJ4" s="349"/>
      <c r="CK4" s="349"/>
      <c r="CL4" s="349"/>
      <c r="CM4" s="349"/>
      <c r="CN4" s="349"/>
      <c r="CO4" s="349"/>
      <c r="CP4" s="349"/>
      <c r="CQ4" s="349"/>
      <c r="CR4" s="349"/>
      <c r="CS4" s="349"/>
      <c r="CT4" s="349"/>
      <c r="CU4" s="349"/>
      <c r="CV4" s="349"/>
      <c r="CW4" s="349"/>
      <c r="CX4" s="349"/>
      <c r="CY4" s="349"/>
      <c r="CZ4" s="349"/>
      <c r="DA4" s="349"/>
      <c r="DB4" s="349"/>
      <c r="DC4" s="349"/>
      <c r="DD4" s="349"/>
      <c r="DE4" s="349"/>
      <c r="DF4" s="349"/>
      <c r="DG4" s="349"/>
      <c r="DH4" s="349"/>
      <c r="DI4" s="349"/>
      <c r="DJ4" s="349"/>
      <c r="DK4" s="349"/>
      <c r="DL4" s="391"/>
    </row>
    <row r="5" spans="1:139" s="59" customFormat="1" ht="36.75" customHeight="1" x14ac:dyDescent="0.2">
      <c r="B5" s="60"/>
      <c r="C5" s="406" t="s">
        <v>35</v>
      </c>
      <c r="D5" s="308"/>
      <c r="E5" s="308"/>
      <c r="F5" s="308" t="s">
        <v>36</v>
      </c>
      <c r="G5" s="308"/>
      <c r="H5" s="308"/>
      <c r="I5" s="308" t="s">
        <v>37</v>
      </c>
      <c r="J5" s="308"/>
      <c r="K5" s="308"/>
      <c r="L5" s="308" t="s">
        <v>38</v>
      </c>
      <c r="M5" s="308"/>
      <c r="N5" s="308"/>
      <c r="O5" s="308" t="s">
        <v>39</v>
      </c>
      <c r="P5" s="308"/>
      <c r="Q5" s="308"/>
      <c r="R5" s="308" t="s">
        <v>40</v>
      </c>
      <c r="S5" s="308"/>
      <c r="T5" s="308"/>
      <c r="U5" s="308" t="s">
        <v>41</v>
      </c>
      <c r="V5" s="308"/>
      <c r="W5" s="308"/>
      <c r="X5" s="308" t="s">
        <v>42</v>
      </c>
      <c r="Y5" s="308"/>
      <c r="Z5" s="308"/>
      <c r="AA5" s="308" t="s">
        <v>43</v>
      </c>
      <c r="AB5" s="308"/>
      <c r="AC5" s="308"/>
      <c r="AD5" s="308" t="s">
        <v>44</v>
      </c>
      <c r="AE5" s="308"/>
      <c r="AF5" s="309"/>
      <c r="AG5" s="406" t="s">
        <v>45</v>
      </c>
      <c r="AH5" s="308"/>
      <c r="AI5" s="308"/>
      <c r="AJ5" s="2"/>
      <c r="AK5" s="2" t="s">
        <v>46</v>
      </c>
      <c r="AL5" s="2"/>
      <c r="AM5" s="308" t="s">
        <v>47</v>
      </c>
      <c r="AN5" s="308"/>
      <c r="AO5" s="308"/>
      <c r="AP5" s="308" t="s">
        <v>48</v>
      </c>
      <c r="AQ5" s="308"/>
      <c r="AR5" s="308"/>
      <c r="AS5" s="308" t="s">
        <v>49</v>
      </c>
      <c r="AT5" s="308"/>
      <c r="AU5" s="309"/>
      <c r="AV5" s="406" t="s">
        <v>50</v>
      </c>
      <c r="AW5" s="308"/>
      <c r="AX5" s="308"/>
      <c r="AY5" s="308" t="s">
        <v>51</v>
      </c>
      <c r="AZ5" s="308"/>
      <c r="BA5" s="309"/>
      <c r="BB5" s="420" t="s">
        <v>52</v>
      </c>
      <c r="BC5" s="421"/>
      <c r="BD5" s="422"/>
      <c r="BE5" s="341" t="s">
        <v>53</v>
      </c>
      <c r="BF5" s="306"/>
      <c r="BG5" s="306"/>
      <c r="BH5" s="306" t="s">
        <v>54</v>
      </c>
      <c r="BI5" s="306"/>
      <c r="BJ5" s="306"/>
      <c r="BK5" s="306" t="s">
        <v>55</v>
      </c>
      <c r="BL5" s="306"/>
      <c r="BM5" s="306"/>
      <c r="BN5" s="306" t="s">
        <v>56</v>
      </c>
      <c r="BO5" s="306"/>
      <c r="BP5" s="307"/>
      <c r="BQ5" s="331"/>
      <c r="BR5" s="332"/>
      <c r="BS5" s="333"/>
      <c r="BT5" s="331"/>
      <c r="BU5" s="332"/>
      <c r="BV5" s="333"/>
      <c r="BW5" s="331"/>
      <c r="BX5" s="332"/>
      <c r="BY5" s="333"/>
      <c r="BZ5" s="331"/>
      <c r="CA5" s="332"/>
      <c r="CB5" s="333"/>
      <c r="CC5" s="331"/>
      <c r="CD5" s="332"/>
      <c r="CE5" s="333"/>
      <c r="CF5" s="331"/>
      <c r="CG5" s="332"/>
      <c r="CH5" s="333"/>
      <c r="CI5" s="392" t="s">
        <v>58</v>
      </c>
      <c r="CJ5" s="393"/>
      <c r="CK5" s="394"/>
      <c r="CL5" s="392" t="s">
        <v>59</v>
      </c>
      <c r="CM5" s="393"/>
      <c r="CN5" s="394"/>
      <c r="CO5" s="392" t="s">
        <v>60</v>
      </c>
      <c r="CP5" s="393"/>
      <c r="CQ5" s="394"/>
      <c r="CR5" s="392" t="s">
        <v>61</v>
      </c>
      <c r="CS5" s="393"/>
      <c r="CT5" s="394"/>
      <c r="CU5" s="392" t="s">
        <v>62</v>
      </c>
      <c r="CV5" s="393"/>
      <c r="CW5" s="394"/>
      <c r="CX5" s="395" t="s">
        <v>63</v>
      </c>
      <c r="CY5" s="396"/>
      <c r="CZ5" s="397"/>
      <c r="DA5" s="392" t="s">
        <v>64</v>
      </c>
      <c r="DB5" s="393"/>
      <c r="DC5" s="394"/>
      <c r="DD5" s="392" t="s">
        <v>65</v>
      </c>
      <c r="DE5" s="393"/>
      <c r="DF5" s="394"/>
      <c r="DG5" s="395" t="s">
        <v>66</v>
      </c>
      <c r="DH5" s="396"/>
      <c r="DI5" s="397"/>
      <c r="DJ5" s="392" t="s">
        <v>67</v>
      </c>
      <c r="DK5" s="393"/>
      <c r="DL5" s="394"/>
    </row>
    <row r="6" spans="1:139" ht="33.75" customHeight="1" thickBot="1" x14ac:dyDescent="0.25">
      <c r="B6" s="17"/>
      <c r="C6" s="227" t="s">
        <v>68</v>
      </c>
      <c r="D6" s="228" t="s">
        <v>69</v>
      </c>
      <c r="E6" s="228" t="s">
        <v>70</v>
      </c>
      <c r="F6" s="228" t="s">
        <v>68</v>
      </c>
      <c r="G6" s="228" t="s">
        <v>69</v>
      </c>
      <c r="H6" s="228" t="s">
        <v>70</v>
      </c>
      <c r="I6" s="228" t="s">
        <v>68</v>
      </c>
      <c r="J6" s="228" t="s">
        <v>69</v>
      </c>
      <c r="K6" s="228" t="s">
        <v>70</v>
      </c>
      <c r="L6" s="228" t="s">
        <v>68</v>
      </c>
      <c r="M6" s="228" t="s">
        <v>69</v>
      </c>
      <c r="N6" s="228" t="s">
        <v>70</v>
      </c>
      <c r="O6" s="228" t="s">
        <v>68</v>
      </c>
      <c r="P6" s="228" t="s">
        <v>69</v>
      </c>
      <c r="Q6" s="228" t="s">
        <v>70</v>
      </c>
      <c r="R6" s="228" t="s">
        <v>68</v>
      </c>
      <c r="S6" s="228" t="s">
        <v>69</v>
      </c>
      <c r="T6" s="228" t="s">
        <v>70</v>
      </c>
      <c r="U6" s="228" t="s">
        <v>68</v>
      </c>
      <c r="V6" s="228" t="s">
        <v>69</v>
      </c>
      <c r="W6" s="228" t="s">
        <v>70</v>
      </c>
      <c r="X6" s="228" t="s">
        <v>68</v>
      </c>
      <c r="Y6" s="228" t="s">
        <v>69</v>
      </c>
      <c r="Z6" s="228" t="s">
        <v>70</v>
      </c>
      <c r="AA6" s="228" t="s">
        <v>68</v>
      </c>
      <c r="AB6" s="228" t="s">
        <v>69</v>
      </c>
      <c r="AC6" s="228" t="s">
        <v>70</v>
      </c>
      <c r="AD6" s="228" t="s">
        <v>68</v>
      </c>
      <c r="AE6" s="228" t="s">
        <v>69</v>
      </c>
      <c r="AF6" s="229" t="s">
        <v>70</v>
      </c>
      <c r="AG6" s="227" t="s">
        <v>68</v>
      </c>
      <c r="AH6" s="228" t="s">
        <v>69</v>
      </c>
      <c r="AI6" s="228" t="s">
        <v>70</v>
      </c>
      <c r="AJ6" s="228" t="s">
        <v>68</v>
      </c>
      <c r="AK6" s="228" t="s">
        <v>69</v>
      </c>
      <c r="AL6" s="228" t="s">
        <v>70</v>
      </c>
      <c r="AM6" s="228" t="s">
        <v>68</v>
      </c>
      <c r="AN6" s="228" t="s">
        <v>69</v>
      </c>
      <c r="AO6" s="228" t="s">
        <v>70</v>
      </c>
      <c r="AP6" s="228" t="s">
        <v>68</v>
      </c>
      <c r="AQ6" s="228" t="s">
        <v>69</v>
      </c>
      <c r="AR6" s="228" t="s">
        <v>70</v>
      </c>
      <c r="AS6" s="228" t="s">
        <v>68</v>
      </c>
      <c r="AT6" s="228" t="s">
        <v>69</v>
      </c>
      <c r="AU6" s="229" t="s">
        <v>70</v>
      </c>
      <c r="AV6" s="227" t="s">
        <v>68</v>
      </c>
      <c r="AW6" s="228" t="s">
        <v>69</v>
      </c>
      <c r="AX6" s="228" t="s">
        <v>70</v>
      </c>
      <c r="AY6" s="228" t="s">
        <v>68</v>
      </c>
      <c r="AZ6" s="228" t="s">
        <v>69</v>
      </c>
      <c r="BA6" s="229" t="s">
        <v>70</v>
      </c>
      <c r="BB6" s="227" t="s">
        <v>68</v>
      </c>
      <c r="BC6" s="228" t="s">
        <v>69</v>
      </c>
      <c r="BD6" s="229" t="s">
        <v>70</v>
      </c>
      <c r="BE6" s="227" t="s">
        <v>68</v>
      </c>
      <c r="BF6" s="228" t="s">
        <v>69</v>
      </c>
      <c r="BG6" s="228" t="s">
        <v>70</v>
      </c>
      <c r="BH6" s="228" t="s">
        <v>68</v>
      </c>
      <c r="BI6" s="228" t="s">
        <v>69</v>
      </c>
      <c r="BJ6" s="228" t="s">
        <v>70</v>
      </c>
      <c r="BK6" s="228" t="s">
        <v>68</v>
      </c>
      <c r="BL6" s="228" t="s">
        <v>69</v>
      </c>
      <c r="BM6" s="228" t="s">
        <v>70</v>
      </c>
      <c r="BN6" s="228" t="s">
        <v>68</v>
      </c>
      <c r="BO6" s="228" t="s">
        <v>69</v>
      </c>
      <c r="BP6" s="233" t="s">
        <v>70</v>
      </c>
      <c r="BQ6" s="227" t="s">
        <v>68</v>
      </c>
      <c r="BR6" s="228" t="s">
        <v>69</v>
      </c>
      <c r="BS6" s="229" t="s">
        <v>70</v>
      </c>
      <c r="BT6" s="227" t="s">
        <v>68</v>
      </c>
      <c r="BU6" s="228" t="s">
        <v>69</v>
      </c>
      <c r="BV6" s="229" t="s">
        <v>70</v>
      </c>
      <c r="BW6" s="227" t="s">
        <v>68</v>
      </c>
      <c r="BX6" s="228" t="s">
        <v>69</v>
      </c>
      <c r="BY6" s="229" t="s">
        <v>70</v>
      </c>
      <c r="BZ6" s="227" t="s">
        <v>68</v>
      </c>
      <c r="CA6" s="228" t="s">
        <v>69</v>
      </c>
      <c r="CB6" s="229" t="s">
        <v>70</v>
      </c>
      <c r="CC6" s="227" t="s">
        <v>68</v>
      </c>
      <c r="CD6" s="228" t="s">
        <v>69</v>
      </c>
      <c r="CE6" s="229" t="s">
        <v>70</v>
      </c>
      <c r="CF6" s="227" t="s">
        <v>68</v>
      </c>
      <c r="CG6" s="228" t="s">
        <v>69</v>
      </c>
      <c r="CH6" s="229" t="s">
        <v>70</v>
      </c>
      <c r="CI6" s="227" t="s">
        <v>71</v>
      </c>
      <c r="CJ6" s="228" t="s">
        <v>72</v>
      </c>
      <c r="CK6" s="229" t="s">
        <v>73</v>
      </c>
      <c r="CL6" s="227" t="s">
        <v>71</v>
      </c>
      <c r="CM6" s="228" t="s">
        <v>72</v>
      </c>
      <c r="CN6" s="229" t="s">
        <v>73</v>
      </c>
      <c r="CO6" s="227" t="s">
        <v>71</v>
      </c>
      <c r="CP6" s="228" t="s">
        <v>72</v>
      </c>
      <c r="CQ6" s="229" t="s">
        <v>73</v>
      </c>
      <c r="CR6" s="227" t="s">
        <v>71</v>
      </c>
      <c r="CS6" s="228" t="s">
        <v>72</v>
      </c>
      <c r="CT6" s="229" t="s">
        <v>73</v>
      </c>
      <c r="CU6" s="227" t="s">
        <v>71</v>
      </c>
      <c r="CV6" s="228" t="s">
        <v>72</v>
      </c>
      <c r="CW6" s="229" t="s">
        <v>73</v>
      </c>
      <c r="CX6" s="227" t="s">
        <v>71</v>
      </c>
      <c r="CY6" s="228" t="s">
        <v>72</v>
      </c>
      <c r="CZ6" s="229" t="s">
        <v>73</v>
      </c>
      <c r="DA6" s="227" t="s">
        <v>71</v>
      </c>
      <c r="DB6" s="228" t="s">
        <v>72</v>
      </c>
      <c r="DC6" s="229" t="s">
        <v>73</v>
      </c>
      <c r="DD6" s="227" t="s">
        <v>71</v>
      </c>
      <c r="DE6" s="228" t="s">
        <v>72</v>
      </c>
      <c r="DF6" s="229" t="s">
        <v>73</v>
      </c>
      <c r="DG6" s="227" t="s">
        <v>71</v>
      </c>
      <c r="DH6" s="228" t="s">
        <v>72</v>
      </c>
      <c r="DI6" s="229" t="s">
        <v>73</v>
      </c>
      <c r="DJ6" s="227" t="s">
        <v>71</v>
      </c>
      <c r="DK6" s="228" t="s">
        <v>72</v>
      </c>
      <c r="DL6" s="229" t="s">
        <v>73</v>
      </c>
      <c r="EI6" s="61"/>
    </row>
    <row r="7" spans="1:139" x14ac:dyDescent="0.2">
      <c r="B7" s="23" t="s">
        <v>74</v>
      </c>
      <c r="C7" s="230">
        <v>0</v>
      </c>
      <c r="D7" s="231">
        <v>0</v>
      </c>
      <c r="E7" s="231">
        <v>0</v>
      </c>
      <c r="F7" s="231">
        <v>20000</v>
      </c>
      <c r="G7" s="231">
        <v>0</v>
      </c>
      <c r="H7" s="231">
        <v>0</v>
      </c>
      <c r="I7" s="231">
        <v>0</v>
      </c>
      <c r="J7" s="231">
        <v>0</v>
      </c>
      <c r="K7" s="231">
        <v>0</v>
      </c>
      <c r="L7" s="231">
        <v>0</v>
      </c>
      <c r="M7" s="231">
        <v>0</v>
      </c>
      <c r="N7" s="231">
        <v>0</v>
      </c>
      <c r="O7" s="231">
        <v>17000</v>
      </c>
      <c r="P7" s="231">
        <v>0</v>
      </c>
      <c r="Q7" s="231">
        <v>0</v>
      </c>
      <c r="R7" s="231">
        <v>12000</v>
      </c>
      <c r="S7" s="231">
        <v>0</v>
      </c>
      <c r="T7" s="231">
        <v>0</v>
      </c>
      <c r="U7" s="231">
        <v>0</v>
      </c>
      <c r="V7" s="231">
        <v>0</v>
      </c>
      <c r="W7" s="231">
        <v>0</v>
      </c>
      <c r="X7" s="231">
        <v>0</v>
      </c>
      <c r="Y7" s="231">
        <v>0</v>
      </c>
      <c r="Z7" s="231">
        <v>0</v>
      </c>
      <c r="AA7" s="231">
        <v>0</v>
      </c>
      <c r="AB7" s="231">
        <v>0</v>
      </c>
      <c r="AC7" s="231">
        <v>0</v>
      </c>
      <c r="AD7" s="231">
        <v>3600</v>
      </c>
      <c r="AE7" s="231">
        <v>0</v>
      </c>
      <c r="AF7" s="231">
        <v>0</v>
      </c>
      <c r="AG7" s="231">
        <v>0</v>
      </c>
      <c r="AH7" s="231">
        <v>0</v>
      </c>
      <c r="AI7" s="231">
        <v>0</v>
      </c>
      <c r="AJ7" s="231">
        <v>0</v>
      </c>
      <c r="AK7" s="231">
        <v>0</v>
      </c>
      <c r="AL7" s="231">
        <v>0</v>
      </c>
      <c r="AM7" s="231">
        <v>0</v>
      </c>
      <c r="AN7" s="231">
        <v>0</v>
      </c>
      <c r="AO7" s="231">
        <v>0</v>
      </c>
      <c r="AP7" s="231">
        <v>0</v>
      </c>
      <c r="AQ7" s="231">
        <v>0</v>
      </c>
      <c r="AR7" s="231">
        <v>0</v>
      </c>
      <c r="AS7" s="231">
        <v>2000</v>
      </c>
      <c r="AT7" s="231">
        <v>0</v>
      </c>
      <c r="AU7" s="231">
        <v>0</v>
      </c>
      <c r="AV7" s="231">
        <v>0</v>
      </c>
      <c r="AW7" s="231">
        <v>0</v>
      </c>
      <c r="AX7" s="231">
        <v>0</v>
      </c>
      <c r="AY7" s="231">
        <v>0</v>
      </c>
      <c r="AZ7" s="231">
        <v>0</v>
      </c>
      <c r="BA7" s="231">
        <v>0</v>
      </c>
      <c r="BB7" s="231">
        <v>0</v>
      </c>
      <c r="BC7" s="231">
        <v>0</v>
      </c>
      <c r="BD7" s="231">
        <v>0</v>
      </c>
      <c r="BE7" s="231">
        <v>4200</v>
      </c>
      <c r="BF7" s="231">
        <v>0</v>
      </c>
      <c r="BG7" s="231">
        <v>0</v>
      </c>
      <c r="BH7" s="231">
        <v>7500</v>
      </c>
      <c r="BI7" s="231">
        <v>0</v>
      </c>
      <c r="BJ7" s="231">
        <v>0</v>
      </c>
      <c r="BK7" s="231">
        <v>0</v>
      </c>
      <c r="BL7" s="231">
        <v>0</v>
      </c>
      <c r="BM7" s="231">
        <v>0</v>
      </c>
      <c r="BN7" s="231">
        <v>0</v>
      </c>
      <c r="BO7" s="231">
        <v>0</v>
      </c>
      <c r="BP7" s="234">
        <v>0</v>
      </c>
      <c r="BQ7" s="230">
        <v>0</v>
      </c>
      <c r="BR7" s="231">
        <v>0</v>
      </c>
      <c r="BS7" s="232">
        <v>0</v>
      </c>
      <c r="BT7" s="230">
        <v>0</v>
      </c>
      <c r="BU7" s="231">
        <v>0</v>
      </c>
      <c r="BV7" s="232">
        <v>0</v>
      </c>
      <c r="BW7" s="230">
        <v>0</v>
      </c>
      <c r="BX7" s="231">
        <v>0</v>
      </c>
      <c r="BY7" s="232">
        <v>0</v>
      </c>
      <c r="BZ7" s="230">
        <v>0</v>
      </c>
      <c r="CA7" s="231">
        <v>0</v>
      </c>
      <c r="CB7" s="232">
        <v>0</v>
      </c>
      <c r="CC7" s="230">
        <v>0</v>
      </c>
      <c r="CD7" s="231">
        <v>0</v>
      </c>
      <c r="CE7" s="232">
        <v>0</v>
      </c>
      <c r="CF7" s="230">
        <v>0</v>
      </c>
      <c r="CG7" s="231">
        <v>0</v>
      </c>
      <c r="CH7" s="232">
        <v>0</v>
      </c>
      <c r="CI7" s="230">
        <v>0</v>
      </c>
      <c r="CJ7" s="231">
        <v>0</v>
      </c>
      <c r="CK7" s="232">
        <v>0</v>
      </c>
      <c r="CL7" s="230">
        <v>0</v>
      </c>
      <c r="CM7" s="231">
        <v>0</v>
      </c>
      <c r="CN7" s="232">
        <v>0</v>
      </c>
      <c r="CO7" s="230">
        <v>0</v>
      </c>
      <c r="CP7" s="231">
        <v>0</v>
      </c>
      <c r="CQ7" s="232">
        <v>0</v>
      </c>
      <c r="CR7" s="230">
        <v>0</v>
      </c>
      <c r="CS7" s="231">
        <v>0</v>
      </c>
      <c r="CT7" s="232">
        <v>0</v>
      </c>
      <c r="CU7" s="230">
        <v>0</v>
      </c>
      <c r="CV7" s="231">
        <v>0</v>
      </c>
      <c r="CW7" s="232">
        <v>0</v>
      </c>
      <c r="CX7" s="230">
        <v>0</v>
      </c>
      <c r="CY7" s="231">
        <v>0</v>
      </c>
      <c r="CZ7" s="232">
        <v>0</v>
      </c>
      <c r="DA7" s="230">
        <v>0</v>
      </c>
      <c r="DB7" s="231">
        <v>0</v>
      </c>
      <c r="DC7" s="232">
        <v>0</v>
      </c>
      <c r="DD7" s="230">
        <v>0</v>
      </c>
      <c r="DE7" s="231">
        <v>0</v>
      </c>
      <c r="DF7" s="232">
        <v>0</v>
      </c>
      <c r="DG7" s="230">
        <v>0</v>
      </c>
      <c r="DH7" s="231">
        <v>0</v>
      </c>
      <c r="DI7" s="232">
        <v>0</v>
      </c>
      <c r="DJ7" s="230">
        <v>0</v>
      </c>
      <c r="DK7" s="231">
        <v>0</v>
      </c>
      <c r="DL7" s="232">
        <v>0</v>
      </c>
      <c r="EI7" s="61"/>
    </row>
    <row r="8" spans="1:139" x14ac:dyDescent="0.2">
      <c r="B8" s="23" t="s">
        <v>75</v>
      </c>
      <c r="C8" s="110">
        <v>0</v>
      </c>
      <c r="D8" s="111">
        <v>0</v>
      </c>
      <c r="E8" s="111">
        <v>0</v>
      </c>
      <c r="F8" s="111">
        <v>18000</v>
      </c>
      <c r="G8" s="111">
        <v>0</v>
      </c>
      <c r="H8" s="111">
        <v>0</v>
      </c>
      <c r="I8" s="111">
        <v>0</v>
      </c>
      <c r="J8" s="111">
        <v>0</v>
      </c>
      <c r="K8" s="111">
        <v>0</v>
      </c>
      <c r="L8" s="111">
        <v>0</v>
      </c>
      <c r="M8" s="111">
        <v>0</v>
      </c>
      <c r="N8" s="111">
        <v>0</v>
      </c>
      <c r="O8" s="111">
        <v>17000</v>
      </c>
      <c r="P8" s="111">
        <v>0</v>
      </c>
      <c r="Q8" s="111">
        <v>0</v>
      </c>
      <c r="R8" s="111">
        <v>12000</v>
      </c>
      <c r="S8" s="111">
        <v>0</v>
      </c>
      <c r="T8" s="111">
        <v>0</v>
      </c>
      <c r="U8" s="111">
        <v>0</v>
      </c>
      <c r="V8" s="111">
        <v>0</v>
      </c>
      <c r="W8" s="111">
        <v>0</v>
      </c>
      <c r="X8" s="111">
        <v>0</v>
      </c>
      <c r="Y8" s="111">
        <v>0</v>
      </c>
      <c r="Z8" s="111">
        <v>0</v>
      </c>
      <c r="AA8" s="111">
        <v>0</v>
      </c>
      <c r="AB8" s="111">
        <v>0</v>
      </c>
      <c r="AC8" s="111">
        <v>0</v>
      </c>
      <c r="AD8" s="111">
        <v>3600</v>
      </c>
      <c r="AE8" s="111">
        <v>0</v>
      </c>
      <c r="AF8" s="111">
        <v>0</v>
      </c>
      <c r="AG8" s="111">
        <v>0</v>
      </c>
      <c r="AH8" s="111">
        <v>0</v>
      </c>
      <c r="AI8" s="111">
        <v>0</v>
      </c>
      <c r="AJ8" s="111">
        <v>0</v>
      </c>
      <c r="AK8" s="111">
        <v>0</v>
      </c>
      <c r="AL8" s="111">
        <v>0</v>
      </c>
      <c r="AM8" s="111">
        <v>0</v>
      </c>
      <c r="AN8" s="111">
        <v>0</v>
      </c>
      <c r="AO8" s="111">
        <v>0</v>
      </c>
      <c r="AP8" s="111">
        <v>0</v>
      </c>
      <c r="AQ8" s="111">
        <v>0</v>
      </c>
      <c r="AR8" s="111">
        <v>0</v>
      </c>
      <c r="AS8" s="111">
        <v>2000</v>
      </c>
      <c r="AT8" s="111">
        <v>0</v>
      </c>
      <c r="AU8" s="111">
        <v>0</v>
      </c>
      <c r="AV8" s="111">
        <v>0</v>
      </c>
      <c r="AW8" s="111">
        <v>0</v>
      </c>
      <c r="AX8" s="111">
        <v>0</v>
      </c>
      <c r="AY8" s="111">
        <v>0</v>
      </c>
      <c r="AZ8" s="111">
        <v>0</v>
      </c>
      <c r="BA8" s="111">
        <v>0</v>
      </c>
      <c r="BB8" s="111">
        <v>0</v>
      </c>
      <c r="BC8" s="111">
        <v>0</v>
      </c>
      <c r="BD8" s="111">
        <v>0</v>
      </c>
      <c r="BE8" s="111">
        <v>4200</v>
      </c>
      <c r="BF8" s="111">
        <v>0</v>
      </c>
      <c r="BG8" s="111">
        <v>0</v>
      </c>
      <c r="BH8" s="111">
        <v>7500</v>
      </c>
      <c r="BI8" s="111">
        <v>0</v>
      </c>
      <c r="BJ8" s="111">
        <v>0</v>
      </c>
      <c r="BK8" s="111">
        <v>0</v>
      </c>
      <c r="BL8" s="111">
        <v>0</v>
      </c>
      <c r="BM8" s="111">
        <v>0</v>
      </c>
      <c r="BN8" s="111">
        <v>0</v>
      </c>
      <c r="BO8" s="111">
        <v>0</v>
      </c>
      <c r="BP8" s="235">
        <v>0</v>
      </c>
      <c r="BQ8" s="110">
        <v>0</v>
      </c>
      <c r="BR8" s="111">
        <v>0</v>
      </c>
      <c r="BS8" s="112">
        <v>0</v>
      </c>
      <c r="BT8" s="110">
        <v>0</v>
      </c>
      <c r="BU8" s="111">
        <v>0</v>
      </c>
      <c r="BV8" s="112">
        <v>0</v>
      </c>
      <c r="BW8" s="110">
        <v>0</v>
      </c>
      <c r="BX8" s="111">
        <v>0</v>
      </c>
      <c r="BY8" s="112">
        <v>0</v>
      </c>
      <c r="BZ8" s="110">
        <v>0</v>
      </c>
      <c r="CA8" s="111">
        <v>0</v>
      </c>
      <c r="CB8" s="112">
        <v>0</v>
      </c>
      <c r="CC8" s="110">
        <v>0</v>
      </c>
      <c r="CD8" s="111">
        <v>0</v>
      </c>
      <c r="CE8" s="112">
        <v>0</v>
      </c>
      <c r="CF8" s="110">
        <v>0</v>
      </c>
      <c r="CG8" s="111">
        <v>0</v>
      </c>
      <c r="CH8" s="112">
        <v>0</v>
      </c>
      <c r="CI8" s="110">
        <v>0</v>
      </c>
      <c r="CJ8" s="111">
        <v>0</v>
      </c>
      <c r="CK8" s="112">
        <v>0</v>
      </c>
      <c r="CL8" s="110">
        <v>0</v>
      </c>
      <c r="CM8" s="111">
        <v>0</v>
      </c>
      <c r="CN8" s="112">
        <v>0</v>
      </c>
      <c r="CO8" s="110">
        <v>0</v>
      </c>
      <c r="CP8" s="111">
        <v>0</v>
      </c>
      <c r="CQ8" s="112">
        <v>0</v>
      </c>
      <c r="CR8" s="110">
        <v>0</v>
      </c>
      <c r="CS8" s="111">
        <v>0</v>
      </c>
      <c r="CT8" s="112">
        <v>0</v>
      </c>
      <c r="CU8" s="110">
        <v>0</v>
      </c>
      <c r="CV8" s="111">
        <v>0</v>
      </c>
      <c r="CW8" s="112">
        <v>0</v>
      </c>
      <c r="CX8" s="110">
        <v>0</v>
      </c>
      <c r="CY8" s="111">
        <v>0</v>
      </c>
      <c r="CZ8" s="112">
        <v>0</v>
      </c>
      <c r="DA8" s="110">
        <v>0</v>
      </c>
      <c r="DB8" s="111">
        <v>0</v>
      </c>
      <c r="DC8" s="112">
        <v>0</v>
      </c>
      <c r="DD8" s="110">
        <v>0</v>
      </c>
      <c r="DE8" s="111">
        <v>0</v>
      </c>
      <c r="DF8" s="112">
        <v>0</v>
      </c>
      <c r="DG8" s="110">
        <v>0</v>
      </c>
      <c r="DH8" s="111">
        <v>0</v>
      </c>
      <c r="DI8" s="112">
        <v>0</v>
      </c>
      <c r="DJ8" s="110">
        <v>0</v>
      </c>
      <c r="DK8" s="111">
        <v>0</v>
      </c>
      <c r="DL8" s="112">
        <v>0</v>
      </c>
      <c r="EI8" s="61"/>
    </row>
    <row r="9" spans="1:139" ht="15" customHeight="1" x14ac:dyDescent="0.2">
      <c r="B9" s="23" t="s">
        <v>76</v>
      </c>
      <c r="C9" s="110">
        <v>0</v>
      </c>
      <c r="D9" s="111">
        <v>0</v>
      </c>
      <c r="E9" s="111">
        <v>0</v>
      </c>
      <c r="F9" s="111">
        <v>18000</v>
      </c>
      <c r="G9" s="111">
        <v>0</v>
      </c>
      <c r="H9" s="111">
        <v>0</v>
      </c>
      <c r="I9" s="111">
        <v>0</v>
      </c>
      <c r="J9" s="111">
        <v>0</v>
      </c>
      <c r="K9" s="111">
        <v>0</v>
      </c>
      <c r="L9" s="111">
        <v>0</v>
      </c>
      <c r="M9" s="111">
        <v>0</v>
      </c>
      <c r="N9" s="111">
        <v>0</v>
      </c>
      <c r="O9" s="111">
        <v>17000</v>
      </c>
      <c r="P9" s="111">
        <v>0</v>
      </c>
      <c r="Q9" s="111">
        <v>0</v>
      </c>
      <c r="R9" s="111">
        <v>10000</v>
      </c>
      <c r="S9" s="111">
        <v>0</v>
      </c>
      <c r="T9" s="111">
        <v>0</v>
      </c>
      <c r="U9" s="111">
        <v>0</v>
      </c>
      <c r="V9" s="111">
        <v>0</v>
      </c>
      <c r="W9" s="111">
        <v>0</v>
      </c>
      <c r="X9" s="111">
        <v>0</v>
      </c>
      <c r="Y9" s="111">
        <v>0</v>
      </c>
      <c r="Z9" s="111">
        <v>0</v>
      </c>
      <c r="AA9" s="111">
        <v>0</v>
      </c>
      <c r="AB9" s="111">
        <v>0</v>
      </c>
      <c r="AC9" s="111">
        <v>0</v>
      </c>
      <c r="AD9" s="111">
        <v>10220</v>
      </c>
      <c r="AE9" s="111">
        <v>0</v>
      </c>
      <c r="AF9" s="111">
        <v>0</v>
      </c>
      <c r="AG9" s="111">
        <v>0</v>
      </c>
      <c r="AH9" s="111">
        <v>0</v>
      </c>
      <c r="AI9" s="111">
        <v>0</v>
      </c>
      <c r="AJ9" s="111">
        <v>0</v>
      </c>
      <c r="AK9" s="111">
        <v>0</v>
      </c>
      <c r="AL9" s="111">
        <v>0</v>
      </c>
      <c r="AM9" s="111">
        <v>0</v>
      </c>
      <c r="AN9" s="111">
        <v>0</v>
      </c>
      <c r="AO9" s="111">
        <v>0</v>
      </c>
      <c r="AP9" s="111">
        <v>0</v>
      </c>
      <c r="AQ9" s="111">
        <v>0</v>
      </c>
      <c r="AR9" s="111">
        <v>0</v>
      </c>
      <c r="AS9" s="111">
        <v>2000</v>
      </c>
      <c r="AT9" s="111">
        <v>0</v>
      </c>
      <c r="AU9" s="111">
        <v>0</v>
      </c>
      <c r="AV9" s="111">
        <v>0</v>
      </c>
      <c r="AW9" s="111">
        <v>0</v>
      </c>
      <c r="AX9" s="111">
        <v>0</v>
      </c>
      <c r="AY9" s="111">
        <v>0</v>
      </c>
      <c r="AZ9" s="111">
        <v>0</v>
      </c>
      <c r="BA9" s="111">
        <v>0</v>
      </c>
      <c r="BB9" s="111">
        <v>0</v>
      </c>
      <c r="BC9" s="111">
        <v>0</v>
      </c>
      <c r="BD9" s="111">
        <v>0</v>
      </c>
      <c r="BE9" s="111">
        <v>4200</v>
      </c>
      <c r="BF9" s="111">
        <v>0</v>
      </c>
      <c r="BG9" s="111">
        <v>0</v>
      </c>
      <c r="BH9" s="111">
        <v>0</v>
      </c>
      <c r="BI9" s="111">
        <v>0</v>
      </c>
      <c r="BJ9" s="111">
        <v>0</v>
      </c>
      <c r="BK9" s="111">
        <v>0</v>
      </c>
      <c r="BL9" s="111">
        <v>0</v>
      </c>
      <c r="BM9" s="111">
        <v>0</v>
      </c>
      <c r="BN9" s="111">
        <v>0</v>
      </c>
      <c r="BO9" s="111">
        <v>0</v>
      </c>
      <c r="BP9" s="235">
        <v>0</v>
      </c>
      <c r="BQ9" s="110">
        <v>0</v>
      </c>
      <c r="BR9" s="111">
        <v>0</v>
      </c>
      <c r="BS9" s="112">
        <v>0</v>
      </c>
      <c r="BT9" s="110">
        <v>0</v>
      </c>
      <c r="BU9" s="111">
        <v>0</v>
      </c>
      <c r="BV9" s="112">
        <v>0</v>
      </c>
      <c r="BW9" s="110">
        <v>0</v>
      </c>
      <c r="BX9" s="111">
        <v>0</v>
      </c>
      <c r="BY9" s="112">
        <v>0</v>
      </c>
      <c r="BZ9" s="110">
        <v>0</v>
      </c>
      <c r="CA9" s="111">
        <v>0</v>
      </c>
      <c r="CB9" s="112">
        <v>0</v>
      </c>
      <c r="CC9" s="110">
        <v>0</v>
      </c>
      <c r="CD9" s="111">
        <v>0</v>
      </c>
      <c r="CE9" s="112">
        <v>0</v>
      </c>
      <c r="CF9" s="110">
        <v>0</v>
      </c>
      <c r="CG9" s="111">
        <v>0</v>
      </c>
      <c r="CH9" s="112">
        <v>0</v>
      </c>
      <c r="CI9" s="110">
        <v>0</v>
      </c>
      <c r="CJ9" s="111">
        <v>0</v>
      </c>
      <c r="CK9" s="112">
        <v>0</v>
      </c>
      <c r="CL9" s="110">
        <v>0</v>
      </c>
      <c r="CM9" s="111">
        <v>0</v>
      </c>
      <c r="CN9" s="112">
        <v>0</v>
      </c>
      <c r="CO9" s="110">
        <v>0</v>
      </c>
      <c r="CP9" s="111">
        <v>0</v>
      </c>
      <c r="CQ9" s="112">
        <v>0</v>
      </c>
      <c r="CR9" s="110">
        <v>0</v>
      </c>
      <c r="CS9" s="111">
        <v>0</v>
      </c>
      <c r="CT9" s="112">
        <v>0</v>
      </c>
      <c r="CU9" s="110">
        <v>0</v>
      </c>
      <c r="CV9" s="111">
        <v>0</v>
      </c>
      <c r="CW9" s="112">
        <v>0</v>
      </c>
      <c r="CX9" s="110">
        <v>0</v>
      </c>
      <c r="CY9" s="111">
        <v>0</v>
      </c>
      <c r="CZ9" s="112">
        <v>0</v>
      </c>
      <c r="DA9" s="110">
        <v>0</v>
      </c>
      <c r="DB9" s="111">
        <v>0</v>
      </c>
      <c r="DC9" s="112">
        <v>0</v>
      </c>
      <c r="DD9" s="110">
        <v>0</v>
      </c>
      <c r="DE9" s="111">
        <v>0</v>
      </c>
      <c r="DF9" s="112">
        <v>0</v>
      </c>
      <c r="DG9" s="110">
        <v>0</v>
      </c>
      <c r="DH9" s="111">
        <v>0</v>
      </c>
      <c r="DI9" s="112">
        <v>0</v>
      </c>
      <c r="DJ9" s="110">
        <v>0</v>
      </c>
      <c r="DK9" s="111">
        <v>0</v>
      </c>
      <c r="DL9" s="112">
        <v>0</v>
      </c>
      <c r="EI9" s="61"/>
    </row>
    <row r="10" spans="1:139" x14ac:dyDescent="0.2">
      <c r="B10" s="23" t="s">
        <v>77</v>
      </c>
      <c r="C10" s="110">
        <v>0</v>
      </c>
      <c r="D10" s="111">
        <v>0</v>
      </c>
      <c r="E10" s="111">
        <v>0</v>
      </c>
      <c r="F10" s="111">
        <v>18000</v>
      </c>
      <c r="G10" s="111">
        <v>0</v>
      </c>
      <c r="H10" s="111">
        <v>0</v>
      </c>
      <c r="I10" s="111">
        <v>0</v>
      </c>
      <c r="J10" s="111">
        <v>0</v>
      </c>
      <c r="K10" s="111">
        <v>0</v>
      </c>
      <c r="L10" s="111">
        <v>0</v>
      </c>
      <c r="M10" s="111">
        <v>0</v>
      </c>
      <c r="N10" s="111">
        <v>0</v>
      </c>
      <c r="O10" s="111">
        <v>17000</v>
      </c>
      <c r="P10" s="111">
        <v>0</v>
      </c>
      <c r="Q10" s="111">
        <v>0</v>
      </c>
      <c r="R10" s="111">
        <v>10000</v>
      </c>
      <c r="S10" s="111">
        <v>0</v>
      </c>
      <c r="T10" s="111">
        <v>0</v>
      </c>
      <c r="U10" s="111">
        <v>0</v>
      </c>
      <c r="V10" s="111">
        <v>0</v>
      </c>
      <c r="W10" s="111">
        <v>0</v>
      </c>
      <c r="X10" s="111">
        <v>0</v>
      </c>
      <c r="Y10" s="111">
        <v>0</v>
      </c>
      <c r="Z10" s="111">
        <v>0</v>
      </c>
      <c r="AA10" s="111">
        <v>0</v>
      </c>
      <c r="AB10" s="111">
        <v>0</v>
      </c>
      <c r="AC10" s="111">
        <v>0</v>
      </c>
      <c r="AD10" s="111">
        <v>10220</v>
      </c>
      <c r="AE10" s="111">
        <v>0</v>
      </c>
      <c r="AF10" s="111">
        <v>0</v>
      </c>
      <c r="AG10" s="111">
        <v>0</v>
      </c>
      <c r="AH10" s="111">
        <v>0</v>
      </c>
      <c r="AI10" s="111">
        <v>0</v>
      </c>
      <c r="AJ10" s="111">
        <v>0</v>
      </c>
      <c r="AK10" s="111">
        <v>0</v>
      </c>
      <c r="AL10" s="111">
        <v>0</v>
      </c>
      <c r="AM10" s="111">
        <v>0</v>
      </c>
      <c r="AN10" s="111">
        <v>0</v>
      </c>
      <c r="AO10" s="111">
        <v>0</v>
      </c>
      <c r="AP10" s="111">
        <v>0</v>
      </c>
      <c r="AQ10" s="111">
        <v>0</v>
      </c>
      <c r="AR10" s="111">
        <v>0</v>
      </c>
      <c r="AS10" s="111">
        <v>2000</v>
      </c>
      <c r="AT10" s="111">
        <v>0</v>
      </c>
      <c r="AU10" s="111">
        <v>0</v>
      </c>
      <c r="AV10" s="111">
        <v>0</v>
      </c>
      <c r="AW10" s="111">
        <v>0</v>
      </c>
      <c r="AX10" s="111">
        <v>0</v>
      </c>
      <c r="AY10" s="111">
        <v>0</v>
      </c>
      <c r="AZ10" s="111">
        <v>0</v>
      </c>
      <c r="BA10" s="111">
        <v>0</v>
      </c>
      <c r="BB10" s="111">
        <v>0</v>
      </c>
      <c r="BC10" s="111">
        <v>0</v>
      </c>
      <c r="BD10" s="111">
        <v>0</v>
      </c>
      <c r="BE10" s="111">
        <v>4200</v>
      </c>
      <c r="BF10" s="111">
        <v>0</v>
      </c>
      <c r="BG10" s="111">
        <v>0</v>
      </c>
      <c r="BH10" s="111">
        <v>0</v>
      </c>
      <c r="BI10" s="111">
        <v>0</v>
      </c>
      <c r="BJ10" s="111">
        <v>0</v>
      </c>
      <c r="BK10" s="111">
        <v>0</v>
      </c>
      <c r="BL10" s="111">
        <v>0</v>
      </c>
      <c r="BM10" s="111">
        <v>0</v>
      </c>
      <c r="BN10" s="111">
        <v>0</v>
      </c>
      <c r="BO10" s="111">
        <v>0</v>
      </c>
      <c r="BP10" s="235">
        <v>0</v>
      </c>
      <c r="BQ10" s="110">
        <v>0</v>
      </c>
      <c r="BR10" s="111">
        <v>0</v>
      </c>
      <c r="BS10" s="112">
        <v>0</v>
      </c>
      <c r="BT10" s="110">
        <v>0</v>
      </c>
      <c r="BU10" s="111">
        <v>0</v>
      </c>
      <c r="BV10" s="112">
        <v>0</v>
      </c>
      <c r="BW10" s="110">
        <v>0</v>
      </c>
      <c r="BX10" s="111">
        <v>0</v>
      </c>
      <c r="BY10" s="112">
        <v>0</v>
      </c>
      <c r="BZ10" s="110">
        <v>0</v>
      </c>
      <c r="CA10" s="111">
        <v>0</v>
      </c>
      <c r="CB10" s="112">
        <v>0</v>
      </c>
      <c r="CC10" s="110">
        <v>0</v>
      </c>
      <c r="CD10" s="111">
        <v>0</v>
      </c>
      <c r="CE10" s="112">
        <v>0</v>
      </c>
      <c r="CF10" s="110">
        <v>0</v>
      </c>
      <c r="CG10" s="111">
        <v>0</v>
      </c>
      <c r="CH10" s="112">
        <v>0</v>
      </c>
      <c r="CI10" s="110">
        <v>0</v>
      </c>
      <c r="CJ10" s="111">
        <v>0</v>
      </c>
      <c r="CK10" s="112">
        <v>0</v>
      </c>
      <c r="CL10" s="110">
        <v>0</v>
      </c>
      <c r="CM10" s="111">
        <v>0</v>
      </c>
      <c r="CN10" s="112">
        <v>0</v>
      </c>
      <c r="CO10" s="110">
        <v>0</v>
      </c>
      <c r="CP10" s="111">
        <v>0</v>
      </c>
      <c r="CQ10" s="112">
        <v>0</v>
      </c>
      <c r="CR10" s="110">
        <v>0</v>
      </c>
      <c r="CS10" s="111">
        <v>0</v>
      </c>
      <c r="CT10" s="112">
        <v>0</v>
      </c>
      <c r="CU10" s="110">
        <v>0</v>
      </c>
      <c r="CV10" s="111">
        <v>0</v>
      </c>
      <c r="CW10" s="112">
        <v>0</v>
      </c>
      <c r="CX10" s="110">
        <v>0</v>
      </c>
      <c r="CY10" s="111">
        <v>0</v>
      </c>
      <c r="CZ10" s="112">
        <v>0</v>
      </c>
      <c r="DA10" s="110">
        <v>0</v>
      </c>
      <c r="DB10" s="111">
        <v>0</v>
      </c>
      <c r="DC10" s="112">
        <v>0</v>
      </c>
      <c r="DD10" s="110">
        <v>0</v>
      </c>
      <c r="DE10" s="111">
        <v>0</v>
      </c>
      <c r="DF10" s="112">
        <v>0</v>
      </c>
      <c r="DG10" s="110">
        <v>0</v>
      </c>
      <c r="DH10" s="111">
        <v>0</v>
      </c>
      <c r="DI10" s="112">
        <v>0</v>
      </c>
      <c r="DJ10" s="110">
        <v>0</v>
      </c>
      <c r="DK10" s="111">
        <v>0</v>
      </c>
      <c r="DL10" s="112">
        <v>0</v>
      </c>
      <c r="EI10" s="61"/>
    </row>
    <row r="11" spans="1:139" ht="15" customHeight="1" thickBot="1" x14ac:dyDescent="0.25">
      <c r="B11" s="23" t="s">
        <v>78</v>
      </c>
      <c r="C11" s="113">
        <v>0</v>
      </c>
      <c r="D11" s="114">
        <v>0</v>
      </c>
      <c r="E11" s="114">
        <v>0</v>
      </c>
      <c r="F11" s="114">
        <v>14400</v>
      </c>
      <c r="G11" s="114">
        <v>0</v>
      </c>
      <c r="H11" s="114">
        <v>0</v>
      </c>
      <c r="I11" s="114">
        <v>0</v>
      </c>
      <c r="J11" s="114">
        <v>0</v>
      </c>
      <c r="K11" s="114">
        <v>0</v>
      </c>
      <c r="L11" s="114">
        <v>0</v>
      </c>
      <c r="M11" s="114">
        <v>0</v>
      </c>
      <c r="N11" s="114">
        <v>0</v>
      </c>
      <c r="O11" s="114">
        <v>15000</v>
      </c>
      <c r="P11" s="114">
        <v>0</v>
      </c>
      <c r="Q11" s="114">
        <v>0</v>
      </c>
      <c r="R11" s="114">
        <v>11000</v>
      </c>
      <c r="S11" s="114">
        <v>0</v>
      </c>
      <c r="T11" s="114">
        <v>0</v>
      </c>
      <c r="U11" s="114">
        <v>0</v>
      </c>
      <c r="V11" s="114">
        <v>0</v>
      </c>
      <c r="W11" s="114">
        <v>0</v>
      </c>
      <c r="X11" s="114">
        <v>0</v>
      </c>
      <c r="Y11" s="114">
        <v>0</v>
      </c>
      <c r="Z11" s="114">
        <v>0</v>
      </c>
      <c r="AA11" s="114">
        <v>0</v>
      </c>
      <c r="AB11" s="114">
        <v>0</v>
      </c>
      <c r="AC11" s="114">
        <v>0</v>
      </c>
      <c r="AD11" s="114">
        <v>6800</v>
      </c>
      <c r="AE11" s="114">
        <v>0</v>
      </c>
      <c r="AF11" s="114">
        <v>0</v>
      </c>
      <c r="AG11" s="114">
        <v>0</v>
      </c>
      <c r="AH11" s="114">
        <v>0</v>
      </c>
      <c r="AI11" s="114">
        <v>0</v>
      </c>
      <c r="AJ11" s="114">
        <v>0</v>
      </c>
      <c r="AK11" s="114">
        <v>0</v>
      </c>
      <c r="AL11" s="114">
        <v>0</v>
      </c>
      <c r="AM11" s="114">
        <v>0</v>
      </c>
      <c r="AN11" s="114">
        <v>0</v>
      </c>
      <c r="AO11" s="114">
        <v>0</v>
      </c>
      <c r="AP11" s="114">
        <v>0</v>
      </c>
      <c r="AQ11" s="114">
        <v>0</v>
      </c>
      <c r="AR11" s="114">
        <v>0</v>
      </c>
      <c r="AS11" s="114">
        <v>0</v>
      </c>
      <c r="AT11" s="114">
        <v>0</v>
      </c>
      <c r="AU11" s="114">
        <v>0</v>
      </c>
      <c r="AV11" s="114">
        <v>27880</v>
      </c>
      <c r="AW11" s="114">
        <v>0</v>
      </c>
      <c r="AX11" s="114">
        <v>0</v>
      </c>
      <c r="AY11" s="114">
        <v>0</v>
      </c>
      <c r="AZ11" s="114">
        <v>0</v>
      </c>
      <c r="BA11" s="114">
        <v>0</v>
      </c>
      <c r="BB11" s="114">
        <v>0</v>
      </c>
      <c r="BC11" s="114">
        <v>0</v>
      </c>
      <c r="BD11" s="114">
        <v>0</v>
      </c>
      <c r="BE11" s="114">
        <v>0</v>
      </c>
      <c r="BF11" s="114">
        <v>0</v>
      </c>
      <c r="BG11" s="114">
        <v>0</v>
      </c>
      <c r="BH11" s="114">
        <v>6000</v>
      </c>
      <c r="BI11" s="114">
        <v>0</v>
      </c>
      <c r="BJ11" s="114">
        <v>0</v>
      </c>
      <c r="BK11" s="114">
        <v>0</v>
      </c>
      <c r="BL11" s="114">
        <v>0</v>
      </c>
      <c r="BM11" s="114">
        <v>0</v>
      </c>
      <c r="BN11" s="114">
        <v>0</v>
      </c>
      <c r="BO11" s="114">
        <v>0</v>
      </c>
      <c r="BP11" s="236">
        <v>0</v>
      </c>
      <c r="BQ11" s="113">
        <v>0</v>
      </c>
      <c r="BR11" s="114">
        <v>0</v>
      </c>
      <c r="BS11" s="115">
        <v>0</v>
      </c>
      <c r="BT11" s="113">
        <v>0</v>
      </c>
      <c r="BU11" s="114">
        <v>0</v>
      </c>
      <c r="BV11" s="115">
        <v>0</v>
      </c>
      <c r="BW11" s="113">
        <v>0</v>
      </c>
      <c r="BX11" s="114">
        <v>0</v>
      </c>
      <c r="BY11" s="115">
        <v>0</v>
      </c>
      <c r="BZ11" s="113">
        <v>0</v>
      </c>
      <c r="CA11" s="114">
        <v>0</v>
      </c>
      <c r="CB11" s="115">
        <v>0</v>
      </c>
      <c r="CC11" s="113">
        <v>0</v>
      </c>
      <c r="CD11" s="114">
        <v>0</v>
      </c>
      <c r="CE11" s="115">
        <v>0</v>
      </c>
      <c r="CF11" s="113">
        <v>0</v>
      </c>
      <c r="CG11" s="114">
        <v>0</v>
      </c>
      <c r="CH11" s="115">
        <v>0</v>
      </c>
      <c r="CI11" s="113">
        <v>0</v>
      </c>
      <c r="CJ11" s="114">
        <v>0</v>
      </c>
      <c r="CK11" s="115">
        <v>0</v>
      </c>
      <c r="CL11" s="113">
        <v>0</v>
      </c>
      <c r="CM11" s="114">
        <v>0</v>
      </c>
      <c r="CN11" s="115">
        <v>0</v>
      </c>
      <c r="CO11" s="113">
        <v>0</v>
      </c>
      <c r="CP11" s="114">
        <v>0</v>
      </c>
      <c r="CQ11" s="115">
        <v>0</v>
      </c>
      <c r="CR11" s="113">
        <v>0</v>
      </c>
      <c r="CS11" s="114">
        <v>0</v>
      </c>
      <c r="CT11" s="115">
        <v>0</v>
      </c>
      <c r="CU11" s="113">
        <v>0</v>
      </c>
      <c r="CV11" s="114">
        <v>0</v>
      </c>
      <c r="CW11" s="115">
        <v>0</v>
      </c>
      <c r="CX11" s="113">
        <v>0</v>
      </c>
      <c r="CY11" s="114">
        <v>0</v>
      </c>
      <c r="CZ11" s="115">
        <v>0</v>
      </c>
      <c r="DA11" s="113">
        <v>0</v>
      </c>
      <c r="DB11" s="114">
        <v>0</v>
      </c>
      <c r="DC11" s="115">
        <v>0</v>
      </c>
      <c r="DD11" s="113">
        <v>0</v>
      </c>
      <c r="DE11" s="114">
        <v>0</v>
      </c>
      <c r="DF11" s="115">
        <v>0</v>
      </c>
      <c r="DG11" s="113">
        <v>0</v>
      </c>
      <c r="DH11" s="114">
        <v>0</v>
      </c>
      <c r="DI11" s="115">
        <v>0</v>
      </c>
      <c r="DJ11" s="113">
        <v>0</v>
      </c>
      <c r="DK11" s="114">
        <v>0</v>
      </c>
      <c r="DL11" s="115">
        <v>0</v>
      </c>
      <c r="EI11" s="61"/>
    </row>
    <row r="12" spans="1:139" x14ac:dyDescent="0.2">
      <c r="EI12" s="61"/>
    </row>
    <row r="13" spans="1:139" ht="14.5" customHeight="1" x14ac:dyDescent="0.2">
      <c r="B13" s="358" t="s">
        <v>79</v>
      </c>
      <c r="C13" s="359"/>
      <c r="D13" s="359"/>
      <c r="E13" s="359"/>
      <c r="F13" s="359"/>
      <c r="G13" s="359"/>
      <c r="H13" s="359"/>
      <c r="I13" s="359"/>
      <c r="J13" s="359"/>
      <c r="K13" s="359"/>
      <c r="L13" s="359"/>
      <c r="M13" s="359"/>
      <c r="N13" s="359"/>
      <c r="O13" s="359"/>
      <c r="P13" s="359"/>
      <c r="Q13" s="359"/>
      <c r="R13" s="359"/>
      <c r="S13" s="359"/>
      <c r="T13" s="359"/>
      <c r="U13" s="359"/>
      <c r="V13" s="359"/>
      <c r="W13" s="359"/>
      <c r="X13" s="359"/>
      <c r="Y13" s="359"/>
      <c r="Z13" s="359"/>
      <c r="AA13" s="359"/>
      <c r="AB13" s="359"/>
      <c r="AC13" s="359"/>
      <c r="AD13" s="359"/>
      <c r="AE13" s="359"/>
      <c r="AF13" s="359"/>
      <c r="AG13" s="359"/>
      <c r="AH13" s="359"/>
      <c r="AI13" s="359"/>
      <c r="AJ13" s="359"/>
      <c r="AK13" s="359"/>
      <c r="AL13" s="359"/>
      <c r="AM13" s="359"/>
      <c r="AN13" s="359"/>
      <c r="AO13" s="359"/>
      <c r="AP13" s="359"/>
      <c r="AQ13" s="359"/>
      <c r="AR13" s="359"/>
      <c r="AS13" s="359"/>
      <c r="AT13" s="359"/>
      <c r="AU13" s="359"/>
      <c r="AV13" s="359"/>
      <c r="AW13" s="359"/>
      <c r="AX13" s="359"/>
      <c r="AY13" s="359"/>
      <c r="AZ13" s="359"/>
      <c r="BA13" s="359"/>
      <c r="BB13" s="359"/>
      <c r="BC13" s="359"/>
      <c r="BD13" s="359"/>
      <c r="BE13" s="359"/>
      <c r="BF13" s="359"/>
      <c r="BG13" s="359"/>
      <c r="BH13" s="359"/>
      <c r="BI13" s="359"/>
      <c r="BJ13" s="359"/>
      <c r="BK13" s="359"/>
      <c r="BL13" s="359"/>
      <c r="BM13" s="359"/>
      <c r="BN13" s="359"/>
      <c r="BO13" s="359"/>
      <c r="BP13" s="359"/>
      <c r="BQ13" s="359"/>
      <c r="BR13" s="359"/>
      <c r="BS13" s="359"/>
      <c r="BT13" s="359"/>
      <c r="BU13" s="359"/>
      <c r="BV13" s="359"/>
      <c r="BW13" s="359"/>
      <c r="BX13" s="359"/>
      <c r="BY13" s="359"/>
      <c r="BZ13" s="359"/>
      <c r="CA13" s="359"/>
      <c r="CB13" s="359"/>
      <c r="CC13" s="359"/>
      <c r="CD13" s="359"/>
      <c r="CE13" s="359"/>
      <c r="CF13" s="359"/>
      <c r="CG13" s="359"/>
      <c r="CH13" s="359"/>
      <c r="CI13" s="359"/>
      <c r="CJ13" s="359"/>
      <c r="CK13" s="359"/>
      <c r="CL13" s="359"/>
      <c r="CM13" s="359"/>
      <c r="CN13" s="359"/>
      <c r="CO13" s="359"/>
      <c r="CP13" s="359"/>
      <c r="CQ13" s="359"/>
      <c r="CR13" s="359"/>
      <c r="CS13" s="359"/>
      <c r="CT13" s="359"/>
      <c r="CU13" s="359"/>
      <c r="CV13" s="359"/>
      <c r="CW13" s="359"/>
      <c r="CX13" s="359"/>
      <c r="CY13" s="14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62"/>
      <c r="DR13" s="62"/>
      <c r="DS13" s="62"/>
      <c r="DT13" s="62"/>
      <c r="DU13" s="62"/>
      <c r="DV13" s="62"/>
      <c r="DW13" s="62"/>
      <c r="DX13" s="62"/>
      <c r="DY13" s="62"/>
      <c r="DZ13" s="62"/>
      <c r="EA13" s="62"/>
      <c r="EB13" s="62"/>
      <c r="EC13" s="62"/>
      <c r="ED13" s="62"/>
      <c r="EE13" s="62"/>
      <c r="EF13" s="62"/>
      <c r="EG13" s="62"/>
      <c r="EH13" s="62"/>
      <c r="EI13" s="61"/>
    </row>
    <row r="14" spans="1:139" ht="15" customHeight="1" thickBot="1" x14ac:dyDescent="0.25">
      <c r="B14" s="297"/>
      <c r="C14" s="361" t="s">
        <v>80</v>
      </c>
      <c r="D14" s="362"/>
      <c r="E14" s="362"/>
      <c r="F14" s="362"/>
      <c r="G14" s="362"/>
      <c r="H14" s="362"/>
      <c r="I14" s="362"/>
      <c r="J14" s="362"/>
      <c r="K14" s="362"/>
      <c r="L14" s="362"/>
      <c r="M14" s="362"/>
      <c r="N14" s="362"/>
      <c r="O14" s="362"/>
      <c r="P14" s="362"/>
      <c r="Q14" s="362"/>
      <c r="R14" s="362"/>
      <c r="S14" s="362"/>
      <c r="T14" s="362"/>
      <c r="U14" s="362"/>
      <c r="V14" s="362"/>
      <c r="W14" s="362"/>
      <c r="X14" s="362"/>
      <c r="Y14" s="362"/>
      <c r="Z14" s="362"/>
      <c r="AA14" s="362"/>
      <c r="AB14" s="362"/>
      <c r="AC14" s="362"/>
      <c r="AD14" s="362"/>
      <c r="AE14" s="362"/>
      <c r="AF14" s="362"/>
      <c r="AG14" s="362"/>
      <c r="AH14" s="362"/>
      <c r="AI14" s="362"/>
      <c r="AJ14" s="362"/>
      <c r="AK14" s="362"/>
      <c r="AL14" s="362"/>
      <c r="AM14" s="362"/>
      <c r="AN14" s="362"/>
      <c r="AO14" s="362"/>
      <c r="AP14" s="362"/>
      <c r="AQ14" s="362"/>
      <c r="AR14" s="362"/>
      <c r="AS14" s="362"/>
      <c r="AT14" s="362"/>
      <c r="AU14" s="362"/>
      <c r="AV14" s="362"/>
      <c r="AW14" s="362"/>
      <c r="AX14" s="362"/>
      <c r="AY14" s="362"/>
      <c r="AZ14" s="362"/>
      <c r="BA14" s="362"/>
      <c r="BB14" s="362"/>
      <c r="BC14" s="362"/>
      <c r="BD14" s="362"/>
      <c r="BE14" s="362"/>
      <c r="BF14" s="362"/>
      <c r="BG14" s="362"/>
      <c r="BH14" s="362"/>
      <c r="BI14" s="362"/>
      <c r="BJ14" s="362"/>
      <c r="BK14" s="362"/>
      <c r="BL14" s="362"/>
      <c r="BM14" s="362"/>
      <c r="BN14" s="362"/>
      <c r="BO14" s="362"/>
      <c r="BP14" s="362"/>
      <c r="BQ14" s="362"/>
      <c r="BR14" s="363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441" t="s">
        <v>32</v>
      </c>
      <c r="CL14" s="442"/>
      <c r="CM14" s="438" t="s">
        <v>81</v>
      </c>
      <c r="CN14" s="439"/>
      <c r="CO14" s="439"/>
      <c r="CP14" s="439"/>
      <c r="CQ14" s="439"/>
      <c r="CR14" s="439"/>
      <c r="CS14" s="439"/>
      <c r="CT14" s="439"/>
      <c r="CU14" s="439"/>
      <c r="CV14" s="439"/>
      <c r="CW14" s="439"/>
      <c r="CX14" s="439"/>
      <c r="CY14" s="439"/>
      <c r="CZ14" s="439"/>
      <c r="DA14" s="439"/>
      <c r="DB14" s="440"/>
      <c r="DC14" s="423" t="s">
        <v>34</v>
      </c>
      <c r="DD14" s="424"/>
      <c r="DE14" s="424"/>
      <c r="DF14" s="424"/>
      <c r="DG14" s="424"/>
      <c r="DH14" s="424"/>
      <c r="DI14" s="424"/>
      <c r="DJ14" s="424"/>
      <c r="DK14" s="424"/>
      <c r="DL14" s="424"/>
      <c r="DM14" s="424"/>
      <c r="DN14" s="425"/>
      <c r="DO14" s="313" t="s">
        <v>34</v>
      </c>
      <c r="DP14" s="314"/>
      <c r="DQ14" s="314"/>
      <c r="DR14" s="314"/>
      <c r="DS14" s="314"/>
      <c r="DT14" s="314"/>
      <c r="DU14" s="314"/>
      <c r="DV14" s="314"/>
      <c r="DW14" s="314"/>
      <c r="DX14" s="314"/>
      <c r="DY14" s="314"/>
      <c r="DZ14" s="314"/>
      <c r="EA14" s="314"/>
      <c r="EB14" s="314"/>
      <c r="EC14" s="314"/>
      <c r="ED14" s="314"/>
      <c r="EE14" s="314"/>
      <c r="EF14" s="314"/>
      <c r="EG14" s="314"/>
      <c r="EH14" s="315"/>
      <c r="EI14" s="61"/>
    </row>
    <row r="15" spans="1:139" ht="15" customHeight="1" x14ac:dyDescent="0.2">
      <c r="B15" s="398"/>
      <c r="C15" s="337" t="s">
        <v>29</v>
      </c>
      <c r="D15" s="338"/>
      <c r="E15" s="338"/>
      <c r="F15" s="338"/>
      <c r="G15" s="338"/>
      <c r="H15" s="338"/>
      <c r="I15" s="338"/>
      <c r="J15" s="338"/>
      <c r="K15" s="338"/>
      <c r="L15" s="338"/>
      <c r="M15" s="338"/>
      <c r="N15" s="338"/>
      <c r="O15" s="338"/>
      <c r="P15" s="338"/>
      <c r="Q15" s="338"/>
      <c r="R15" s="338"/>
      <c r="S15" s="338"/>
      <c r="T15" s="338"/>
      <c r="U15" s="338"/>
      <c r="V15" s="338"/>
      <c r="W15" s="338"/>
      <c r="X15" s="338"/>
      <c r="Y15" s="338"/>
      <c r="Z15" s="338"/>
      <c r="AA15" s="338"/>
      <c r="AB15" s="338"/>
      <c r="AC15" s="338"/>
      <c r="AD15" s="338"/>
      <c r="AE15" s="338"/>
      <c r="AF15" s="338"/>
      <c r="AG15" s="338"/>
      <c r="AH15" s="338"/>
      <c r="AI15" s="338"/>
      <c r="AJ15" s="338"/>
      <c r="AK15" s="338"/>
      <c r="AL15" s="338"/>
      <c r="AM15" s="338"/>
      <c r="AN15" s="338"/>
      <c r="AO15" s="338"/>
      <c r="AP15" s="339"/>
      <c r="AQ15" s="352" t="s">
        <v>30</v>
      </c>
      <c r="AR15" s="353"/>
      <c r="AS15" s="353"/>
      <c r="AT15" s="353"/>
      <c r="AU15" s="353"/>
      <c r="AV15" s="353"/>
      <c r="AW15" s="353"/>
      <c r="AX15" s="353"/>
      <c r="AY15" s="353"/>
      <c r="AZ15" s="353"/>
      <c r="BA15" s="353"/>
      <c r="BB15" s="353"/>
      <c r="BC15" s="353"/>
      <c r="BD15" s="353"/>
      <c r="BE15" s="353"/>
      <c r="BF15" s="353"/>
      <c r="BG15" s="353"/>
      <c r="BH15" s="353"/>
      <c r="BI15" s="353"/>
      <c r="BJ15" s="353"/>
      <c r="BK15" s="353"/>
      <c r="BL15" s="353"/>
      <c r="BM15" s="353"/>
      <c r="BN15" s="353"/>
      <c r="BO15" s="353"/>
      <c r="BP15" s="354"/>
      <c r="BQ15" s="352" t="s">
        <v>31</v>
      </c>
      <c r="BR15" s="353"/>
      <c r="BS15" s="353"/>
      <c r="BT15" s="353"/>
      <c r="BU15" s="353"/>
      <c r="BV15" s="353"/>
      <c r="BW15" s="353"/>
      <c r="BX15" s="353"/>
      <c r="BY15" s="353"/>
      <c r="BZ15" s="353"/>
      <c r="CA15" s="353"/>
      <c r="CB15" s="353"/>
      <c r="CC15" s="353"/>
      <c r="CD15" s="353"/>
      <c r="CE15" s="353"/>
      <c r="CF15" s="353"/>
      <c r="CG15" s="353"/>
      <c r="CH15" s="353"/>
      <c r="CI15" s="353"/>
      <c r="CJ15" s="354"/>
      <c r="CK15" s="374" t="s">
        <v>82</v>
      </c>
      <c r="CL15" s="375"/>
      <c r="CM15" s="380" t="s">
        <v>83</v>
      </c>
      <c r="CN15" s="381"/>
      <c r="CO15" s="381"/>
      <c r="CP15" s="382"/>
      <c r="CQ15" s="365" t="s">
        <v>84</v>
      </c>
      <c r="CR15" s="366"/>
      <c r="CS15" s="366"/>
      <c r="CT15" s="367"/>
      <c r="CU15" s="365" t="s">
        <v>85</v>
      </c>
      <c r="CV15" s="366"/>
      <c r="CW15" s="366"/>
      <c r="CX15" s="367"/>
      <c r="CY15" s="365" t="s">
        <v>86</v>
      </c>
      <c r="CZ15" s="366"/>
      <c r="DA15" s="366"/>
      <c r="DB15" s="435"/>
      <c r="DC15" s="426">
        <f>BQ5</f>
        <v>0</v>
      </c>
      <c r="DD15" s="427"/>
      <c r="DE15" s="432">
        <f>BT5</f>
        <v>0</v>
      </c>
      <c r="DF15" s="427"/>
      <c r="DG15" s="432">
        <f>BW5</f>
        <v>0</v>
      </c>
      <c r="DH15" s="427"/>
      <c r="DI15" s="432">
        <f>BZ5</f>
        <v>0</v>
      </c>
      <c r="DJ15" s="427"/>
      <c r="DK15" s="432">
        <f>CC5</f>
        <v>0</v>
      </c>
      <c r="DL15" s="427"/>
      <c r="DM15" s="432">
        <f>CF5</f>
        <v>0</v>
      </c>
      <c r="DN15" s="427"/>
      <c r="DO15" s="282" t="s">
        <v>58</v>
      </c>
      <c r="DP15" s="316"/>
      <c r="DQ15" s="282" t="s">
        <v>59</v>
      </c>
      <c r="DR15" s="316"/>
      <c r="DS15" s="282" t="s">
        <v>60</v>
      </c>
      <c r="DT15" s="316"/>
      <c r="DU15" s="282" t="s">
        <v>61</v>
      </c>
      <c r="DV15" s="316"/>
      <c r="DW15" s="319" t="s">
        <v>62</v>
      </c>
      <c r="DX15" s="320"/>
      <c r="DY15" s="319" t="s">
        <v>63</v>
      </c>
      <c r="DZ15" s="320"/>
      <c r="EA15" s="282" t="s">
        <v>64</v>
      </c>
      <c r="EB15" s="316"/>
      <c r="EC15" s="282" t="s">
        <v>65</v>
      </c>
      <c r="ED15" s="316"/>
      <c r="EE15" s="325" t="s">
        <v>66</v>
      </c>
      <c r="EF15" s="326"/>
      <c r="EG15" s="282" t="s">
        <v>67</v>
      </c>
      <c r="EH15" s="283"/>
      <c r="EI15" s="61"/>
    </row>
    <row r="16" spans="1:139" x14ac:dyDescent="0.2">
      <c r="B16" s="398"/>
      <c r="C16" s="360" t="s">
        <v>87</v>
      </c>
      <c r="D16" s="335"/>
      <c r="E16" s="335"/>
      <c r="F16" s="335"/>
      <c r="G16" s="335"/>
      <c r="H16" s="335"/>
      <c r="I16" s="335"/>
      <c r="J16" s="335"/>
      <c r="K16" s="335"/>
      <c r="L16" s="335"/>
      <c r="M16" s="335"/>
      <c r="N16" s="335"/>
      <c r="O16" s="335"/>
      <c r="P16" s="335"/>
      <c r="Q16" s="335"/>
      <c r="R16" s="335"/>
      <c r="S16" s="335"/>
      <c r="T16" s="335"/>
      <c r="U16" s="335"/>
      <c r="V16" s="335"/>
      <c r="W16" s="335"/>
      <c r="X16" s="335"/>
      <c r="Y16" s="335"/>
      <c r="Z16" s="336"/>
      <c r="AA16" s="334" t="s">
        <v>88</v>
      </c>
      <c r="AB16" s="335"/>
      <c r="AC16" s="335"/>
      <c r="AD16" s="335"/>
      <c r="AE16" s="335"/>
      <c r="AF16" s="335"/>
      <c r="AG16" s="335"/>
      <c r="AH16" s="336"/>
      <c r="AI16" s="303" t="s">
        <v>89</v>
      </c>
      <c r="AJ16" s="304"/>
      <c r="AK16" s="304"/>
      <c r="AL16" s="304"/>
      <c r="AM16" s="304"/>
      <c r="AN16" s="304"/>
      <c r="AO16" s="304"/>
      <c r="AP16" s="351"/>
      <c r="AQ16" s="360" t="s">
        <v>90</v>
      </c>
      <c r="AR16" s="335"/>
      <c r="AS16" s="335"/>
      <c r="AT16" s="335"/>
      <c r="AU16" s="335"/>
      <c r="AV16" s="335"/>
      <c r="AW16" s="336"/>
      <c r="AX16" s="334" t="s">
        <v>91</v>
      </c>
      <c r="AY16" s="335"/>
      <c r="AZ16" s="335"/>
      <c r="BA16" s="336"/>
      <c r="BB16" s="334" t="s">
        <v>92</v>
      </c>
      <c r="BC16" s="335"/>
      <c r="BD16" s="335"/>
      <c r="BE16" s="335"/>
      <c r="BF16" s="335"/>
      <c r="BG16" s="335"/>
      <c r="BH16" s="336"/>
      <c r="BI16" s="334" t="s">
        <v>93</v>
      </c>
      <c r="BJ16" s="335"/>
      <c r="BK16" s="335"/>
      <c r="BL16" s="336"/>
      <c r="BM16" s="334" t="s">
        <v>94</v>
      </c>
      <c r="BN16" s="335"/>
      <c r="BO16" s="335"/>
      <c r="BP16" s="364"/>
      <c r="BQ16" s="360" t="s">
        <v>95</v>
      </c>
      <c r="BR16" s="335"/>
      <c r="BS16" s="335"/>
      <c r="BT16" s="335"/>
      <c r="BU16" s="335"/>
      <c r="BV16" s="335"/>
      <c r="BW16" s="335"/>
      <c r="BX16" s="335"/>
      <c r="BY16" s="335"/>
      <c r="BZ16" s="336"/>
      <c r="CA16" s="334" t="s">
        <v>96</v>
      </c>
      <c r="CB16" s="335"/>
      <c r="CC16" s="335"/>
      <c r="CD16" s="335"/>
      <c r="CE16" s="335"/>
      <c r="CF16" s="335"/>
      <c r="CG16" s="335"/>
      <c r="CH16" s="335"/>
      <c r="CI16" s="335"/>
      <c r="CJ16" s="364"/>
      <c r="CK16" s="376"/>
      <c r="CL16" s="377"/>
      <c r="CM16" s="383"/>
      <c r="CN16" s="384"/>
      <c r="CO16" s="384"/>
      <c r="CP16" s="385"/>
      <c r="CQ16" s="368"/>
      <c r="CR16" s="369"/>
      <c r="CS16" s="369"/>
      <c r="CT16" s="370"/>
      <c r="CU16" s="368"/>
      <c r="CV16" s="369"/>
      <c r="CW16" s="369"/>
      <c r="CX16" s="370"/>
      <c r="CY16" s="368"/>
      <c r="CZ16" s="369"/>
      <c r="DA16" s="369"/>
      <c r="DB16" s="436"/>
      <c r="DC16" s="428"/>
      <c r="DD16" s="429"/>
      <c r="DE16" s="433"/>
      <c r="DF16" s="429"/>
      <c r="DG16" s="433"/>
      <c r="DH16" s="429"/>
      <c r="DI16" s="433"/>
      <c r="DJ16" s="429"/>
      <c r="DK16" s="433"/>
      <c r="DL16" s="429"/>
      <c r="DM16" s="433"/>
      <c r="DN16" s="429"/>
      <c r="DO16" s="284"/>
      <c r="DP16" s="317"/>
      <c r="DQ16" s="284"/>
      <c r="DR16" s="317"/>
      <c r="DS16" s="284"/>
      <c r="DT16" s="317"/>
      <c r="DU16" s="284"/>
      <c r="DV16" s="317"/>
      <c r="DW16" s="321"/>
      <c r="DX16" s="322"/>
      <c r="DY16" s="321"/>
      <c r="DZ16" s="322"/>
      <c r="EA16" s="284"/>
      <c r="EB16" s="317"/>
      <c r="EC16" s="284"/>
      <c r="ED16" s="317"/>
      <c r="EE16" s="327"/>
      <c r="EF16" s="328"/>
      <c r="EG16" s="284"/>
      <c r="EH16" s="285"/>
    </row>
    <row r="17" spans="1:139" x14ac:dyDescent="0.2">
      <c r="B17" s="398"/>
      <c r="C17" s="360" t="s">
        <v>35</v>
      </c>
      <c r="D17" s="335"/>
      <c r="E17" s="335"/>
      <c r="F17" s="336"/>
      <c r="G17" s="334" t="s">
        <v>36</v>
      </c>
      <c r="H17" s="335"/>
      <c r="I17" s="335"/>
      <c r="J17" s="336"/>
      <c r="K17" s="334" t="s">
        <v>37</v>
      </c>
      <c r="L17" s="335"/>
      <c r="M17" s="335"/>
      <c r="N17" s="336"/>
      <c r="O17" s="334" t="s">
        <v>38</v>
      </c>
      <c r="P17" s="335"/>
      <c r="Q17" s="335"/>
      <c r="R17" s="336"/>
      <c r="S17" s="334" t="s">
        <v>39</v>
      </c>
      <c r="T17" s="335"/>
      <c r="U17" s="335"/>
      <c r="V17" s="336"/>
      <c r="W17" s="303" t="s">
        <v>40</v>
      </c>
      <c r="X17" s="304"/>
      <c r="Y17" s="304"/>
      <c r="Z17" s="305"/>
      <c r="AA17" s="334" t="s">
        <v>41</v>
      </c>
      <c r="AB17" s="335"/>
      <c r="AC17" s="335"/>
      <c r="AD17" s="336"/>
      <c r="AE17" s="303" t="s">
        <v>42</v>
      </c>
      <c r="AF17" s="304"/>
      <c r="AG17" s="304"/>
      <c r="AH17" s="305"/>
      <c r="AI17" s="303" t="s">
        <v>43</v>
      </c>
      <c r="AJ17" s="304"/>
      <c r="AK17" s="304"/>
      <c r="AL17" s="305"/>
      <c r="AM17" s="303" t="s">
        <v>44</v>
      </c>
      <c r="AN17" s="304"/>
      <c r="AO17" s="304"/>
      <c r="AP17" s="351"/>
      <c r="AQ17" s="407" t="s">
        <v>97</v>
      </c>
      <c r="AR17" s="303" t="s">
        <v>98</v>
      </c>
      <c r="AS17" s="304"/>
      <c r="AT17" s="305"/>
      <c r="AU17" s="303" t="s">
        <v>99</v>
      </c>
      <c r="AV17" s="304"/>
      <c r="AW17" s="305"/>
      <c r="AX17" s="268" t="s">
        <v>97</v>
      </c>
      <c r="AY17" s="303" t="s">
        <v>99</v>
      </c>
      <c r="AZ17" s="304"/>
      <c r="BA17" s="305"/>
      <c r="BB17" s="268" t="s">
        <v>97</v>
      </c>
      <c r="BC17" s="303" t="s">
        <v>100</v>
      </c>
      <c r="BD17" s="304"/>
      <c r="BE17" s="305"/>
      <c r="BF17" s="303" t="s">
        <v>99</v>
      </c>
      <c r="BG17" s="304"/>
      <c r="BH17" s="305"/>
      <c r="BI17" s="268" t="s">
        <v>97</v>
      </c>
      <c r="BJ17" s="303" t="s">
        <v>99</v>
      </c>
      <c r="BK17" s="304"/>
      <c r="BL17" s="305"/>
      <c r="BM17" s="268" t="s">
        <v>97</v>
      </c>
      <c r="BN17" s="303" t="s">
        <v>99</v>
      </c>
      <c r="BO17" s="304"/>
      <c r="BP17" s="351"/>
      <c r="BQ17" s="407" t="s">
        <v>97</v>
      </c>
      <c r="BR17" s="303" t="s">
        <v>100</v>
      </c>
      <c r="BS17" s="304"/>
      <c r="BT17" s="305"/>
      <c r="BU17" s="303" t="s">
        <v>98</v>
      </c>
      <c r="BV17" s="304"/>
      <c r="BW17" s="305"/>
      <c r="BX17" s="303" t="s">
        <v>99</v>
      </c>
      <c r="BY17" s="304"/>
      <c r="BZ17" s="305"/>
      <c r="CA17" s="268" t="s">
        <v>97</v>
      </c>
      <c r="CB17" s="303" t="s">
        <v>100</v>
      </c>
      <c r="CC17" s="304"/>
      <c r="CD17" s="305"/>
      <c r="CE17" s="303" t="s">
        <v>98</v>
      </c>
      <c r="CF17" s="304"/>
      <c r="CG17" s="305"/>
      <c r="CH17" s="303" t="s">
        <v>99</v>
      </c>
      <c r="CI17" s="304"/>
      <c r="CJ17" s="351"/>
      <c r="CK17" s="378"/>
      <c r="CL17" s="379"/>
      <c r="CM17" s="386"/>
      <c r="CN17" s="387"/>
      <c r="CO17" s="387"/>
      <c r="CP17" s="388"/>
      <c r="CQ17" s="371"/>
      <c r="CR17" s="372"/>
      <c r="CS17" s="372"/>
      <c r="CT17" s="373"/>
      <c r="CU17" s="371"/>
      <c r="CV17" s="372"/>
      <c r="CW17" s="372"/>
      <c r="CX17" s="373"/>
      <c r="CY17" s="371"/>
      <c r="CZ17" s="372"/>
      <c r="DA17" s="372"/>
      <c r="DB17" s="437"/>
      <c r="DC17" s="430"/>
      <c r="DD17" s="431"/>
      <c r="DE17" s="434"/>
      <c r="DF17" s="431"/>
      <c r="DG17" s="434"/>
      <c r="DH17" s="431"/>
      <c r="DI17" s="434"/>
      <c r="DJ17" s="431"/>
      <c r="DK17" s="434"/>
      <c r="DL17" s="431"/>
      <c r="DM17" s="434"/>
      <c r="DN17" s="431"/>
      <c r="DO17" s="286"/>
      <c r="DP17" s="318"/>
      <c r="DQ17" s="286"/>
      <c r="DR17" s="318"/>
      <c r="DS17" s="286"/>
      <c r="DT17" s="318"/>
      <c r="DU17" s="286"/>
      <c r="DV17" s="318"/>
      <c r="DW17" s="323"/>
      <c r="DX17" s="324"/>
      <c r="DY17" s="323"/>
      <c r="DZ17" s="324"/>
      <c r="EA17" s="286"/>
      <c r="EB17" s="318"/>
      <c r="EC17" s="286"/>
      <c r="ED17" s="318"/>
      <c r="EE17" s="329"/>
      <c r="EF17" s="330"/>
      <c r="EG17" s="286"/>
      <c r="EH17" s="287"/>
    </row>
    <row r="18" spans="1:139" x14ac:dyDescent="0.2">
      <c r="B18" s="399"/>
      <c r="C18" s="198" t="s">
        <v>97</v>
      </c>
      <c r="D18" s="68" t="s">
        <v>101</v>
      </c>
      <c r="E18" s="68" t="s">
        <v>102</v>
      </c>
      <c r="F18" s="68" t="s">
        <v>103</v>
      </c>
      <c r="G18" s="68" t="s">
        <v>97</v>
      </c>
      <c r="H18" s="68" t="s">
        <v>101</v>
      </c>
      <c r="I18" s="68" t="s">
        <v>102</v>
      </c>
      <c r="J18" s="68" t="s">
        <v>103</v>
      </c>
      <c r="K18" s="68" t="s">
        <v>97</v>
      </c>
      <c r="L18" s="68" t="s">
        <v>101</v>
      </c>
      <c r="M18" s="68" t="s">
        <v>102</v>
      </c>
      <c r="N18" s="68" t="s">
        <v>103</v>
      </c>
      <c r="O18" s="68" t="s">
        <v>97</v>
      </c>
      <c r="P18" s="68" t="s">
        <v>101</v>
      </c>
      <c r="Q18" s="68" t="s">
        <v>102</v>
      </c>
      <c r="R18" s="68" t="s">
        <v>103</v>
      </c>
      <c r="S18" s="68" t="s">
        <v>97</v>
      </c>
      <c r="T18" s="68" t="s">
        <v>101</v>
      </c>
      <c r="U18" s="68" t="s">
        <v>102</v>
      </c>
      <c r="V18" s="68" t="s">
        <v>103</v>
      </c>
      <c r="W18" s="68" t="s">
        <v>97</v>
      </c>
      <c r="X18" s="68" t="s">
        <v>101</v>
      </c>
      <c r="Y18" s="68" t="s">
        <v>102</v>
      </c>
      <c r="Z18" s="182" t="s">
        <v>103</v>
      </c>
      <c r="AA18" s="68" t="s">
        <v>97</v>
      </c>
      <c r="AB18" s="68" t="s">
        <v>104</v>
      </c>
      <c r="AC18" s="68" t="s">
        <v>105</v>
      </c>
      <c r="AD18" s="68" t="s">
        <v>106</v>
      </c>
      <c r="AE18" s="68" t="s">
        <v>97</v>
      </c>
      <c r="AF18" s="68" t="s">
        <v>104</v>
      </c>
      <c r="AG18" s="68" t="s">
        <v>105</v>
      </c>
      <c r="AH18" s="68" t="s">
        <v>106</v>
      </c>
      <c r="AI18" s="68" t="s">
        <v>97</v>
      </c>
      <c r="AJ18" s="68" t="s">
        <v>107</v>
      </c>
      <c r="AK18" s="68" t="s">
        <v>108</v>
      </c>
      <c r="AL18" s="68" t="s">
        <v>109</v>
      </c>
      <c r="AM18" s="68" t="s">
        <v>97</v>
      </c>
      <c r="AN18" s="68" t="s">
        <v>110</v>
      </c>
      <c r="AO18" s="68" t="s">
        <v>108</v>
      </c>
      <c r="AP18" s="199" t="s">
        <v>109</v>
      </c>
      <c r="AQ18" s="408"/>
      <c r="AR18" s="68" t="s">
        <v>104</v>
      </c>
      <c r="AS18" s="68" t="s">
        <v>105</v>
      </c>
      <c r="AT18" s="68" t="s">
        <v>106</v>
      </c>
      <c r="AU18" s="68" t="s">
        <v>110</v>
      </c>
      <c r="AV18" s="68" t="s">
        <v>108</v>
      </c>
      <c r="AW18" s="182" t="s">
        <v>109</v>
      </c>
      <c r="AX18" s="270"/>
      <c r="AY18" s="68" t="s">
        <v>110</v>
      </c>
      <c r="AZ18" s="68" t="s">
        <v>108</v>
      </c>
      <c r="BA18" s="182" t="s">
        <v>109</v>
      </c>
      <c r="BB18" s="270"/>
      <c r="BC18" s="68" t="s">
        <v>101</v>
      </c>
      <c r="BD18" s="68" t="s">
        <v>102</v>
      </c>
      <c r="BE18" s="68" t="s">
        <v>103</v>
      </c>
      <c r="BF18" s="68" t="s">
        <v>107</v>
      </c>
      <c r="BG18" s="68" t="s">
        <v>108</v>
      </c>
      <c r="BH18" s="68" t="s">
        <v>109</v>
      </c>
      <c r="BI18" s="270"/>
      <c r="BJ18" s="68" t="s">
        <v>111</v>
      </c>
      <c r="BK18" s="68" t="s">
        <v>112</v>
      </c>
      <c r="BL18" s="182" t="s">
        <v>113</v>
      </c>
      <c r="BM18" s="270"/>
      <c r="BN18" s="68" t="s">
        <v>111</v>
      </c>
      <c r="BO18" s="68" t="s">
        <v>112</v>
      </c>
      <c r="BP18" s="199" t="s">
        <v>113</v>
      </c>
      <c r="BQ18" s="408"/>
      <c r="BR18" s="68" t="s">
        <v>101</v>
      </c>
      <c r="BS18" s="68" t="s">
        <v>102</v>
      </c>
      <c r="BT18" s="68" t="s">
        <v>103</v>
      </c>
      <c r="BU18" s="68" t="s">
        <v>104</v>
      </c>
      <c r="BV18" s="68" t="s">
        <v>105</v>
      </c>
      <c r="BW18" s="68" t="s">
        <v>106</v>
      </c>
      <c r="BX18" s="68" t="s">
        <v>107</v>
      </c>
      <c r="BY18" s="68" t="s">
        <v>108</v>
      </c>
      <c r="BZ18" s="68" t="s">
        <v>109</v>
      </c>
      <c r="CA18" s="270"/>
      <c r="CB18" s="68" t="s">
        <v>101</v>
      </c>
      <c r="CC18" s="68" t="s">
        <v>102</v>
      </c>
      <c r="CD18" s="68" t="s">
        <v>103</v>
      </c>
      <c r="CE18" s="68" t="s">
        <v>104</v>
      </c>
      <c r="CF18" s="68" t="s">
        <v>105</v>
      </c>
      <c r="CG18" s="68" t="s">
        <v>106</v>
      </c>
      <c r="CH18" s="68" t="s">
        <v>107</v>
      </c>
      <c r="CI18" s="68" t="s">
        <v>108</v>
      </c>
      <c r="CJ18" s="199" t="s">
        <v>109</v>
      </c>
      <c r="CK18" s="213" t="s">
        <v>97</v>
      </c>
      <c r="CL18" s="214" t="s">
        <v>114</v>
      </c>
      <c r="CM18" s="213" t="s">
        <v>97</v>
      </c>
      <c r="CN18" s="2" t="s">
        <v>115</v>
      </c>
      <c r="CO18" s="28" t="s">
        <v>116</v>
      </c>
      <c r="CP18" s="2" t="s">
        <v>117</v>
      </c>
      <c r="CQ18" s="28" t="s">
        <v>97</v>
      </c>
      <c r="CR18" s="2" t="s">
        <v>118</v>
      </c>
      <c r="CS18" s="28" t="s">
        <v>116</v>
      </c>
      <c r="CT18" s="28" t="s">
        <v>119</v>
      </c>
      <c r="CU18" s="28" t="s">
        <v>97</v>
      </c>
      <c r="CV18" s="2" t="s">
        <v>118</v>
      </c>
      <c r="CW18" s="28" t="s">
        <v>116</v>
      </c>
      <c r="CX18" s="28" t="s">
        <v>120</v>
      </c>
      <c r="CY18" s="28" t="s">
        <v>97</v>
      </c>
      <c r="CZ18" s="2" t="s">
        <v>118</v>
      </c>
      <c r="DA18" s="28" t="s">
        <v>116</v>
      </c>
      <c r="DB18" s="214" t="s">
        <v>121</v>
      </c>
      <c r="DC18" s="213" t="s">
        <v>97</v>
      </c>
      <c r="DD18" s="28" t="s">
        <v>122</v>
      </c>
      <c r="DE18" s="28" t="s">
        <v>97</v>
      </c>
      <c r="DF18" s="28" t="s">
        <v>123</v>
      </c>
      <c r="DG18" s="28" t="s">
        <v>97</v>
      </c>
      <c r="DH18" s="28" t="s">
        <v>124</v>
      </c>
      <c r="DI18" s="28" t="s">
        <v>97</v>
      </c>
      <c r="DJ18" s="28" t="s">
        <v>125</v>
      </c>
      <c r="DK18" s="28" t="s">
        <v>97</v>
      </c>
      <c r="DL18" s="28" t="s">
        <v>126</v>
      </c>
      <c r="DM18" s="28" t="s">
        <v>97</v>
      </c>
      <c r="DN18" s="28" t="s">
        <v>127</v>
      </c>
      <c r="DO18" s="28" t="s">
        <v>128</v>
      </c>
      <c r="DP18" s="28" t="s">
        <v>129</v>
      </c>
      <c r="DQ18" s="28" t="s">
        <v>128</v>
      </c>
      <c r="DR18" s="28" t="s">
        <v>129</v>
      </c>
      <c r="DS18" s="28" t="s">
        <v>128</v>
      </c>
      <c r="DT18" s="28" t="s">
        <v>129</v>
      </c>
      <c r="DU18" s="28" t="s">
        <v>128</v>
      </c>
      <c r="DV18" s="28" t="s">
        <v>129</v>
      </c>
      <c r="DW18" s="28" t="s">
        <v>128</v>
      </c>
      <c r="DX18" s="28" t="s">
        <v>129</v>
      </c>
      <c r="DY18" s="28" t="s">
        <v>128</v>
      </c>
      <c r="DZ18" s="28" t="s">
        <v>129</v>
      </c>
      <c r="EA18" s="28" t="s">
        <v>128</v>
      </c>
      <c r="EB18" s="28" t="s">
        <v>129</v>
      </c>
      <c r="EC18" s="28" t="s">
        <v>128</v>
      </c>
      <c r="ED18" s="28" t="s">
        <v>129</v>
      </c>
      <c r="EE18" s="28" t="s">
        <v>128</v>
      </c>
      <c r="EF18" s="28" t="s">
        <v>129</v>
      </c>
      <c r="EG18" s="28" t="s">
        <v>128</v>
      </c>
      <c r="EH18" s="214" t="s">
        <v>129</v>
      </c>
    </row>
    <row r="19" spans="1:139" x14ac:dyDescent="0.2">
      <c r="B19" s="23" t="s">
        <v>74</v>
      </c>
      <c r="C19" s="200">
        <v>0</v>
      </c>
      <c r="D19" s="9">
        <v>0.82</v>
      </c>
      <c r="E19" s="2">
        <v>0</v>
      </c>
      <c r="F19" s="310">
        <v>2.9260000000000002</v>
      </c>
      <c r="G19" s="2">
        <v>20000</v>
      </c>
      <c r="H19" s="7">
        <v>0.33500000000000002</v>
      </c>
      <c r="I19" s="2">
        <v>6700</v>
      </c>
      <c r="J19" s="310">
        <v>3.97</v>
      </c>
      <c r="K19" s="2">
        <v>0</v>
      </c>
      <c r="L19" s="9">
        <v>0.27</v>
      </c>
      <c r="M19" s="2">
        <v>0</v>
      </c>
      <c r="N19" s="310">
        <v>4.18</v>
      </c>
      <c r="O19" s="2">
        <v>0</v>
      </c>
      <c r="P19" s="9">
        <v>0.39</v>
      </c>
      <c r="Q19" s="2">
        <v>0</v>
      </c>
      <c r="R19" s="310">
        <v>4.99</v>
      </c>
      <c r="S19" s="67">
        <v>17000</v>
      </c>
      <c r="T19" s="8">
        <v>0.46</v>
      </c>
      <c r="U19" s="2">
        <v>7820</v>
      </c>
      <c r="V19" s="310">
        <v>4.54</v>
      </c>
      <c r="W19" s="67">
        <v>12000</v>
      </c>
      <c r="X19" s="176">
        <v>0.27</v>
      </c>
      <c r="Y19" s="67">
        <v>3240</v>
      </c>
      <c r="Z19" s="310">
        <v>4.99</v>
      </c>
      <c r="AA19" s="67">
        <v>0</v>
      </c>
      <c r="AB19" s="58">
        <v>0.45</v>
      </c>
      <c r="AC19" s="2">
        <v>0</v>
      </c>
      <c r="AD19" s="310">
        <v>1.45</v>
      </c>
      <c r="AE19" s="67">
        <v>0</v>
      </c>
      <c r="AF19" s="176">
        <v>0</v>
      </c>
      <c r="AG19" s="2">
        <v>0</v>
      </c>
      <c r="AH19" s="310">
        <v>1.45</v>
      </c>
      <c r="AI19" s="67">
        <v>0</v>
      </c>
      <c r="AJ19" s="10">
        <v>0.6</v>
      </c>
      <c r="AK19" s="2">
        <v>0</v>
      </c>
      <c r="AL19" s="310">
        <v>0.71</v>
      </c>
      <c r="AM19" s="67">
        <v>3600</v>
      </c>
      <c r="AN19" s="176">
        <v>0.4</v>
      </c>
      <c r="AO19" s="2">
        <v>1440</v>
      </c>
      <c r="AP19" s="288">
        <v>0.71</v>
      </c>
      <c r="AQ19" s="209">
        <v>0</v>
      </c>
      <c r="AR19" s="176">
        <v>0</v>
      </c>
      <c r="AS19" s="2">
        <v>0</v>
      </c>
      <c r="AT19" s="310">
        <v>1.45</v>
      </c>
      <c r="AU19" s="176">
        <v>0</v>
      </c>
      <c r="AV19" s="2">
        <v>0</v>
      </c>
      <c r="AW19" s="310">
        <v>0.71</v>
      </c>
      <c r="AX19" s="2">
        <v>0</v>
      </c>
      <c r="AY19" s="18">
        <v>0.44</v>
      </c>
      <c r="AZ19" s="2">
        <v>0</v>
      </c>
      <c r="BA19" s="310">
        <v>2.74</v>
      </c>
      <c r="BB19" s="67">
        <v>0</v>
      </c>
      <c r="BC19" s="176">
        <v>0</v>
      </c>
      <c r="BD19" s="2">
        <v>0</v>
      </c>
      <c r="BE19" s="310">
        <v>2.74</v>
      </c>
      <c r="BF19" s="176">
        <v>0</v>
      </c>
      <c r="BG19" s="67">
        <v>0</v>
      </c>
      <c r="BH19" s="310">
        <v>0.71</v>
      </c>
      <c r="BI19" s="2">
        <v>0</v>
      </c>
      <c r="BJ19" s="9">
        <v>0.54</v>
      </c>
      <c r="BK19" s="2">
        <v>0</v>
      </c>
      <c r="BL19" s="310">
        <v>1.82</v>
      </c>
      <c r="BM19" s="2">
        <v>2000</v>
      </c>
      <c r="BN19" s="18">
        <v>0.46</v>
      </c>
      <c r="BO19" s="2">
        <v>920</v>
      </c>
      <c r="BP19" s="288">
        <v>3.02</v>
      </c>
      <c r="BQ19" s="212">
        <v>0</v>
      </c>
      <c r="BR19" s="176">
        <v>0</v>
      </c>
      <c r="BS19" s="2">
        <v>0</v>
      </c>
      <c r="BT19" s="310">
        <v>3.97</v>
      </c>
      <c r="BU19" s="176">
        <v>0</v>
      </c>
      <c r="BV19" s="2">
        <v>0</v>
      </c>
      <c r="BW19" s="310">
        <v>1.83</v>
      </c>
      <c r="BX19" s="176">
        <v>0</v>
      </c>
      <c r="BY19" s="2">
        <v>0</v>
      </c>
      <c r="BZ19" s="310">
        <v>0.71</v>
      </c>
      <c r="CA19" s="67">
        <v>0</v>
      </c>
      <c r="CB19" s="176">
        <v>0</v>
      </c>
      <c r="CC19" s="2">
        <v>0</v>
      </c>
      <c r="CD19" s="310">
        <v>3.97</v>
      </c>
      <c r="CE19" s="176">
        <v>0</v>
      </c>
      <c r="CF19" s="2">
        <v>0</v>
      </c>
      <c r="CG19" s="310">
        <v>1.83</v>
      </c>
      <c r="CH19" s="176">
        <v>0</v>
      </c>
      <c r="CI19" s="2">
        <v>0</v>
      </c>
      <c r="CJ19" s="288">
        <v>0.71</v>
      </c>
      <c r="CK19" s="200">
        <v>0</v>
      </c>
      <c r="CL19" s="288">
        <v>9.8610000000000007</v>
      </c>
      <c r="CM19" s="200">
        <v>4200</v>
      </c>
      <c r="CN19" s="9">
        <v>0.94</v>
      </c>
      <c r="CO19" s="181">
        <v>3948</v>
      </c>
      <c r="CP19" s="310">
        <v>0.311</v>
      </c>
      <c r="CQ19" s="67">
        <v>7500</v>
      </c>
      <c r="CR19" s="21">
        <v>0.55000000000000004</v>
      </c>
      <c r="CS19" s="67">
        <v>4125</v>
      </c>
      <c r="CT19" s="310">
        <v>1.2569999999999999</v>
      </c>
      <c r="CU19" s="67">
        <v>0</v>
      </c>
      <c r="CV19" s="21">
        <v>0.55000000000000004</v>
      </c>
      <c r="CW19" s="67">
        <v>0</v>
      </c>
      <c r="CX19" s="310">
        <v>1.2569999999999999</v>
      </c>
      <c r="CY19" s="67">
        <v>0</v>
      </c>
      <c r="CZ19" s="21">
        <v>0.35</v>
      </c>
      <c r="DA19" s="67">
        <v>0</v>
      </c>
      <c r="DB19" s="288">
        <v>0.1</v>
      </c>
      <c r="DC19" s="209">
        <v>0</v>
      </c>
      <c r="DD19" s="355"/>
      <c r="DE19" s="67">
        <f>BT7+BU7-BV7</f>
        <v>0</v>
      </c>
      <c r="DF19" s="355"/>
      <c r="DG19" s="67">
        <f>BW7+BX7-BY7</f>
        <v>0</v>
      </c>
      <c r="DH19" s="355"/>
      <c r="DI19" s="67">
        <f>BZ7+CA7-CB7</f>
        <v>0</v>
      </c>
      <c r="DJ19" s="355"/>
      <c r="DK19" s="67">
        <f>CC7+CD7-CE7</f>
        <v>0</v>
      </c>
      <c r="DL19" s="355"/>
      <c r="DM19" s="2">
        <f>CF7+CG7-CH7</f>
        <v>0</v>
      </c>
      <c r="DN19" s="355"/>
      <c r="DO19" s="1">
        <f>CI7+CJ7-CK7</f>
        <v>0</v>
      </c>
      <c r="DP19" s="310">
        <v>625</v>
      </c>
      <c r="DQ19" s="1">
        <f>CL7+CM7-CN7</f>
        <v>0</v>
      </c>
      <c r="DR19" s="310">
        <v>517</v>
      </c>
      <c r="DS19" s="1">
        <f>CO7+CP7-CQ7</f>
        <v>0</v>
      </c>
      <c r="DT19" s="310">
        <v>14.6</v>
      </c>
      <c r="DU19" s="1">
        <f>CR7+CS7-CT7</f>
        <v>0</v>
      </c>
      <c r="DV19" s="310">
        <v>234</v>
      </c>
      <c r="DW19" s="1">
        <f>CU7+CV7-CW7</f>
        <v>0</v>
      </c>
      <c r="DX19" s="310">
        <v>701</v>
      </c>
      <c r="DY19" s="1">
        <f>CX7+CY7-CZ7</f>
        <v>0</v>
      </c>
      <c r="DZ19" s="310">
        <v>1190</v>
      </c>
      <c r="EA19" s="1">
        <f>DA7+DB7-DC7</f>
        <v>0</v>
      </c>
      <c r="EB19" s="310">
        <v>1486</v>
      </c>
      <c r="EC19" s="1">
        <f>DD7+DE7-DF7</f>
        <v>0</v>
      </c>
      <c r="ED19" s="310">
        <v>3084</v>
      </c>
      <c r="EE19" s="1">
        <f>DG7+DH7-DI7</f>
        <v>0</v>
      </c>
      <c r="EF19" s="310">
        <v>193</v>
      </c>
      <c r="EG19" s="1">
        <f>DJ7+DK7-DL7</f>
        <v>0</v>
      </c>
      <c r="EH19" s="288">
        <v>320</v>
      </c>
    </row>
    <row r="20" spans="1:139" x14ac:dyDescent="0.2">
      <c r="B20" s="23" t="s">
        <v>75</v>
      </c>
      <c r="C20" s="200">
        <v>0</v>
      </c>
      <c r="D20" s="9">
        <v>0.82</v>
      </c>
      <c r="E20" s="2">
        <v>0</v>
      </c>
      <c r="F20" s="311"/>
      <c r="G20" s="2">
        <v>18000</v>
      </c>
      <c r="H20" s="7">
        <v>0.33500000000000002</v>
      </c>
      <c r="I20" s="2">
        <v>6030</v>
      </c>
      <c r="J20" s="311"/>
      <c r="K20" s="2">
        <v>0</v>
      </c>
      <c r="L20" s="9">
        <v>0.27</v>
      </c>
      <c r="M20" s="2">
        <v>0</v>
      </c>
      <c r="N20" s="311"/>
      <c r="O20" s="2">
        <v>0</v>
      </c>
      <c r="P20" s="9">
        <v>0.39</v>
      </c>
      <c r="Q20" s="2">
        <v>0</v>
      </c>
      <c r="R20" s="311"/>
      <c r="S20" s="67">
        <v>17000</v>
      </c>
      <c r="T20" s="8">
        <v>0.46</v>
      </c>
      <c r="U20" s="2">
        <v>7820</v>
      </c>
      <c r="V20" s="311"/>
      <c r="W20" s="67">
        <v>12000</v>
      </c>
      <c r="X20" s="176">
        <v>0.27</v>
      </c>
      <c r="Y20" s="67">
        <v>3240</v>
      </c>
      <c r="Z20" s="311"/>
      <c r="AA20" s="67">
        <v>0</v>
      </c>
      <c r="AB20" s="58">
        <v>0.45</v>
      </c>
      <c r="AC20" s="2">
        <v>0</v>
      </c>
      <c r="AD20" s="311"/>
      <c r="AE20" s="67">
        <v>0</v>
      </c>
      <c r="AF20" s="176">
        <v>0</v>
      </c>
      <c r="AG20" s="2">
        <v>0</v>
      </c>
      <c r="AH20" s="311"/>
      <c r="AI20" s="67">
        <v>0</v>
      </c>
      <c r="AJ20" s="10">
        <v>0.6</v>
      </c>
      <c r="AK20" s="2">
        <v>0</v>
      </c>
      <c r="AL20" s="311"/>
      <c r="AM20" s="67">
        <v>3600</v>
      </c>
      <c r="AN20" s="176">
        <v>0.4</v>
      </c>
      <c r="AO20" s="2">
        <v>1440</v>
      </c>
      <c r="AP20" s="289"/>
      <c r="AQ20" s="209">
        <v>0</v>
      </c>
      <c r="AR20" s="176">
        <v>0</v>
      </c>
      <c r="AS20" s="2">
        <v>0</v>
      </c>
      <c r="AT20" s="311"/>
      <c r="AU20" s="176">
        <v>0</v>
      </c>
      <c r="AV20" s="2">
        <v>0</v>
      </c>
      <c r="AW20" s="311"/>
      <c r="AX20" s="2">
        <v>0</v>
      </c>
      <c r="AY20" s="18">
        <v>0.44</v>
      </c>
      <c r="AZ20" s="2">
        <v>0</v>
      </c>
      <c r="BA20" s="311"/>
      <c r="BB20" s="67">
        <v>0</v>
      </c>
      <c r="BC20" s="176">
        <v>0</v>
      </c>
      <c r="BD20" s="2">
        <v>0</v>
      </c>
      <c r="BE20" s="311"/>
      <c r="BF20" s="176">
        <v>0</v>
      </c>
      <c r="BG20" s="67">
        <v>0</v>
      </c>
      <c r="BH20" s="311"/>
      <c r="BI20" s="2">
        <v>0</v>
      </c>
      <c r="BJ20" s="9">
        <v>0.54</v>
      </c>
      <c r="BK20" s="2">
        <v>0</v>
      </c>
      <c r="BL20" s="311"/>
      <c r="BM20" s="2">
        <v>2000</v>
      </c>
      <c r="BN20" s="18">
        <v>0.46</v>
      </c>
      <c r="BO20" s="2">
        <v>920</v>
      </c>
      <c r="BP20" s="289"/>
      <c r="BQ20" s="212">
        <v>0</v>
      </c>
      <c r="BR20" s="176">
        <v>0</v>
      </c>
      <c r="BS20" s="2">
        <v>0</v>
      </c>
      <c r="BT20" s="311"/>
      <c r="BU20" s="176">
        <v>0</v>
      </c>
      <c r="BV20" s="2">
        <v>0</v>
      </c>
      <c r="BW20" s="311"/>
      <c r="BX20" s="176">
        <v>0</v>
      </c>
      <c r="BY20" s="2">
        <v>0</v>
      </c>
      <c r="BZ20" s="311"/>
      <c r="CA20" s="67">
        <v>0</v>
      </c>
      <c r="CB20" s="176">
        <v>0</v>
      </c>
      <c r="CC20" s="2">
        <v>0</v>
      </c>
      <c r="CD20" s="311"/>
      <c r="CE20" s="176">
        <v>0</v>
      </c>
      <c r="CF20" s="2">
        <v>0</v>
      </c>
      <c r="CG20" s="311"/>
      <c r="CH20" s="176">
        <v>0</v>
      </c>
      <c r="CI20" s="2">
        <v>0</v>
      </c>
      <c r="CJ20" s="289"/>
      <c r="CK20" s="200">
        <v>0</v>
      </c>
      <c r="CL20" s="289"/>
      <c r="CM20" s="200">
        <v>4200</v>
      </c>
      <c r="CN20" s="9">
        <v>0.94</v>
      </c>
      <c r="CO20" s="181">
        <v>3948</v>
      </c>
      <c r="CP20" s="311"/>
      <c r="CQ20" s="67">
        <v>7500</v>
      </c>
      <c r="CR20" s="21">
        <v>0.55000000000000004</v>
      </c>
      <c r="CS20" s="67">
        <v>4125</v>
      </c>
      <c r="CT20" s="311"/>
      <c r="CU20" s="67">
        <v>0</v>
      </c>
      <c r="CV20" s="21">
        <v>0.55000000000000004</v>
      </c>
      <c r="CW20" s="67">
        <v>0</v>
      </c>
      <c r="CX20" s="311"/>
      <c r="CY20" s="67">
        <v>0</v>
      </c>
      <c r="CZ20" s="21">
        <v>0.35</v>
      </c>
      <c r="DA20" s="67">
        <v>0</v>
      </c>
      <c r="DB20" s="289"/>
      <c r="DC20" s="209">
        <v>0</v>
      </c>
      <c r="DD20" s="356"/>
      <c r="DE20" s="67">
        <f t="shared" ref="DE20:DE23" si="0">BT8+BU8-BV8</f>
        <v>0</v>
      </c>
      <c r="DF20" s="356"/>
      <c r="DG20" s="67">
        <f t="shared" ref="DG20:DG23" si="1">BW8+BX8-BY8</f>
        <v>0</v>
      </c>
      <c r="DH20" s="356"/>
      <c r="DI20" s="67">
        <f t="shared" ref="DI20:DI23" si="2">BZ8+CA8-CB8</f>
        <v>0</v>
      </c>
      <c r="DJ20" s="356"/>
      <c r="DK20" s="67">
        <f t="shared" ref="DK20:DK23" si="3">CC8+CD8-CE8</f>
        <v>0</v>
      </c>
      <c r="DL20" s="356"/>
      <c r="DM20" s="2">
        <f>CF8+CG8-CH8</f>
        <v>0</v>
      </c>
      <c r="DN20" s="356"/>
      <c r="DO20" s="1">
        <f>CI8+CJ8-CK8</f>
        <v>0</v>
      </c>
      <c r="DP20" s="311"/>
      <c r="DQ20" s="1">
        <f>CL8+CM8-CN8</f>
        <v>0</v>
      </c>
      <c r="DR20" s="311"/>
      <c r="DS20" s="1">
        <f>CO8+CP8-CQ8</f>
        <v>0</v>
      </c>
      <c r="DT20" s="311"/>
      <c r="DU20" s="1">
        <f>CR8+CS8-CT8</f>
        <v>0</v>
      </c>
      <c r="DV20" s="311"/>
      <c r="DW20" s="1">
        <f>CU8+CV8-CW8</f>
        <v>0</v>
      </c>
      <c r="DX20" s="311"/>
      <c r="DY20" s="1">
        <f>CX8+CY8-CZ8</f>
        <v>0</v>
      </c>
      <c r="DZ20" s="311"/>
      <c r="EA20" s="1">
        <f>DA8+DB8-DC8</f>
        <v>0</v>
      </c>
      <c r="EB20" s="311"/>
      <c r="EC20" s="1">
        <f>DD8+DE8-DF8</f>
        <v>0</v>
      </c>
      <c r="ED20" s="311"/>
      <c r="EE20" s="1">
        <f>DG8+DH8-DI8</f>
        <v>0</v>
      </c>
      <c r="EF20" s="311"/>
      <c r="EG20" s="1">
        <f>DJ8+DK8-DL8</f>
        <v>0</v>
      </c>
      <c r="EH20" s="289"/>
    </row>
    <row r="21" spans="1:139" x14ac:dyDescent="0.2">
      <c r="B21" s="23" t="s">
        <v>76</v>
      </c>
      <c r="C21" s="200">
        <v>0</v>
      </c>
      <c r="D21" s="9">
        <v>0.82</v>
      </c>
      <c r="E21" s="2">
        <v>0</v>
      </c>
      <c r="F21" s="311"/>
      <c r="G21" s="2">
        <v>18000</v>
      </c>
      <c r="H21" s="7">
        <v>0.33500000000000002</v>
      </c>
      <c r="I21" s="2">
        <v>6030</v>
      </c>
      <c r="J21" s="311"/>
      <c r="K21" s="2">
        <v>0</v>
      </c>
      <c r="L21" s="9">
        <v>0.27</v>
      </c>
      <c r="M21" s="2">
        <v>0</v>
      </c>
      <c r="N21" s="311"/>
      <c r="O21" s="2">
        <v>0</v>
      </c>
      <c r="P21" s="9">
        <v>0.39</v>
      </c>
      <c r="Q21" s="2">
        <v>0</v>
      </c>
      <c r="R21" s="311"/>
      <c r="S21" s="67">
        <v>17000</v>
      </c>
      <c r="T21" s="8">
        <v>0.46</v>
      </c>
      <c r="U21" s="2">
        <v>7820</v>
      </c>
      <c r="V21" s="311"/>
      <c r="W21" s="67">
        <v>10000</v>
      </c>
      <c r="X21" s="176">
        <v>0.27</v>
      </c>
      <c r="Y21" s="67">
        <v>2700</v>
      </c>
      <c r="Z21" s="311"/>
      <c r="AA21" s="67">
        <v>0</v>
      </c>
      <c r="AB21" s="58">
        <v>0.45</v>
      </c>
      <c r="AC21" s="2">
        <v>0</v>
      </c>
      <c r="AD21" s="311"/>
      <c r="AE21" s="67">
        <v>0</v>
      </c>
      <c r="AF21" s="176">
        <v>0</v>
      </c>
      <c r="AG21" s="2">
        <v>0</v>
      </c>
      <c r="AH21" s="311"/>
      <c r="AI21" s="67">
        <v>0</v>
      </c>
      <c r="AJ21" s="10">
        <v>0.6</v>
      </c>
      <c r="AK21" s="2">
        <v>0</v>
      </c>
      <c r="AL21" s="311"/>
      <c r="AM21" s="67">
        <v>10220</v>
      </c>
      <c r="AN21" s="176">
        <v>0.4</v>
      </c>
      <c r="AO21" s="2">
        <v>4088</v>
      </c>
      <c r="AP21" s="289"/>
      <c r="AQ21" s="209">
        <v>0</v>
      </c>
      <c r="AR21" s="176">
        <v>0</v>
      </c>
      <c r="AS21" s="2">
        <v>0</v>
      </c>
      <c r="AT21" s="311"/>
      <c r="AU21" s="176">
        <v>0</v>
      </c>
      <c r="AV21" s="2">
        <v>0</v>
      </c>
      <c r="AW21" s="311"/>
      <c r="AX21" s="2">
        <v>0</v>
      </c>
      <c r="AY21" s="18">
        <v>0.44</v>
      </c>
      <c r="AZ21" s="2">
        <v>0</v>
      </c>
      <c r="BA21" s="311"/>
      <c r="BB21" s="67">
        <v>0</v>
      </c>
      <c r="BC21" s="176">
        <v>0</v>
      </c>
      <c r="BD21" s="2">
        <v>0</v>
      </c>
      <c r="BE21" s="311"/>
      <c r="BF21" s="176">
        <v>0</v>
      </c>
      <c r="BG21" s="67">
        <v>0</v>
      </c>
      <c r="BH21" s="311"/>
      <c r="BI21" s="2">
        <v>0</v>
      </c>
      <c r="BJ21" s="9">
        <v>0.54</v>
      </c>
      <c r="BK21" s="2">
        <v>0</v>
      </c>
      <c r="BL21" s="311"/>
      <c r="BM21" s="2">
        <v>2000</v>
      </c>
      <c r="BN21" s="18">
        <v>0.46</v>
      </c>
      <c r="BO21" s="2">
        <v>920</v>
      </c>
      <c r="BP21" s="289"/>
      <c r="BQ21" s="212">
        <v>0</v>
      </c>
      <c r="BR21" s="176">
        <v>0</v>
      </c>
      <c r="BS21" s="2">
        <v>0</v>
      </c>
      <c r="BT21" s="311"/>
      <c r="BU21" s="176">
        <v>0</v>
      </c>
      <c r="BV21" s="2">
        <v>0</v>
      </c>
      <c r="BW21" s="311"/>
      <c r="BX21" s="176">
        <v>0</v>
      </c>
      <c r="BY21" s="2">
        <v>0</v>
      </c>
      <c r="BZ21" s="311"/>
      <c r="CA21" s="67">
        <v>0</v>
      </c>
      <c r="CB21" s="176">
        <v>0</v>
      </c>
      <c r="CC21" s="2">
        <v>0</v>
      </c>
      <c r="CD21" s="311"/>
      <c r="CE21" s="176">
        <v>0</v>
      </c>
      <c r="CF21" s="2">
        <v>0</v>
      </c>
      <c r="CG21" s="311"/>
      <c r="CH21" s="176">
        <v>0</v>
      </c>
      <c r="CI21" s="2">
        <v>0</v>
      </c>
      <c r="CJ21" s="289"/>
      <c r="CK21" s="200">
        <v>0</v>
      </c>
      <c r="CL21" s="289"/>
      <c r="CM21" s="200">
        <v>4200</v>
      </c>
      <c r="CN21" s="9">
        <v>0.94</v>
      </c>
      <c r="CO21" s="181">
        <v>3948</v>
      </c>
      <c r="CP21" s="311"/>
      <c r="CQ21" s="67">
        <v>0</v>
      </c>
      <c r="CR21" s="21">
        <v>0.55000000000000004</v>
      </c>
      <c r="CS21" s="67">
        <v>0</v>
      </c>
      <c r="CT21" s="311"/>
      <c r="CU21" s="67">
        <v>0</v>
      </c>
      <c r="CV21" s="21">
        <v>0.55000000000000004</v>
      </c>
      <c r="CW21" s="67">
        <v>0</v>
      </c>
      <c r="CX21" s="311"/>
      <c r="CY21" s="67">
        <v>0</v>
      </c>
      <c r="CZ21" s="21">
        <v>0.35</v>
      </c>
      <c r="DA21" s="67">
        <v>0</v>
      </c>
      <c r="DB21" s="289"/>
      <c r="DC21" s="209">
        <v>0</v>
      </c>
      <c r="DD21" s="356"/>
      <c r="DE21" s="67">
        <f t="shared" si="0"/>
        <v>0</v>
      </c>
      <c r="DF21" s="356"/>
      <c r="DG21" s="67">
        <f t="shared" si="1"/>
        <v>0</v>
      </c>
      <c r="DH21" s="356"/>
      <c r="DI21" s="67">
        <f t="shared" si="2"/>
        <v>0</v>
      </c>
      <c r="DJ21" s="356"/>
      <c r="DK21" s="67">
        <f t="shared" si="3"/>
        <v>0</v>
      </c>
      <c r="DL21" s="356"/>
      <c r="DM21" s="2">
        <f>CF9+CG9-CH9</f>
        <v>0</v>
      </c>
      <c r="DN21" s="356"/>
      <c r="DO21" s="1">
        <f>CI9+CJ9-CK9</f>
        <v>0</v>
      </c>
      <c r="DP21" s="311"/>
      <c r="DQ21" s="1">
        <f>CL9+CM9-CN9</f>
        <v>0</v>
      </c>
      <c r="DR21" s="311"/>
      <c r="DS21" s="1">
        <f>CO9+CP9-CQ9</f>
        <v>0</v>
      </c>
      <c r="DT21" s="311"/>
      <c r="DU21" s="1">
        <f>CR9+CS9-CT9</f>
        <v>0</v>
      </c>
      <c r="DV21" s="311"/>
      <c r="DW21" s="1">
        <f>CU9+CV9-CW9</f>
        <v>0</v>
      </c>
      <c r="DX21" s="311"/>
      <c r="DY21" s="1">
        <f>CX9+CY9-CZ9</f>
        <v>0</v>
      </c>
      <c r="DZ21" s="311"/>
      <c r="EA21" s="1">
        <f>DA9+DB9-DC9</f>
        <v>0</v>
      </c>
      <c r="EB21" s="311"/>
      <c r="EC21" s="1">
        <f>DD9+DE9-DF9</f>
        <v>0</v>
      </c>
      <c r="ED21" s="311"/>
      <c r="EE21" s="1">
        <f>DG9+DH9-DI9</f>
        <v>0</v>
      </c>
      <c r="EF21" s="311"/>
      <c r="EG21" s="1">
        <f>DJ9+DK9-DL9</f>
        <v>0</v>
      </c>
      <c r="EH21" s="289"/>
    </row>
    <row r="22" spans="1:139" x14ac:dyDescent="0.2">
      <c r="B22" s="23" t="s">
        <v>77</v>
      </c>
      <c r="C22" s="200">
        <v>0</v>
      </c>
      <c r="D22" s="9">
        <v>0.82</v>
      </c>
      <c r="E22" s="2">
        <v>0</v>
      </c>
      <c r="F22" s="311"/>
      <c r="G22" s="2">
        <v>18000</v>
      </c>
      <c r="H22" s="7">
        <v>0.33500000000000002</v>
      </c>
      <c r="I22" s="2">
        <v>6030</v>
      </c>
      <c r="J22" s="311"/>
      <c r="K22" s="2">
        <v>0</v>
      </c>
      <c r="L22" s="9">
        <v>0.27</v>
      </c>
      <c r="M22" s="2">
        <v>0</v>
      </c>
      <c r="N22" s="311"/>
      <c r="O22" s="2">
        <v>0</v>
      </c>
      <c r="P22" s="9">
        <v>0.39</v>
      </c>
      <c r="Q22" s="2">
        <v>0</v>
      </c>
      <c r="R22" s="311"/>
      <c r="S22" s="67">
        <v>17000</v>
      </c>
      <c r="T22" s="8">
        <v>0.46</v>
      </c>
      <c r="U22" s="2">
        <v>7820</v>
      </c>
      <c r="V22" s="311"/>
      <c r="W22" s="67">
        <v>10000</v>
      </c>
      <c r="X22" s="176">
        <v>0.27</v>
      </c>
      <c r="Y22" s="67">
        <v>2700</v>
      </c>
      <c r="Z22" s="311"/>
      <c r="AA22" s="67">
        <v>0</v>
      </c>
      <c r="AB22" s="58">
        <v>0.45</v>
      </c>
      <c r="AC22" s="2">
        <v>0</v>
      </c>
      <c r="AD22" s="311"/>
      <c r="AE22" s="67">
        <v>0</v>
      </c>
      <c r="AF22" s="176">
        <v>0</v>
      </c>
      <c r="AG22" s="2">
        <v>0</v>
      </c>
      <c r="AH22" s="311"/>
      <c r="AI22" s="67">
        <v>0</v>
      </c>
      <c r="AJ22" s="10">
        <v>0.6</v>
      </c>
      <c r="AK22" s="2">
        <v>0</v>
      </c>
      <c r="AL22" s="311"/>
      <c r="AM22" s="67">
        <v>10220</v>
      </c>
      <c r="AN22" s="176">
        <v>0.4</v>
      </c>
      <c r="AO22" s="2">
        <v>4088</v>
      </c>
      <c r="AP22" s="289"/>
      <c r="AQ22" s="209">
        <v>0</v>
      </c>
      <c r="AR22" s="176">
        <v>0</v>
      </c>
      <c r="AS22" s="2">
        <v>0</v>
      </c>
      <c r="AT22" s="311"/>
      <c r="AU22" s="176">
        <v>0</v>
      </c>
      <c r="AV22" s="2">
        <v>0</v>
      </c>
      <c r="AW22" s="311"/>
      <c r="AX22" s="2">
        <v>0</v>
      </c>
      <c r="AY22" s="18">
        <v>0.44</v>
      </c>
      <c r="AZ22" s="2">
        <v>0</v>
      </c>
      <c r="BA22" s="311"/>
      <c r="BB22" s="67">
        <v>0</v>
      </c>
      <c r="BC22" s="176">
        <v>0</v>
      </c>
      <c r="BD22" s="2">
        <v>0</v>
      </c>
      <c r="BE22" s="311"/>
      <c r="BF22" s="176">
        <v>0</v>
      </c>
      <c r="BG22" s="67">
        <v>0</v>
      </c>
      <c r="BH22" s="311"/>
      <c r="BI22" s="2">
        <v>0</v>
      </c>
      <c r="BJ22" s="9">
        <v>0.54</v>
      </c>
      <c r="BK22" s="2">
        <v>0</v>
      </c>
      <c r="BL22" s="311"/>
      <c r="BM22" s="2">
        <v>2000</v>
      </c>
      <c r="BN22" s="18">
        <v>0.46</v>
      </c>
      <c r="BO22" s="2">
        <v>920</v>
      </c>
      <c r="BP22" s="289"/>
      <c r="BQ22" s="212">
        <v>0</v>
      </c>
      <c r="BR22" s="176">
        <v>0</v>
      </c>
      <c r="BS22" s="2">
        <v>0</v>
      </c>
      <c r="BT22" s="311"/>
      <c r="BU22" s="176">
        <v>0</v>
      </c>
      <c r="BV22" s="2">
        <v>0</v>
      </c>
      <c r="BW22" s="311"/>
      <c r="BX22" s="176">
        <v>0</v>
      </c>
      <c r="BY22" s="2">
        <v>0</v>
      </c>
      <c r="BZ22" s="311"/>
      <c r="CA22" s="67">
        <v>0</v>
      </c>
      <c r="CB22" s="176">
        <v>0</v>
      </c>
      <c r="CC22" s="2">
        <v>0</v>
      </c>
      <c r="CD22" s="311"/>
      <c r="CE22" s="176">
        <v>0</v>
      </c>
      <c r="CF22" s="2">
        <v>0</v>
      </c>
      <c r="CG22" s="311"/>
      <c r="CH22" s="176">
        <v>0</v>
      </c>
      <c r="CI22" s="2">
        <v>0</v>
      </c>
      <c r="CJ22" s="289"/>
      <c r="CK22" s="200">
        <v>0</v>
      </c>
      <c r="CL22" s="289"/>
      <c r="CM22" s="200">
        <v>4200</v>
      </c>
      <c r="CN22" s="9">
        <v>0.94</v>
      </c>
      <c r="CO22" s="181">
        <v>3948</v>
      </c>
      <c r="CP22" s="311"/>
      <c r="CQ22" s="67">
        <v>0</v>
      </c>
      <c r="CR22" s="21">
        <v>0.55000000000000004</v>
      </c>
      <c r="CS22" s="67">
        <v>0</v>
      </c>
      <c r="CT22" s="311"/>
      <c r="CU22" s="67">
        <v>0</v>
      </c>
      <c r="CV22" s="21">
        <v>0.55000000000000004</v>
      </c>
      <c r="CW22" s="67">
        <v>0</v>
      </c>
      <c r="CX22" s="311"/>
      <c r="CY22" s="67">
        <v>0</v>
      </c>
      <c r="CZ22" s="21">
        <v>0.35</v>
      </c>
      <c r="DA22" s="67">
        <v>0</v>
      </c>
      <c r="DB22" s="289"/>
      <c r="DC22" s="209">
        <v>0</v>
      </c>
      <c r="DD22" s="356"/>
      <c r="DE22" s="67">
        <f t="shared" si="0"/>
        <v>0</v>
      </c>
      <c r="DF22" s="356"/>
      <c r="DG22" s="67">
        <f t="shared" si="1"/>
        <v>0</v>
      </c>
      <c r="DH22" s="356"/>
      <c r="DI22" s="67">
        <f t="shared" si="2"/>
        <v>0</v>
      </c>
      <c r="DJ22" s="356"/>
      <c r="DK22" s="67">
        <f t="shared" si="3"/>
        <v>0</v>
      </c>
      <c r="DL22" s="356"/>
      <c r="DM22" s="2">
        <f>CF10+CG10-CH10</f>
        <v>0</v>
      </c>
      <c r="DN22" s="356"/>
      <c r="DO22" s="1">
        <f>CI10+CJ10-CK10</f>
        <v>0</v>
      </c>
      <c r="DP22" s="311"/>
      <c r="DQ22" s="1">
        <f>CL10+CM10-CN10</f>
        <v>0</v>
      </c>
      <c r="DR22" s="311"/>
      <c r="DS22" s="1">
        <f>CO10+CP10-CQ10</f>
        <v>0</v>
      </c>
      <c r="DT22" s="311"/>
      <c r="DU22" s="1">
        <f>CR10+CS10-CT10</f>
        <v>0</v>
      </c>
      <c r="DV22" s="311"/>
      <c r="DW22" s="1">
        <f>CU10+CV10-CW10</f>
        <v>0</v>
      </c>
      <c r="DX22" s="311"/>
      <c r="DY22" s="1">
        <f>CX10+CY10-CZ10</f>
        <v>0</v>
      </c>
      <c r="DZ22" s="311"/>
      <c r="EA22" s="1">
        <f>DA10+DB10-DC10</f>
        <v>0</v>
      </c>
      <c r="EB22" s="311"/>
      <c r="EC22" s="1">
        <f>DD10+DE10-DF10</f>
        <v>0</v>
      </c>
      <c r="ED22" s="311"/>
      <c r="EE22" s="1">
        <f>DG10+DH10-DI10</f>
        <v>0</v>
      </c>
      <c r="EF22" s="311"/>
      <c r="EG22" s="1">
        <f>DJ10+DK10-DL10</f>
        <v>0</v>
      </c>
      <c r="EH22" s="289"/>
    </row>
    <row r="23" spans="1:139" ht="16" thickBot="1" x14ac:dyDescent="0.25">
      <c r="B23" s="23" t="s">
        <v>78</v>
      </c>
      <c r="C23" s="201">
        <v>0</v>
      </c>
      <c r="D23" s="202">
        <v>0.82</v>
      </c>
      <c r="E23" s="203">
        <v>0</v>
      </c>
      <c r="F23" s="312"/>
      <c r="G23" s="203">
        <v>14400</v>
      </c>
      <c r="H23" s="204">
        <v>0.33500000000000002</v>
      </c>
      <c r="I23" s="203">
        <v>4824</v>
      </c>
      <c r="J23" s="312"/>
      <c r="K23" s="203">
        <v>0</v>
      </c>
      <c r="L23" s="202">
        <v>0.27</v>
      </c>
      <c r="M23" s="203">
        <v>0</v>
      </c>
      <c r="N23" s="312"/>
      <c r="O23" s="203">
        <v>0</v>
      </c>
      <c r="P23" s="202">
        <v>0.39</v>
      </c>
      <c r="Q23" s="203">
        <v>0</v>
      </c>
      <c r="R23" s="312"/>
      <c r="S23" s="205">
        <v>15000</v>
      </c>
      <c r="T23" s="206">
        <v>0.46</v>
      </c>
      <c r="U23" s="203">
        <v>6900</v>
      </c>
      <c r="V23" s="312"/>
      <c r="W23" s="205">
        <v>11000</v>
      </c>
      <c r="X23" s="219">
        <v>0.27</v>
      </c>
      <c r="Y23" s="220">
        <v>2970</v>
      </c>
      <c r="Z23" s="312"/>
      <c r="AA23" s="205">
        <v>0</v>
      </c>
      <c r="AB23" s="207">
        <v>0.45</v>
      </c>
      <c r="AC23" s="203">
        <v>0</v>
      </c>
      <c r="AD23" s="312"/>
      <c r="AE23" s="205">
        <v>0</v>
      </c>
      <c r="AF23" s="219">
        <v>0</v>
      </c>
      <c r="AG23" s="203">
        <v>0</v>
      </c>
      <c r="AH23" s="312"/>
      <c r="AI23" s="205">
        <v>0</v>
      </c>
      <c r="AJ23" s="208">
        <v>0.6</v>
      </c>
      <c r="AK23" s="203">
        <v>0</v>
      </c>
      <c r="AL23" s="312"/>
      <c r="AM23" s="205">
        <v>6800</v>
      </c>
      <c r="AN23" s="219">
        <v>0.4</v>
      </c>
      <c r="AO23" s="203">
        <v>2720</v>
      </c>
      <c r="AP23" s="290"/>
      <c r="AQ23" s="210">
        <v>0</v>
      </c>
      <c r="AR23" s="219">
        <v>0</v>
      </c>
      <c r="AS23" s="203">
        <v>0</v>
      </c>
      <c r="AT23" s="312"/>
      <c r="AU23" s="219">
        <v>0</v>
      </c>
      <c r="AV23" s="203">
        <v>0</v>
      </c>
      <c r="AW23" s="312"/>
      <c r="AX23" s="203">
        <v>0</v>
      </c>
      <c r="AY23" s="211">
        <v>0.44</v>
      </c>
      <c r="AZ23" s="203">
        <v>0</v>
      </c>
      <c r="BA23" s="312"/>
      <c r="BB23" s="205">
        <v>0</v>
      </c>
      <c r="BC23" s="219">
        <v>0</v>
      </c>
      <c r="BD23" s="203">
        <v>0</v>
      </c>
      <c r="BE23" s="312"/>
      <c r="BF23" s="219">
        <v>0</v>
      </c>
      <c r="BG23" s="205">
        <v>0</v>
      </c>
      <c r="BH23" s="312"/>
      <c r="BI23" s="203">
        <v>0</v>
      </c>
      <c r="BJ23" s="202">
        <v>0.54</v>
      </c>
      <c r="BK23" s="203">
        <v>0</v>
      </c>
      <c r="BL23" s="312"/>
      <c r="BM23" s="203">
        <v>0</v>
      </c>
      <c r="BN23" s="211">
        <v>0.46</v>
      </c>
      <c r="BO23" s="203">
        <v>0</v>
      </c>
      <c r="BP23" s="290"/>
      <c r="BQ23" s="201">
        <v>27880</v>
      </c>
      <c r="BR23" s="219">
        <v>0.09</v>
      </c>
      <c r="BS23" s="203">
        <v>2509.1999999999998</v>
      </c>
      <c r="BT23" s="312"/>
      <c r="BU23" s="219">
        <v>0.08</v>
      </c>
      <c r="BV23" s="203">
        <v>2230.4</v>
      </c>
      <c r="BW23" s="312"/>
      <c r="BX23" s="219">
        <v>0.21</v>
      </c>
      <c r="BY23" s="203">
        <v>5854.8</v>
      </c>
      <c r="BZ23" s="312"/>
      <c r="CA23" s="205">
        <v>0</v>
      </c>
      <c r="CB23" s="219">
        <v>0</v>
      </c>
      <c r="CC23" s="203">
        <v>0</v>
      </c>
      <c r="CD23" s="312"/>
      <c r="CE23" s="219">
        <v>0</v>
      </c>
      <c r="CF23" s="203">
        <v>0</v>
      </c>
      <c r="CG23" s="312"/>
      <c r="CH23" s="219">
        <v>0</v>
      </c>
      <c r="CI23" s="203">
        <v>0</v>
      </c>
      <c r="CJ23" s="290"/>
      <c r="CK23" s="201">
        <v>0</v>
      </c>
      <c r="CL23" s="290"/>
      <c r="CM23" s="201">
        <v>0</v>
      </c>
      <c r="CN23" s="202">
        <v>0.94</v>
      </c>
      <c r="CO23" s="203">
        <v>0</v>
      </c>
      <c r="CP23" s="312"/>
      <c r="CQ23" s="205">
        <v>6000</v>
      </c>
      <c r="CR23" s="217">
        <v>0.55000000000000004</v>
      </c>
      <c r="CS23" s="205">
        <v>3300.0000000000005</v>
      </c>
      <c r="CT23" s="312"/>
      <c r="CU23" s="205">
        <v>0</v>
      </c>
      <c r="CV23" s="217">
        <v>0.55000000000000004</v>
      </c>
      <c r="CW23" s="205">
        <v>0</v>
      </c>
      <c r="CX23" s="312"/>
      <c r="CY23" s="205">
        <v>0</v>
      </c>
      <c r="CZ23" s="217">
        <v>0.35</v>
      </c>
      <c r="DA23" s="205">
        <v>0</v>
      </c>
      <c r="DB23" s="290"/>
      <c r="DC23" s="210">
        <v>0</v>
      </c>
      <c r="DD23" s="357"/>
      <c r="DE23" s="205">
        <f t="shared" si="0"/>
        <v>0</v>
      </c>
      <c r="DF23" s="357"/>
      <c r="DG23" s="205">
        <f t="shared" si="1"/>
        <v>0</v>
      </c>
      <c r="DH23" s="357"/>
      <c r="DI23" s="205">
        <f t="shared" si="2"/>
        <v>0</v>
      </c>
      <c r="DJ23" s="357"/>
      <c r="DK23" s="205">
        <f t="shared" si="3"/>
        <v>0</v>
      </c>
      <c r="DL23" s="357"/>
      <c r="DM23" s="203">
        <f>CF11+CG11-CH11</f>
        <v>0</v>
      </c>
      <c r="DN23" s="357"/>
      <c r="DO23" s="218">
        <f>CI11+CJ11-CK11</f>
        <v>0</v>
      </c>
      <c r="DP23" s="312"/>
      <c r="DQ23" s="218">
        <f>CL11+CM11-CN11</f>
        <v>0</v>
      </c>
      <c r="DR23" s="312"/>
      <c r="DS23" s="218">
        <f>CO11+CP11-CQ11</f>
        <v>0</v>
      </c>
      <c r="DT23" s="312"/>
      <c r="DU23" s="218">
        <f>CR11+CS11-CT11</f>
        <v>0</v>
      </c>
      <c r="DV23" s="312"/>
      <c r="DW23" s="218">
        <f>CU11+CV11-CW11</f>
        <v>0</v>
      </c>
      <c r="DX23" s="312"/>
      <c r="DY23" s="218">
        <f>CX11+CY11-CZ11</f>
        <v>0</v>
      </c>
      <c r="DZ23" s="312"/>
      <c r="EA23" s="218">
        <f>DA11+DB11-DC11</f>
        <v>0</v>
      </c>
      <c r="EB23" s="312"/>
      <c r="EC23" s="218">
        <f>DD11+DE11-DF11</f>
        <v>0</v>
      </c>
      <c r="ED23" s="312"/>
      <c r="EE23" s="218">
        <f>DG11+DH11-DI11</f>
        <v>0</v>
      </c>
      <c r="EF23" s="312"/>
      <c r="EG23" s="218">
        <f>DJ11+DK11-DL11</f>
        <v>0</v>
      </c>
      <c r="EH23" s="290"/>
    </row>
    <row r="24" spans="1:139" x14ac:dyDescent="0.2">
      <c r="B24" s="5" t="s">
        <v>130</v>
      </c>
      <c r="C24" s="72">
        <f>SUM(C19:C23)</f>
        <v>0</v>
      </c>
      <c r="E24" s="72">
        <f>SUM(E19:E23)</f>
        <v>0</v>
      </c>
      <c r="G24" s="72">
        <f>SUM(G19:G23)</f>
        <v>88400</v>
      </c>
      <c r="I24" s="72">
        <f>SUM(I19:I23)</f>
        <v>29614</v>
      </c>
      <c r="K24" s="72">
        <f>SUM(K19:K23)</f>
        <v>0</v>
      </c>
      <c r="M24" s="72">
        <f>SUM(M19:M23)</f>
        <v>0</v>
      </c>
      <c r="O24" s="72">
        <f>SUM(O19:O23)</f>
        <v>0</v>
      </c>
      <c r="Q24" s="197">
        <f>SUM(Q19:Q23)</f>
        <v>0</v>
      </c>
      <c r="S24" s="72">
        <f>SUM(S19:S23)</f>
        <v>83000</v>
      </c>
      <c r="U24" s="72">
        <f>SUM(U19:U23)</f>
        <v>38180</v>
      </c>
      <c r="W24" s="72">
        <f>SUM(W19:W23)</f>
        <v>55000</v>
      </c>
      <c r="Y24" s="72">
        <f>SUM(Y19:Y23)</f>
        <v>14850</v>
      </c>
      <c r="AA24" s="72">
        <f>SUM(AA19:AA23)</f>
        <v>0</v>
      </c>
      <c r="AC24" s="197">
        <f>SUM(AC19:AC23)</f>
        <v>0</v>
      </c>
      <c r="AE24" s="197">
        <f>SUM(AE19:AE23)</f>
        <v>0</v>
      </c>
      <c r="AG24" s="72">
        <f>SUM(AG19:AG23)</f>
        <v>0</v>
      </c>
      <c r="AI24" s="72">
        <f>SUM(AI19:AI23)</f>
        <v>0</v>
      </c>
      <c r="AK24" s="72">
        <f>SUM(AK19:AK23)</f>
        <v>0</v>
      </c>
      <c r="AM24" s="197">
        <f>SUM(AM19:AM23)</f>
        <v>34440</v>
      </c>
      <c r="AO24" s="197">
        <f>SUM(AO19:AO23)</f>
        <v>13776</v>
      </c>
      <c r="AQ24" s="72">
        <f>SUM(AQ19:AQ23)</f>
        <v>0</v>
      </c>
      <c r="AS24" s="72">
        <f>SUM(AS19:AS23)</f>
        <v>0</v>
      </c>
      <c r="AV24" s="197">
        <f>SUM(AV19:AV23)</f>
        <v>0</v>
      </c>
      <c r="AZ24" s="197">
        <f>SUM(AZ19:AZ23)</f>
        <v>0</v>
      </c>
      <c r="BB24" s="197">
        <f>SUM(BB19:BB23)</f>
        <v>0</v>
      </c>
      <c r="BD24" s="197">
        <f>SUM(BD19:BD23)</f>
        <v>0</v>
      </c>
      <c r="BG24" s="197">
        <f>SUM(BG19:BG23)</f>
        <v>0</v>
      </c>
      <c r="BK24" s="197">
        <f>SUM(BK19:BK23)</f>
        <v>0</v>
      </c>
      <c r="BO24" s="197">
        <f>SUM(BO19:BO23)</f>
        <v>3680</v>
      </c>
      <c r="BQ24" s="197">
        <f>SUM(BQ19:BQ23)</f>
        <v>27880</v>
      </c>
      <c r="BS24" s="197">
        <f>SUM(BS19:BS23)</f>
        <v>2509.1999999999998</v>
      </c>
      <c r="BV24" s="197">
        <f>SUM(BV19:BV23)</f>
        <v>2230.4</v>
      </c>
      <c r="BY24" s="197">
        <f>SUM(BY19:BY23)</f>
        <v>5854.8</v>
      </c>
      <c r="CA24" s="72">
        <f>SUM(CA19:CA23)</f>
        <v>0</v>
      </c>
      <c r="CC24" s="72">
        <f>SUM(CC19:CC23)</f>
        <v>0</v>
      </c>
      <c r="CF24" s="72">
        <f>SUM(CF19:CF23)</f>
        <v>0</v>
      </c>
      <c r="CI24" s="72">
        <f>SUM(CI19:CI23)</f>
        <v>0</v>
      </c>
      <c r="CK24" s="72">
        <f>SUM(CK19:CK23)</f>
        <v>0</v>
      </c>
      <c r="CM24" s="215">
        <f>SUM(CM19:CM23)</f>
        <v>16800</v>
      </c>
      <c r="CN24" s="26"/>
      <c r="CO24" s="216">
        <f t="shared" ref="CO24" si="4">SUM(CO19:CO23)</f>
        <v>15792</v>
      </c>
      <c r="CQ24" s="197">
        <f>SUM(CQ19:CQ23)</f>
        <v>21000</v>
      </c>
      <c r="CR24" s="30"/>
      <c r="CS24" s="29">
        <f xml:space="preserve"> SUM(CS19:CS23)</f>
        <v>11550</v>
      </c>
      <c r="CT24" s="30"/>
      <c r="CU24" s="197">
        <f>SUM(CU19:CU23)</f>
        <v>0</v>
      </c>
      <c r="CV24" s="30"/>
      <c r="CW24" s="29">
        <f xml:space="preserve"> SUM(CW19:CW23)</f>
        <v>0</v>
      </c>
      <c r="CX24" s="30"/>
      <c r="CY24" s="197">
        <f>SUM(CY19:CY23)</f>
        <v>0</v>
      </c>
      <c r="CZ24" s="30"/>
      <c r="DA24" s="29">
        <f xml:space="preserve"> SUM(DA19:DA23)</f>
        <v>0</v>
      </c>
      <c r="DB24" s="30"/>
      <c r="DC24" s="197">
        <f>SUM(DC19:DC23)</f>
        <v>0</v>
      </c>
      <c r="DE24" s="197">
        <f>SUM(DE19:DE23)</f>
        <v>0</v>
      </c>
      <c r="DG24" s="197">
        <f>SUM(DG19:DG23)</f>
        <v>0</v>
      </c>
      <c r="DI24" s="197">
        <f>SUM(DI19:DI23)</f>
        <v>0</v>
      </c>
      <c r="DK24" s="197">
        <f>SUM(DK19:DK23)</f>
        <v>0</v>
      </c>
      <c r="DM24" s="197">
        <f>SUM(DM19:DM23)</f>
        <v>0</v>
      </c>
      <c r="DO24" s="197">
        <f>SUM(DO19:DO23)</f>
        <v>0</v>
      </c>
      <c r="DQ24" s="197">
        <f>SUM(DQ19:DQ23)</f>
        <v>0</v>
      </c>
      <c r="DS24" s="197">
        <f>SUM(DS19:DS23)</f>
        <v>0</v>
      </c>
      <c r="DU24" s="197">
        <f>SUM(DU19:DU23)</f>
        <v>0</v>
      </c>
      <c r="DW24" s="197">
        <f>SUM(DW19:DW23)</f>
        <v>0</v>
      </c>
      <c r="DY24" s="197">
        <f>SUM(DY19:DY23)</f>
        <v>0</v>
      </c>
      <c r="EA24" s="197">
        <f>SUM(EA19:EA23)</f>
        <v>0</v>
      </c>
      <c r="EC24" s="197">
        <f>SUM(EC19:EC23)</f>
        <v>0</v>
      </c>
      <c r="EE24" s="197">
        <f>SUM(EE19:EE23)</f>
        <v>0</v>
      </c>
      <c r="EG24" s="197">
        <f>SUM(EG19:EG23)</f>
        <v>0</v>
      </c>
      <c r="EI24">
        <f>SUM(E24,I24,M24,Q24,U24,Y24,BS24,CC24)</f>
        <v>85153.2</v>
      </c>
    </row>
    <row r="25" spans="1:139" x14ac:dyDescent="0.2">
      <c r="A25">
        <f>SUM(E24,I24,M24,Q24,U24,Y24,BD24,BS24,CC24)</f>
        <v>85153.2</v>
      </c>
      <c r="H25" s="156"/>
      <c r="I25" s="156"/>
      <c r="J25" s="156"/>
      <c r="K25" s="156"/>
      <c r="U25" s="156"/>
    </row>
    <row r="26" spans="1:139" ht="14.5" customHeight="1" x14ac:dyDescent="0.2">
      <c r="B26" s="13" t="s">
        <v>131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5"/>
      <c r="AQ26" s="3"/>
      <c r="AR26" s="3"/>
      <c r="AS26" s="3"/>
    </row>
    <row r="27" spans="1:139" ht="30" customHeight="1" x14ac:dyDescent="0.2">
      <c r="B27" s="297"/>
      <c r="C27" s="63" t="s">
        <v>80</v>
      </c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5"/>
      <c r="T27" s="66" t="s">
        <v>132</v>
      </c>
      <c r="U27" s="307" t="s">
        <v>33</v>
      </c>
      <c r="V27" s="411"/>
      <c r="W27" s="411"/>
      <c r="X27" s="412"/>
      <c r="Y27" s="277" t="s">
        <v>34</v>
      </c>
      <c r="Z27" s="278"/>
      <c r="AA27" s="278"/>
      <c r="AB27" s="278"/>
      <c r="AC27" s="278"/>
      <c r="AD27" s="279"/>
      <c r="AE27" s="277" t="s">
        <v>133</v>
      </c>
      <c r="AF27" s="278"/>
      <c r="AG27" s="278"/>
      <c r="AH27" s="278"/>
      <c r="AI27" s="278"/>
      <c r="AJ27" s="278"/>
      <c r="AK27" s="278"/>
      <c r="AL27" s="278"/>
      <c r="AM27" s="278"/>
      <c r="AN27" s="279"/>
      <c r="AO27" s="271" t="s">
        <v>134</v>
      </c>
      <c r="AP27" s="271" t="s">
        <v>135</v>
      </c>
      <c r="AR27" s="4"/>
    </row>
    <row r="28" spans="1:139" ht="15" customHeight="1" x14ac:dyDescent="0.2">
      <c r="B28" s="298"/>
      <c r="C28" s="308" t="s">
        <v>29</v>
      </c>
      <c r="D28" s="308"/>
      <c r="E28" s="308"/>
      <c r="F28" s="308"/>
      <c r="G28" s="308"/>
      <c r="H28" s="308"/>
      <c r="I28" s="308"/>
      <c r="J28" s="308"/>
      <c r="K28" s="308"/>
      <c r="L28" s="308"/>
      <c r="M28" s="295" t="s">
        <v>30</v>
      </c>
      <c r="N28" s="409"/>
      <c r="O28" s="409"/>
      <c r="P28" s="409"/>
      <c r="Q28" s="296"/>
      <c r="R28" s="295" t="s">
        <v>31</v>
      </c>
      <c r="S28" s="296"/>
      <c r="T28" s="268" t="s">
        <v>136</v>
      </c>
      <c r="U28" s="268" t="s">
        <v>53</v>
      </c>
      <c r="V28" s="268" t="s">
        <v>54</v>
      </c>
      <c r="W28" s="297" t="s">
        <v>55</v>
      </c>
      <c r="X28" s="268" t="s">
        <v>137</v>
      </c>
      <c r="Y28" s="268">
        <f>DC15</f>
        <v>0</v>
      </c>
      <c r="Z28" s="268">
        <f>DE15</f>
        <v>0</v>
      </c>
      <c r="AA28" s="268">
        <f>DG15</f>
        <v>0</v>
      </c>
      <c r="AB28" s="268" t="s">
        <v>57</v>
      </c>
      <c r="AC28" s="268">
        <f>DK15</f>
        <v>0</v>
      </c>
      <c r="AD28" s="268">
        <f>DM15</f>
        <v>0</v>
      </c>
      <c r="AE28" s="273" t="s">
        <v>58</v>
      </c>
      <c r="AF28" s="273" t="s">
        <v>59</v>
      </c>
      <c r="AG28" s="273" t="s">
        <v>60</v>
      </c>
      <c r="AH28" s="275" t="s">
        <v>61</v>
      </c>
      <c r="AI28" s="275" t="s">
        <v>62</v>
      </c>
      <c r="AJ28" s="275" t="s">
        <v>63</v>
      </c>
      <c r="AK28" s="275" t="s">
        <v>64</v>
      </c>
      <c r="AL28" s="275" t="s">
        <v>65</v>
      </c>
      <c r="AM28" s="275" t="s">
        <v>66</v>
      </c>
      <c r="AN28" s="275" t="s">
        <v>67</v>
      </c>
      <c r="AO28" s="410"/>
      <c r="AP28" s="410"/>
    </row>
    <row r="29" spans="1:139" ht="15" customHeight="1" x14ac:dyDescent="0.2">
      <c r="B29" s="298"/>
      <c r="C29" s="403" t="s">
        <v>87</v>
      </c>
      <c r="D29" s="403"/>
      <c r="E29" s="403"/>
      <c r="F29" s="403"/>
      <c r="G29" s="403"/>
      <c r="H29" s="403"/>
      <c r="I29" s="403" t="s">
        <v>88</v>
      </c>
      <c r="J29" s="403"/>
      <c r="K29" s="403" t="s">
        <v>89</v>
      </c>
      <c r="L29" s="403"/>
      <c r="M29" s="268" t="s">
        <v>90</v>
      </c>
      <c r="N29" s="268" t="s">
        <v>46</v>
      </c>
      <c r="O29" s="268" t="s">
        <v>92</v>
      </c>
      <c r="P29" s="268" t="s">
        <v>93</v>
      </c>
      <c r="Q29" s="268" t="s">
        <v>94</v>
      </c>
      <c r="R29" s="268" t="s">
        <v>95</v>
      </c>
      <c r="S29" s="268" t="s">
        <v>96</v>
      </c>
      <c r="T29" s="269"/>
      <c r="U29" s="269"/>
      <c r="V29" s="269"/>
      <c r="W29" s="298"/>
      <c r="X29" s="269"/>
      <c r="Y29" s="269"/>
      <c r="Z29" s="269"/>
      <c r="AA29" s="269"/>
      <c r="AB29" s="269"/>
      <c r="AC29" s="269"/>
      <c r="AD29" s="269"/>
      <c r="AE29" s="274"/>
      <c r="AF29" s="274"/>
      <c r="AG29" s="274"/>
      <c r="AH29" s="276"/>
      <c r="AI29" s="276"/>
      <c r="AJ29" s="276"/>
      <c r="AK29" s="276"/>
      <c r="AL29" s="276"/>
      <c r="AM29" s="276"/>
      <c r="AN29" s="276"/>
      <c r="AO29" s="410"/>
      <c r="AP29" s="410"/>
    </row>
    <row r="30" spans="1:139" x14ac:dyDescent="0.2">
      <c r="B30" s="299"/>
      <c r="C30" s="68" t="s">
        <v>35</v>
      </c>
      <c r="D30" s="68" t="s">
        <v>36</v>
      </c>
      <c r="E30" s="68" t="s">
        <v>37</v>
      </c>
      <c r="F30" s="68" t="s">
        <v>38</v>
      </c>
      <c r="G30" s="68" t="s">
        <v>39</v>
      </c>
      <c r="H30" s="68" t="s">
        <v>40</v>
      </c>
      <c r="I30" s="68" t="s">
        <v>41</v>
      </c>
      <c r="J30" s="68" t="s">
        <v>40</v>
      </c>
      <c r="K30" s="68" t="s">
        <v>43</v>
      </c>
      <c r="L30" s="68" t="s">
        <v>40</v>
      </c>
      <c r="M30" s="270"/>
      <c r="N30" s="270"/>
      <c r="O30" s="270"/>
      <c r="P30" s="270"/>
      <c r="Q30" s="270"/>
      <c r="R30" s="270"/>
      <c r="S30" s="270"/>
      <c r="T30" s="270"/>
      <c r="U30" s="270"/>
      <c r="V30" s="270"/>
      <c r="W30" s="299"/>
      <c r="X30" s="270"/>
      <c r="Y30" s="270"/>
      <c r="Z30" s="270"/>
      <c r="AA30" s="270"/>
      <c r="AB30" s="270"/>
      <c r="AC30" s="270"/>
      <c r="AD30" s="270"/>
      <c r="AE30" s="419"/>
      <c r="AF30" s="419"/>
      <c r="AG30" s="419"/>
      <c r="AH30" s="291"/>
      <c r="AI30" s="291"/>
      <c r="AJ30" s="291"/>
      <c r="AK30" s="291"/>
      <c r="AL30" s="291"/>
      <c r="AM30" s="291"/>
      <c r="AN30" s="291"/>
      <c r="AO30" s="272"/>
      <c r="AP30" s="272"/>
    </row>
    <row r="31" spans="1:139" x14ac:dyDescent="0.2">
      <c r="B31" s="2" t="s">
        <v>74</v>
      </c>
      <c r="C31" s="2">
        <f>E19*$F$19</f>
        <v>0</v>
      </c>
      <c r="D31" s="2">
        <f>I19*$J$19</f>
        <v>26599</v>
      </c>
      <c r="E31" s="2">
        <f>M19*$N$19</f>
        <v>0</v>
      </c>
      <c r="F31" s="2">
        <f>Q19*$R$19</f>
        <v>0</v>
      </c>
      <c r="G31" s="2">
        <f>U19*$V$19</f>
        <v>35502.800000000003</v>
      </c>
      <c r="H31" s="2">
        <f>Y19*$Z$19</f>
        <v>16167.6</v>
      </c>
      <c r="I31" s="2">
        <f>AC19*$AD$19</f>
        <v>0</v>
      </c>
      <c r="J31" s="2">
        <f>AG19*$AH$19</f>
        <v>0</v>
      </c>
      <c r="K31" s="2">
        <f>AK19*$AL$19</f>
        <v>0</v>
      </c>
      <c r="L31" s="2">
        <f>AO19*$AP$19</f>
        <v>1022.4</v>
      </c>
      <c r="M31" s="2">
        <f>AS19*$AT$19+AV19*$AW$19</f>
        <v>0</v>
      </c>
      <c r="N31" s="2">
        <f>AZ19*$BA$19</f>
        <v>0</v>
      </c>
      <c r="O31" s="2">
        <f>BD19*$BE$19+BG19*$BH$19</f>
        <v>0</v>
      </c>
      <c r="P31" s="2">
        <f>BK19*$BL$19</f>
        <v>0</v>
      </c>
      <c r="Q31" s="2">
        <f>BO19*$BP$19</f>
        <v>2778.4</v>
      </c>
      <c r="R31" s="2">
        <f>BS19*$BT$19+BV19*$BW$19+BY19*$BZ$19</f>
        <v>0</v>
      </c>
      <c r="S31" s="2">
        <f>CC19*$CD$19+CF19*$CG$19+CI19*$CJ$19</f>
        <v>0</v>
      </c>
      <c r="T31" s="2">
        <f>CK19*$CL$19</f>
        <v>0</v>
      </c>
      <c r="U31" s="2">
        <f>CO19*$CP$19</f>
        <v>1227.828</v>
      </c>
      <c r="V31" s="2">
        <f>CS19*$CT$19</f>
        <v>5185.125</v>
      </c>
      <c r="W31" s="2">
        <f>CW19*$CX$19</f>
        <v>0</v>
      </c>
      <c r="X31" s="23">
        <f>DA19*$DB$19</f>
        <v>0</v>
      </c>
      <c r="Y31" s="2">
        <f>DC19*$DD$19</f>
        <v>0</v>
      </c>
      <c r="Z31" s="23">
        <f>DE19*$DF$19</f>
        <v>0</v>
      </c>
      <c r="AA31" s="23">
        <f>DG19*$DH$19</f>
        <v>0</v>
      </c>
      <c r="AB31" s="23">
        <f>DI19*$DJ$19</f>
        <v>0</v>
      </c>
      <c r="AC31" s="23">
        <f>DK19*$DL$19</f>
        <v>0</v>
      </c>
      <c r="AD31" s="23">
        <f>DM19*$DN$19</f>
        <v>0</v>
      </c>
      <c r="AE31" s="23">
        <f>DO19*$DP$19</f>
        <v>0</v>
      </c>
      <c r="AF31" s="23">
        <f>DQ19*$DR$19</f>
        <v>0</v>
      </c>
      <c r="AG31" s="23">
        <f>DS19*$DT$19</f>
        <v>0</v>
      </c>
      <c r="AH31" s="23">
        <f>DU19*$DV$19</f>
        <v>0</v>
      </c>
      <c r="AI31" s="23">
        <f>DW19*$DX$19</f>
        <v>0</v>
      </c>
      <c r="AJ31" s="23">
        <f>DY19*$DZ$19</f>
        <v>0</v>
      </c>
      <c r="AK31" s="23">
        <f>EA19*$EB$19</f>
        <v>0</v>
      </c>
      <c r="AL31" s="23">
        <f>EC19*$ED$19</f>
        <v>0</v>
      </c>
      <c r="AM31" s="23">
        <f>EE19*$EF$19</f>
        <v>0</v>
      </c>
      <c r="AN31" s="23">
        <f>EG19*$EH$19</f>
        <v>0</v>
      </c>
      <c r="AO31" s="34">
        <f>SUM(C31:AN31)</f>
        <v>88483.152999999991</v>
      </c>
      <c r="AP31" s="34">
        <f>AO31/'SUIVI RABAIS PRODUCTION ET C '!D9</f>
        <v>361.6724013897404</v>
      </c>
    </row>
    <row r="32" spans="1:139" x14ac:dyDescent="0.2">
      <c r="B32" s="2" t="s">
        <v>75</v>
      </c>
      <c r="C32" s="2">
        <f t="shared" ref="C32:C35" si="5">E20*$F$19</f>
        <v>0</v>
      </c>
      <c r="D32" s="2">
        <f t="shared" ref="D32:D34" si="6">I20*$J$19</f>
        <v>23939.100000000002</v>
      </c>
      <c r="E32" s="2">
        <f t="shared" ref="E32:E35" si="7">M20*$N$19</f>
        <v>0</v>
      </c>
      <c r="F32" s="2">
        <f t="shared" ref="F32:F35" si="8">Q20*$R$19</f>
        <v>0</v>
      </c>
      <c r="G32" s="2">
        <f t="shared" ref="G32:G35" si="9">U20*$V$19</f>
        <v>35502.800000000003</v>
      </c>
      <c r="H32" s="2">
        <f t="shared" ref="H32:H35" si="10">Y20*$Z$19</f>
        <v>16167.6</v>
      </c>
      <c r="I32" s="2">
        <f>AC20*$AD$19</f>
        <v>0</v>
      </c>
      <c r="J32" s="2">
        <f t="shared" ref="J32:J35" si="11">AG20*$AH$19</f>
        <v>0</v>
      </c>
      <c r="K32" s="2">
        <f t="shared" ref="K32:K35" si="12">AK20*$AL$19</f>
        <v>0</v>
      </c>
      <c r="L32" s="2">
        <f>AO20*$AP$19</f>
        <v>1022.4</v>
      </c>
      <c r="M32" s="2">
        <f t="shared" ref="M32:M35" si="13">AS20*$AT$19+AV20*$AW$19</f>
        <v>0</v>
      </c>
      <c r="N32" s="2">
        <f t="shared" ref="N32:N35" si="14">AZ20*$BA$19</f>
        <v>0</v>
      </c>
      <c r="O32" s="2">
        <f t="shared" ref="O32:O35" si="15">BD20*$BE$19+BG20*$BH$19</f>
        <v>0</v>
      </c>
      <c r="P32" s="2">
        <f t="shared" ref="P32:P35" si="16">BK20*$BL$19</f>
        <v>0</v>
      </c>
      <c r="Q32" s="2">
        <f t="shared" ref="Q32:Q35" si="17">BO20*$BP$19</f>
        <v>2778.4</v>
      </c>
      <c r="R32" s="2">
        <f t="shared" ref="R32:R35" si="18">BS20*$BT$19+BV20*$BW$19+BY20*$BZ$19</f>
        <v>0</v>
      </c>
      <c r="S32" s="2">
        <f t="shared" ref="S32:S35" si="19">CC20*$CD$19+CF20*$CG$19+CI20*$CJ$19</f>
        <v>0</v>
      </c>
      <c r="T32" s="2">
        <f t="shared" ref="T32:T35" si="20">CK20*$CL$19</f>
        <v>0</v>
      </c>
      <c r="U32" s="2">
        <f t="shared" ref="U32:U35" si="21">CO20*$CP$19</f>
        <v>1227.828</v>
      </c>
      <c r="V32" s="2">
        <f>CS20*$CT$19</f>
        <v>5185.125</v>
      </c>
      <c r="W32" s="2">
        <f t="shared" ref="W32:W35" si="22">CW20*$CX$19</f>
        <v>0</v>
      </c>
      <c r="X32" s="23">
        <f t="shared" ref="X32:X35" si="23">DA20*$DB$19</f>
        <v>0</v>
      </c>
      <c r="Y32" s="2">
        <f t="shared" ref="Y32:Y35" si="24">DC20*$DD$19</f>
        <v>0</v>
      </c>
      <c r="Z32" s="23">
        <f t="shared" ref="Z32:Z35" si="25">DE20*$DF$19</f>
        <v>0</v>
      </c>
      <c r="AA32" s="23">
        <f t="shared" ref="AA32:AA35" si="26">DG20*$DH$19</f>
        <v>0</v>
      </c>
      <c r="AB32" s="23">
        <f t="shared" ref="AB32:AB35" si="27">DI20*$DJ$19</f>
        <v>0</v>
      </c>
      <c r="AC32" s="23">
        <f t="shared" ref="AC32:AC35" si="28">DK20*$DL$19</f>
        <v>0</v>
      </c>
      <c r="AD32" s="23">
        <f t="shared" ref="AD32:AD35" si="29">DM20*$DN$19</f>
        <v>0</v>
      </c>
      <c r="AE32" s="23">
        <f>DO20*$DP$19</f>
        <v>0</v>
      </c>
      <c r="AF32" s="23">
        <f t="shared" ref="AF32:AF35" si="30">DQ20*$DR$19</f>
        <v>0</v>
      </c>
      <c r="AG32" s="23">
        <f>DS20*$DT$19</f>
        <v>0</v>
      </c>
      <c r="AH32" s="23">
        <f t="shared" ref="AH32:AH35" si="31">DU20*$DV$19</f>
        <v>0</v>
      </c>
      <c r="AI32" s="23">
        <f>DW20*$DX$19</f>
        <v>0</v>
      </c>
      <c r="AJ32" s="23">
        <f t="shared" ref="AJ32:AJ35" si="32">DY20*$DZ$19</f>
        <v>0</v>
      </c>
      <c r="AK32" s="23">
        <f t="shared" ref="AK32:AK35" si="33">EA20*$EB$19</f>
        <v>0</v>
      </c>
      <c r="AL32" s="23">
        <f t="shared" ref="AL32:AL35" si="34">EC20*$ED$19</f>
        <v>0</v>
      </c>
      <c r="AM32" s="23">
        <f>EE20*$EF$19</f>
        <v>0</v>
      </c>
      <c r="AN32" s="23">
        <f>EG20*$EH$19</f>
        <v>0</v>
      </c>
      <c r="AO32" s="34">
        <f t="shared" ref="AO32:AO35" si="35">SUM(C32:AN32)</f>
        <v>85823.252999999997</v>
      </c>
      <c r="AP32" s="34">
        <f>AO32/'SUIVI RABAIS PRODUCTION ET C '!E9</f>
        <v>426.36620299070995</v>
      </c>
    </row>
    <row r="33" spans="2:109" x14ac:dyDescent="0.2">
      <c r="B33" s="2" t="s">
        <v>76</v>
      </c>
      <c r="C33" s="2">
        <f t="shared" si="5"/>
        <v>0</v>
      </c>
      <c r="D33" s="2">
        <f t="shared" si="6"/>
        <v>23939.100000000002</v>
      </c>
      <c r="E33" s="2">
        <f t="shared" si="7"/>
        <v>0</v>
      </c>
      <c r="F33" s="2">
        <f t="shared" si="8"/>
        <v>0</v>
      </c>
      <c r="G33" s="2">
        <f t="shared" si="9"/>
        <v>35502.800000000003</v>
      </c>
      <c r="H33" s="2">
        <f t="shared" si="10"/>
        <v>13473</v>
      </c>
      <c r="I33" s="2">
        <f t="shared" ref="I33:I35" si="36">AC21*$AD$19</f>
        <v>0</v>
      </c>
      <c r="J33" s="2">
        <f t="shared" si="11"/>
        <v>0</v>
      </c>
      <c r="K33" s="2">
        <f t="shared" si="12"/>
        <v>0</v>
      </c>
      <c r="L33" s="2">
        <f t="shared" ref="L33:L35" si="37">AO21*$AP$19</f>
        <v>2902.48</v>
      </c>
      <c r="M33" s="2">
        <f t="shared" si="13"/>
        <v>0</v>
      </c>
      <c r="N33" s="2">
        <f t="shared" si="14"/>
        <v>0</v>
      </c>
      <c r="O33" s="2">
        <f t="shared" si="15"/>
        <v>0</v>
      </c>
      <c r="P33" s="2">
        <f t="shared" si="16"/>
        <v>0</v>
      </c>
      <c r="Q33" s="2">
        <f t="shared" si="17"/>
        <v>2778.4</v>
      </c>
      <c r="R33" s="2">
        <f t="shared" si="18"/>
        <v>0</v>
      </c>
      <c r="S33" s="2">
        <f t="shared" si="19"/>
        <v>0</v>
      </c>
      <c r="T33" s="2">
        <f t="shared" si="20"/>
        <v>0</v>
      </c>
      <c r="U33" s="2">
        <f t="shared" si="21"/>
        <v>1227.828</v>
      </c>
      <c r="V33" s="2">
        <f t="shared" ref="V33:V35" si="38">CS21*$CT$19</f>
        <v>0</v>
      </c>
      <c r="W33" s="2">
        <f t="shared" si="22"/>
        <v>0</v>
      </c>
      <c r="X33" s="23">
        <f t="shared" si="23"/>
        <v>0</v>
      </c>
      <c r="Y33" s="2">
        <f t="shared" si="24"/>
        <v>0</v>
      </c>
      <c r="Z33" s="23">
        <f t="shared" si="25"/>
        <v>0</v>
      </c>
      <c r="AA33" s="23">
        <f t="shared" si="26"/>
        <v>0</v>
      </c>
      <c r="AB33" s="23">
        <f t="shared" si="27"/>
        <v>0</v>
      </c>
      <c r="AC33" s="23">
        <f t="shared" si="28"/>
        <v>0</v>
      </c>
      <c r="AD33" s="23">
        <f t="shared" si="29"/>
        <v>0</v>
      </c>
      <c r="AE33" s="23">
        <f>DO21*$DP$19</f>
        <v>0</v>
      </c>
      <c r="AF33" s="23">
        <f t="shared" si="30"/>
        <v>0</v>
      </c>
      <c r="AG33" s="23">
        <f>DS21*$DT$19</f>
        <v>0</v>
      </c>
      <c r="AH33" s="23">
        <f t="shared" si="31"/>
        <v>0</v>
      </c>
      <c r="AI33" s="23">
        <f>DW21*$DX$19</f>
        <v>0</v>
      </c>
      <c r="AJ33" s="23">
        <f t="shared" si="32"/>
        <v>0</v>
      </c>
      <c r="AK33" s="23">
        <f t="shared" si="33"/>
        <v>0</v>
      </c>
      <c r="AL33" s="23">
        <f t="shared" si="34"/>
        <v>0</v>
      </c>
      <c r="AM33" s="23">
        <f>EE21*$EF$19</f>
        <v>0</v>
      </c>
      <c r="AN33" s="23">
        <f>EG21*$EH$19</f>
        <v>0</v>
      </c>
      <c r="AO33" s="34">
        <f t="shared" si="35"/>
        <v>79823.607999999993</v>
      </c>
      <c r="AP33" s="34">
        <f>AO33/'SUIVI RABAIS PRODUCTION ET C '!F9</f>
        <v>466.85932857644167</v>
      </c>
    </row>
    <row r="34" spans="2:109" x14ac:dyDescent="0.2">
      <c r="B34" s="2" t="s">
        <v>77</v>
      </c>
      <c r="C34" s="2">
        <f t="shared" si="5"/>
        <v>0</v>
      </c>
      <c r="D34" s="2">
        <f t="shared" si="6"/>
        <v>23939.100000000002</v>
      </c>
      <c r="E34" s="2">
        <f t="shared" si="7"/>
        <v>0</v>
      </c>
      <c r="F34" s="2">
        <f t="shared" si="8"/>
        <v>0</v>
      </c>
      <c r="G34" s="2">
        <f t="shared" si="9"/>
        <v>35502.800000000003</v>
      </c>
      <c r="H34" s="2">
        <f t="shared" si="10"/>
        <v>13473</v>
      </c>
      <c r="I34" s="2">
        <f t="shared" si="36"/>
        <v>0</v>
      </c>
      <c r="J34" s="2">
        <f t="shared" si="11"/>
        <v>0</v>
      </c>
      <c r="K34" s="2">
        <f t="shared" si="12"/>
        <v>0</v>
      </c>
      <c r="L34" s="2">
        <f t="shared" si="37"/>
        <v>2902.48</v>
      </c>
      <c r="M34" s="2">
        <f t="shared" si="13"/>
        <v>0</v>
      </c>
      <c r="N34" s="2">
        <f t="shared" si="14"/>
        <v>0</v>
      </c>
      <c r="O34" s="2">
        <f t="shared" si="15"/>
        <v>0</v>
      </c>
      <c r="P34" s="2">
        <f t="shared" si="16"/>
        <v>0</v>
      </c>
      <c r="Q34" s="2">
        <f t="shared" si="17"/>
        <v>2778.4</v>
      </c>
      <c r="R34" s="2">
        <f t="shared" si="18"/>
        <v>0</v>
      </c>
      <c r="S34" s="2">
        <f t="shared" si="19"/>
        <v>0</v>
      </c>
      <c r="T34" s="2">
        <f t="shared" si="20"/>
        <v>0</v>
      </c>
      <c r="U34" s="2">
        <f t="shared" si="21"/>
        <v>1227.828</v>
      </c>
      <c r="V34" s="2">
        <f t="shared" si="38"/>
        <v>0</v>
      </c>
      <c r="W34" s="2">
        <f t="shared" si="22"/>
        <v>0</v>
      </c>
      <c r="X34" s="23">
        <f t="shared" si="23"/>
        <v>0</v>
      </c>
      <c r="Y34" s="2">
        <f t="shared" si="24"/>
        <v>0</v>
      </c>
      <c r="Z34" s="23">
        <f t="shared" si="25"/>
        <v>0</v>
      </c>
      <c r="AA34" s="23">
        <f t="shared" si="26"/>
        <v>0</v>
      </c>
      <c r="AB34" s="23">
        <f t="shared" si="27"/>
        <v>0</v>
      </c>
      <c r="AC34" s="23">
        <f t="shared" si="28"/>
        <v>0</v>
      </c>
      <c r="AD34" s="23">
        <f t="shared" si="29"/>
        <v>0</v>
      </c>
      <c r="AE34" s="23">
        <f>DO22*$DP$19</f>
        <v>0</v>
      </c>
      <c r="AF34" s="23">
        <f t="shared" si="30"/>
        <v>0</v>
      </c>
      <c r="AG34" s="23">
        <f>DS22*$DT$19</f>
        <v>0</v>
      </c>
      <c r="AH34" s="23">
        <f t="shared" si="31"/>
        <v>0</v>
      </c>
      <c r="AI34" s="23">
        <f>DW22*$DX$19</f>
        <v>0</v>
      </c>
      <c r="AJ34" s="23">
        <f t="shared" si="32"/>
        <v>0</v>
      </c>
      <c r="AK34" s="23">
        <f t="shared" si="33"/>
        <v>0</v>
      </c>
      <c r="AL34" s="23">
        <f t="shared" si="34"/>
        <v>0</v>
      </c>
      <c r="AM34" s="23">
        <f>EE22*$EF$19</f>
        <v>0</v>
      </c>
      <c r="AN34" s="23">
        <f>EG22*$EH$19</f>
        <v>0</v>
      </c>
      <c r="AO34" s="34">
        <f t="shared" si="35"/>
        <v>79823.607999999993</v>
      </c>
      <c r="AP34" s="34">
        <f>AO34/'SUIVI RABAIS PRODUCTION ET C '!G9</f>
        <v>472.1334831726503</v>
      </c>
    </row>
    <row r="35" spans="2:109" x14ac:dyDescent="0.2">
      <c r="B35" s="2" t="s">
        <v>78</v>
      </c>
      <c r="C35" s="2">
        <f t="shared" si="5"/>
        <v>0</v>
      </c>
      <c r="D35" s="2">
        <f>I23*$J$19</f>
        <v>19151.280000000002</v>
      </c>
      <c r="E35" s="2">
        <f t="shared" si="7"/>
        <v>0</v>
      </c>
      <c r="F35" s="2">
        <f t="shared" si="8"/>
        <v>0</v>
      </c>
      <c r="G35" s="2">
        <f t="shared" si="9"/>
        <v>31326</v>
      </c>
      <c r="H35" s="2">
        <f t="shared" si="10"/>
        <v>14820.300000000001</v>
      </c>
      <c r="I35" s="2">
        <f t="shared" si="36"/>
        <v>0</v>
      </c>
      <c r="J35" s="2">
        <f t="shared" si="11"/>
        <v>0</v>
      </c>
      <c r="K35" s="2">
        <f t="shared" si="12"/>
        <v>0</v>
      </c>
      <c r="L35" s="2">
        <f t="shared" si="37"/>
        <v>1931.1999999999998</v>
      </c>
      <c r="M35" s="2">
        <f t="shared" si="13"/>
        <v>0</v>
      </c>
      <c r="N35" s="2">
        <f t="shared" si="14"/>
        <v>0</v>
      </c>
      <c r="O35" s="2">
        <f t="shared" si="15"/>
        <v>0</v>
      </c>
      <c r="P35" s="2">
        <f t="shared" si="16"/>
        <v>0</v>
      </c>
      <c r="Q35" s="2">
        <f t="shared" si="17"/>
        <v>0</v>
      </c>
      <c r="R35" s="2">
        <f t="shared" si="18"/>
        <v>18200.063999999998</v>
      </c>
      <c r="S35" s="2">
        <f t="shared" si="19"/>
        <v>0</v>
      </c>
      <c r="T35" s="2">
        <f t="shared" si="20"/>
        <v>0</v>
      </c>
      <c r="U35" s="2">
        <f t="shared" si="21"/>
        <v>0</v>
      </c>
      <c r="V35" s="2">
        <f t="shared" si="38"/>
        <v>4148.1000000000004</v>
      </c>
      <c r="W35" s="2">
        <f t="shared" si="22"/>
        <v>0</v>
      </c>
      <c r="X35" s="23">
        <f t="shared" si="23"/>
        <v>0</v>
      </c>
      <c r="Y35" s="2">
        <f t="shared" si="24"/>
        <v>0</v>
      </c>
      <c r="Z35" s="23">
        <f t="shared" si="25"/>
        <v>0</v>
      </c>
      <c r="AA35" s="23">
        <f t="shared" si="26"/>
        <v>0</v>
      </c>
      <c r="AB35" s="23">
        <f t="shared" si="27"/>
        <v>0</v>
      </c>
      <c r="AC35" s="23">
        <f t="shared" si="28"/>
        <v>0</v>
      </c>
      <c r="AD35" s="23">
        <f t="shared" si="29"/>
        <v>0</v>
      </c>
      <c r="AE35" s="23">
        <f>DO23*$DP$19</f>
        <v>0</v>
      </c>
      <c r="AF35" s="23">
        <f t="shared" si="30"/>
        <v>0</v>
      </c>
      <c r="AG35" s="23">
        <f>DS23*$DT$19</f>
        <v>0</v>
      </c>
      <c r="AH35" s="23">
        <f t="shared" si="31"/>
        <v>0</v>
      </c>
      <c r="AI35" s="23">
        <f>DW23*$DX$19</f>
        <v>0</v>
      </c>
      <c r="AJ35" s="23">
        <f t="shared" si="32"/>
        <v>0</v>
      </c>
      <c r="AK35" s="23">
        <f t="shared" si="33"/>
        <v>0</v>
      </c>
      <c r="AL35" s="23">
        <f t="shared" si="34"/>
        <v>0</v>
      </c>
      <c r="AM35" s="23">
        <f>EE23*$EF$19</f>
        <v>0</v>
      </c>
      <c r="AN35" s="23">
        <f>EG23*$EH$19</f>
        <v>0</v>
      </c>
      <c r="AO35" s="34">
        <f t="shared" si="35"/>
        <v>89576.944000000003</v>
      </c>
      <c r="AP35" s="34">
        <f>AO35/'SUIVI RABAIS PRODUCTION ET C '!H9</f>
        <v>524.0563037500732</v>
      </c>
      <c r="DE35" s="31"/>
    </row>
    <row r="36" spans="2:109" x14ac:dyDescent="0.2">
      <c r="B36" s="5" t="s">
        <v>130</v>
      </c>
      <c r="C36" s="5">
        <f t="shared" ref="C36:S36" si="39">SUM(C31:C35)</f>
        <v>0</v>
      </c>
      <c r="D36" s="5">
        <f t="shared" si="39"/>
        <v>117567.58000000002</v>
      </c>
      <c r="E36" s="5">
        <f t="shared" si="39"/>
        <v>0</v>
      </c>
      <c r="F36" s="5">
        <f t="shared" si="39"/>
        <v>0</v>
      </c>
      <c r="G36" s="5">
        <f t="shared" si="39"/>
        <v>173337.2</v>
      </c>
      <c r="H36" s="5">
        <f t="shared" si="39"/>
        <v>74101.5</v>
      </c>
      <c r="I36" s="5">
        <f t="shared" si="39"/>
        <v>0</v>
      </c>
      <c r="J36" s="5">
        <f t="shared" si="39"/>
        <v>0</v>
      </c>
      <c r="K36" s="5">
        <f t="shared" si="39"/>
        <v>0</v>
      </c>
      <c r="L36" s="5">
        <f t="shared" si="39"/>
        <v>9780.9599999999991</v>
      </c>
      <c r="M36" s="5">
        <f t="shared" si="39"/>
        <v>0</v>
      </c>
      <c r="N36" s="5">
        <f t="shared" si="39"/>
        <v>0</v>
      </c>
      <c r="O36" s="5">
        <f t="shared" si="39"/>
        <v>0</v>
      </c>
      <c r="P36" s="5">
        <f t="shared" si="39"/>
        <v>0</v>
      </c>
      <c r="Q36" s="5">
        <f t="shared" si="39"/>
        <v>11113.6</v>
      </c>
      <c r="R36" s="5">
        <f t="shared" si="39"/>
        <v>18200.063999999998</v>
      </c>
      <c r="S36" s="5">
        <f t="shared" si="39"/>
        <v>0</v>
      </c>
      <c r="T36" s="5">
        <f t="shared" ref="T36:AO36" si="40">SUM(T31:T35)</f>
        <v>0</v>
      </c>
      <c r="U36" s="5">
        <f t="shared" si="40"/>
        <v>4911.3119999999999</v>
      </c>
      <c r="V36" s="5">
        <f t="shared" si="40"/>
        <v>14518.35</v>
      </c>
      <c r="W36" s="5">
        <f t="shared" si="40"/>
        <v>0</v>
      </c>
      <c r="X36" s="5">
        <f t="shared" si="40"/>
        <v>0</v>
      </c>
      <c r="Y36" s="5">
        <f t="shared" si="40"/>
        <v>0</v>
      </c>
      <c r="Z36" s="5">
        <f t="shared" si="40"/>
        <v>0</v>
      </c>
      <c r="AA36" s="5">
        <f t="shared" si="40"/>
        <v>0</v>
      </c>
      <c r="AB36" s="5">
        <f t="shared" si="40"/>
        <v>0</v>
      </c>
      <c r="AC36" s="5">
        <f t="shared" si="40"/>
        <v>0</v>
      </c>
      <c r="AD36" s="5">
        <f t="shared" si="40"/>
        <v>0</v>
      </c>
      <c r="AE36" s="5">
        <f t="shared" si="40"/>
        <v>0</v>
      </c>
      <c r="AF36" s="5">
        <f t="shared" si="40"/>
        <v>0</v>
      </c>
      <c r="AG36" s="5">
        <f t="shared" si="40"/>
        <v>0</v>
      </c>
      <c r="AH36" s="5">
        <f t="shared" si="40"/>
        <v>0</v>
      </c>
      <c r="AI36" s="5">
        <f t="shared" si="40"/>
        <v>0</v>
      </c>
      <c r="AJ36" s="5">
        <f t="shared" si="40"/>
        <v>0</v>
      </c>
      <c r="AK36" s="5">
        <f t="shared" si="40"/>
        <v>0</v>
      </c>
      <c r="AL36" s="5">
        <f t="shared" si="40"/>
        <v>0</v>
      </c>
      <c r="AM36" s="5">
        <f t="shared" si="40"/>
        <v>0</v>
      </c>
      <c r="AN36" s="5">
        <f t="shared" si="40"/>
        <v>0</v>
      </c>
      <c r="AO36" s="57">
        <f t="shared" si="40"/>
        <v>423530.56599999999</v>
      </c>
    </row>
    <row r="37" spans="2:109" x14ac:dyDescent="0.2">
      <c r="G37">
        <f>SUM(E19,I19,M19,Q19,U19,Y19,BD19,BS19,CC19)</f>
        <v>17760</v>
      </c>
    </row>
    <row r="38" spans="2:109" x14ac:dyDescent="0.2">
      <c r="B38" s="69" t="s">
        <v>138</v>
      </c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</row>
    <row r="39" spans="2:109" ht="15" customHeight="1" x14ac:dyDescent="0.2">
      <c r="B39" s="297"/>
      <c r="C39" s="292" t="s">
        <v>139</v>
      </c>
      <c r="D39" s="293"/>
      <c r="E39" s="293"/>
      <c r="F39" s="294"/>
      <c r="G39" s="292" t="s">
        <v>140</v>
      </c>
      <c r="H39" s="293"/>
      <c r="I39" s="293"/>
      <c r="J39" s="294"/>
      <c r="K39" s="400" t="s">
        <v>141</v>
      </c>
      <c r="L39" s="401"/>
      <c r="M39" s="401"/>
      <c r="N39" s="402"/>
      <c r="O39" s="300" t="s">
        <v>34</v>
      </c>
      <c r="P39" s="301"/>
      <c r="Q39" s="301"/>
      <c r="R39" s="301"/>
      <c r="S39" s="301"/>
      <c r="T39" s="301"/>
      <c r="U39" s="301"/>
      <c r="V39" s="301"/>
      <c r="W39" s="301"/>
      <c r="X39" s="301"/>
      <c r="Y39" s="301"/>
      <c r="Z39" s="302"/>
      <c r="AA39" s="300" t="s">
        <v>133</v>
      </c>
      <c r="AB39" s="301"/>
      <c r="AC39" s="301"/>
      <c r="AD39" s="301"/>
      <c r="AE39" s="301"/>
      <c r="AF39" s="301"/>
      <c r="AG39" s="301"/>
      <c r="AH39" s="301"/>
      <c r="AI39" s="301"/>
      <c r="AJ39" s="301"/>
      <c r="AK39" s="301"/>
      <c r="AL39" s="301"/>
      <c r="AM39" s="301"/>
      <c r="AN39" s="301"/>
      <c r="AO39" s="301"/>
      <c r="AP39" s="301"/>
      <c r="AQ39" s="301"/>
      <c r="AR39" s="301"/>
      <c r="AS39" s="301"/>
      <c r="AT39" s="302"/>
      <c r="AU39" s="280" t="s">
        <v>134</v>
      </c>
      <c r="AV39" s="271" t="s">
        <v>135</v>
      </c>
    </row>
    <row r="40" spans="2:109" ht="45" customHeight="1" thickBot="1" x14ac:dyDescent="0.25">
      <c r="B40" s="298"/>
      <c r="C40" s="77" t="s">
        <v>142</v>
      </c>
      <c r="D40" s="77" t="s">
        <v>143</v>
      </c>
      <c r="E40" s="77" t="s">
        <v>144</v>
      </c>
      <c r="F40" s="77" t="s">
        <v>145</v>
      </c>
      <c r="G40" s="77" t="s">
        <v>146</v>
      </c>
      <c r="H40" s="77" t="s">
        <v>143</v>
      </c>
      <c r="I40" s="77" t="s">
        <v>144</v>
      </c>
      <c r="J40" s="77" t="s">
        <v>145</v>
      </c>
      <c r="K40" s="77" t="s">
        <v>147</v>
      </c>
      <c r="L40" s="77" t="s">
        <v>148</v>
      </c>
      <c r="M40" s="77" t="s">
        <v>149</v>
      </c>
      <c r="N40" s="77" t="s">
        <v>148</v>
      </c>
      <c r="O40" s="78" t="s">
        <v>150</v>
      </c>
      <c r="P40" s="78" t="s">
        <v>151</v>
      </c>
      <c r="Q40" s="78" t="s">
        <v>152</v>
      </c>
      <c r="R40" s="78" t="s">
        <v>151</v>
      </c>
      <c r="S40" s="78" t="s">
        <v>153</v>
      </c>
      <c r="T40" s="78" t="s">
        <v>151</v>
      </c>
      <c r="U40" s="78" t="s">
        <v>154</v>
      </c>
      <c r="V40" s="78" t="s">
        <v>151</v>
      </c>
      <c r="W40" s="78" t="s">
        <v>155</v>
      </c>
      <c r="X40" s="78" t="s">
        <v>151</v>
      </c>
      <c r="Y40" s="78" t="s">
        <v>156</v>
      </c>
      <c r="Z40" s="78" t="s">
        <v>151</v>
      </c>
      <c r="AA40" s="77" t="s">
        <v>157</v>
      </c>
      <c r="AB40" s="77" t="s">
        <v>151</v>
      </c>
      <c r="AC40" s="77" t="s">
        <v>158</v>
      </c>
      <c r="AD40" s="77" t="s">
        <v>151</v>
      </c>
      <c r="AE40" s="77" t="s">
        <v>159</v>
      </c>
      <c r="AF40" s="77" t="s">
        <v>151</v>
      </c>
      <c r="AG40" s="77" t="s">
        <v>160</v>
      </c>
      <c r="AH40" s="77" t="s">
        <v>151</v>
      </c>
      <c r="AI40" s="77" t="s">
        <v>161</v>
      </c>
      <c r="AJ40" s="77" t="s">
        <v>151</v>
      </c>
      <c r="AK40" s="77" t="s">
        <v>162</v>
      </c>
      <c r="AL40" s="77" t="s">
        <v>151</v>
      </c>
      <c r="AM40" s="77" t="s">
        <v>163</v>
      </c>
      <c r="AN40" s="77" t="s">
        <v>151</v>
      </c>
      <c r="AO40" s="77" t="s">
        <v>164</v>
      </c>
      <c r="AP40" s="77" t="s">
        <v>151</v>
      </c>
      <c r="AQ40" s="77" t="s">
        <v>165</v>
      </c>
      <c r="AR40" s="77" t="s">
        <v>151</v>
      </c>
      <c r="AS40" s="77" t="s">
        <v>166</v>
      </c>
      <c r="AT40" s="77" t="s">
        <v>151</v>
      </c>
      <c r="AU40" s="281"/>
      <c r="AV40" s="272"/>
    </row>
    <row r="41" spans="2:109" ht="15" customHeight="1" x14ac:dyDescent="0.2">
      <c r="B41" s="23" t="s">
        <v>74</v>
      </c>
      <c r="C41" s="2">
        <f>E19+I19+M19+Q19+U19+Y19+BD19+BS19+CC19</f>
        <v>17760</v>
      </c>
      <c r="D41" s="97">
        <f>C41*$I$49*$I$58</f>
        <v>118332.34285714285</v>
      </c>
      <c r="E41" s="2">
        <f>(C41*$I$51+C41*$I$53)*$I$58</f>
        <v>27660.185142857139</v>
      </c>
      <c r="F41" s="24">
        <f>SUM(D41:E41)</f>
        <v>145992.52799999999</v>
      </c>
      <c r="G41" s="116">
        <v>0</v>
      </c>
      <c r="H41" s="24">
        <f>G41*$I$50*$I$58</f>
        <v>0</v>
      </c>
      <c r="I41" s="24">
        <f>(G41*I52*+G41*I53)*$I$58</f>
        <v>0</v>
      </c>
      <c r="J41" s="24">
        <f>SUM(H41:I41)</f>
        <v>0</v>
      </c>
      <c r="K41" s="2">
        <f>CM19+CQ19</f>
        <v>11700</v>
      </c>
      <c r="L41" s="32">
        <f>K41*$I$54</f>
        <v>5147.9999999999991</v>
      </c>
      <c r="M41" s="23">
        <f>CU19</f>
        <v>0</v>
      </c>
      <c r="N41" s="32">
        <f>M41*$I$55</f>
        <v>0</v>
      </c>
      <c r="O41" s="2">
        <f>$C$65/1000*DC19</f>
        <v>0</v>
      </c>
      <c r="P41" s="32">
        <f>O41*$I$50+O41*$I$52+O41*$I$53</f>
        <v>0</v>
      </c>
      <c r="Q41" s="32">
        <f>DE19*$D$65/1000</f>
        <v>0</v>
      </c>
      <c r="R41" s="32">
        <f>Q41*$I$50+Q41*$I$52+Q41*$I$53</f>
        <v>0</v>
      </c>
      <c r="S41" s="32">
        <f>DG19*$E$65/1000</f>
        <v>0</v>
      </c>
      <c r="T41" s="32">
        <f>S41*$I$50+S41*$I$52+S41*$I$53</f>
        <v>0</v>
      </c>
      <c r="U41" s="32">
        <f>DI19*$F$65/1000</f>
        <v>0</v>
      </c>
      <c r="V41" s="32">
        <f>U41*$I$50+U41*$I$52+U41*$I$53</f>
        <v>0</v>
      </c>
      <c r="W41" s="32">
        <f>DK19*$G$65/1000</f>
        <v>0</v>
      </c>
      <c r="X41" s="32">
        <f>W41*$I$50+W41*$I$52+W41*$I$53</f>
        <v>0</v>
      </c>
      <c r="Y41" s="23">
        <f>DM19*$H$65/1000</f>
        <v>0</v>
      </c>
      <c r="Z41" s="79">
        <f>Y41*$I$50+Y41*$I$52+Y41*$I$53</f>
        <v>0</v>
      </c>
      <c r="AA41" s="23">
        <f>DO19*1000*$I$65/1000</f>
        <v>0</v>
      </c>
      <c r="AB41" s="23">
        <f>AA41*$I$50+AA41*$I$52+AA41*$I$53</f>
        <v>0</v>
      </c>
      <c r="AC41" s="23">
        <f>DQ19*$J$65</f>
        <v>0</v>
      </c>
      <c r="AD41" s="23">
        <f>AC41*$I$50+AC41*$I$52+AC41*$I$53</f>
        <v>0</v>
      </c>
      <c r="AE41" s="23">
        <f>DS19*$K$65</f>
        <v>0</v>
      </c>
      <c r="AF41" s="23">
        <f>AE41*$I$50+AE41*$I$52+AE41*$I$53</f>
        <v>0</v>
      </c>
      <c r="AG41" s="23">
        <f>DU19*$L$65</f>
        <v>0</v>
      </c>
      <c r="AH41" s="23">
        <f>AG41*$I$50+AG41*$I$52+AG41*$I$53</f>
        <v>0</v>
      </c>
      <c r="AI41" s="23">
        <f>DW19*$M$65</f>
        <v>0</v>
      </c>
      <c r="AJ41" s="23">
        <f>AI41*$I$50+AI41*$I$52+AI41*$I$53</f>
        <v>0</v>
      </c>
      <c r="AK41" s="23">
        <f>DY19*$N$65</f>
        <v>0</v>
      </c>
      <c r="AL41" s="23">
        <f>AK41*$I$50+AK41*$I$52+AK41*$I$53</f>
        <v>0</v>
      </c>
      <c r="AM41" s="23">
        <f>EA19*$O$65</f>
        <v>0</v>
      </c>
      <c r="AN41" s="23">
        <f>AM41*$I$50+AM41*$I$52+AM41*$I$53</f>
        <v>0</v>
      </c>
      <c r="AO41" s="23">
        <f>EC19*$P$65</f>
        <v>0</v>
      </c>
      <c r="AP41" s="23">
        <f>AO41*$I$50+AO41*$I$52+AO41*$I$53</f>
        <v>0</v>
      </c>
      <c r="AQ41" s="23">
        <f>EE19*$Q$65</f>
        <v>0</v>
      </c>
      <c r="AR41" s="23">
        <f>AQ41*$I$50+AQ41*$I$52+AQ41*$I$53</f>
        <v>0</v>
      </c>
      <c r="AS41" s="23">
        <f>EG19*$R$65</f>
        <v>0</v>
      </c>
      <c r="AT41" s="23">
        <f>AS41*$I$50+AS41*$I$52+AS41*$I$53</f>
        <v>0</v>
      </c>
      <c r="AU41" s="81">
        <f>F41+J41+L41+N41+P41+R41+T41+V41+X41+Z41+AB41+AD41+AF41+AH41+AJ41+AL41+AN41+AP41+AR41+AT41</f>
        <v>151140.52799999999</v>
      </c>
      <c r="AV41" s="80">
        <f>AU41/'SUIVI RABAIS PRODUCTION ET C '!D9</f>
        <v>617.78266094420599</v>
      </c>
      <c r="AX41" s="413" t="s">
        <v>167</v>
      </c>
      <c r="AY41" s="414"/>
      <c r="AZ41" s="415"/>
    </row>
    <row r="42" spans="2:109" ht="15" customHeight="1" x14ac:dyDescent="0.2">
      <c r="B42" s="23" t="s">
        <v>75</v>
      </c>
      <c r="C42" s="2">
        <f t="shared" ref="C42:C45" si="41">E20+I20+M20+Q20+U20+Y20+BD20+BS20+CC20</f>
        <v>17090</v>
      </c>
      <c r="D42" s="97">
        <f t="shared" ref="D42:D45" si="42">C42*$I$49*$I$58</f>
        <v>113868.22857142855</v>
      </c>
      <c r="E42" s="2">
        <f t="shared" ref="E42:E45" si="43">(C42*$I$51+C42*$I$53)*$I$58</f>
        <v>26616.698428571428</v>
      </c>
      <c r="F42" s="24">
        <f t="shared" ref="F42:F45" si="44">SUM(D42:E42)</f>
        <v>140484.92699999997</v>
      </c>
      <c r="G42" s="116">
        <v>0</v>
      </c>
      <c r="H42" s="24">
        <f t="shared" ref="H42:H45" si="45">G42*$I$50*$I$58</f>
        <v>0</v>
      </c>
      <c r="I42" s="24">
        <f t="shared" ref="I42:I45" si="46">(G42*I53*+G42*I54)*$I$58</f>
        <v>0</v>
      </c>
      <c r="J42" s="24">
        <f t="shared" ref="J42:J45" si="47">SUM(H42:I42)</f>
        <v>0</v>
      </c>
      <c r="K42" s="2">
        <f t="shared" ref="K42:K45" si="48">CM20+CQ20</f>
        <v>11700</v>
      </c>
      <c r="L42" s="32">
        <f>K42*$I$54</f>
        <v>5147.9999999999991</v>
      </c>
      <c r="M42" s="23">
        <f t="shared" ref="M42:M45" si="49">CU20</f>
        <v>0</v>
      </c>
      <c r="N42" s="32">
        <f t="shared" ref="N42:N45" si="50">M42*$I$55</f>
        <v>0</v>
      </c>
      <c r="O42" s="2">
        <f t="shared" ref="O42:O45" si="51">$C$65/1000*DC20</f>
        <v>0</v>
      </c>
      <c r="P42" s="32">
        <f t="shared" ref="P42:P45" si="52">O42*$I$50+O42*$I$52+O42*$I$53</f>
        <v>0</v>
      </c>
      <c r="Q42" s="32">
        <f t="shared" ref="Q42:Q45" si="53">DE20*$D$65/1000</f>
        <v>0</v>
      </c>
      <c r="R42" s="32">
        <f t="shared" ref="R42:R45" si="54">Q42*$I$50+Q42*$I$52+Q42*$I$53</f>
        <v>0</v>
      </c>
      <c r="S42" s="32">
        <f t="shared" ref="S42:S45" si="55">DG20*$E$65/1000</f>
        <v>0</v>
      </c>
      <c r="T42" s="32">
        <f t="shared" ref="T42:T45" si="56">S42*$I$50+S42*$I$52+S42*$I$53</f>
        <v>0</v>
      </c>
      <c r="U42" s="32">
        <f t="shared" ref="U42:U45" si="57">DI20*$F$65/1000</f>
        <v>0</v>
      </c>
      <c r="V42" s="32">
        <f t="shared" ref="V42:V45" si="58">U42*$I$50+U42*$I$52+U42*$I$53</f>
        <v>0</v>
      </c>
      <c r="W42" s="32">
        <f t="shared" ref="W42:W45" si="59">DK20*$G$65/1000</f>
        <v>0</v>
      </c>
      <c r="X42" s="32">
        <f t="shared" ref="X42:X45" si="60">W42*$I$50+W42*$I$52+W42*$I$53</f>
        <v>0</v>
      </c>
      <c r="Y42" s="23">
        <f t="shared" ref="Y42:Y45" si="61">DM20*$H$65/1000</f>
        <v>0</v>
      </c>
      <c r="Z42" s="79">
        <f t="shared" ref="Z42:Z45" si="62">Y42*$I$50+Y42*$I$52+Y42*$I$53</f>
        <v>0</v>
      </c>
      <c r="AA42" s="23">
        <f t="shared" ref="AA42:AA45" si="63">DO20*1000*$I$65/1000</f>
        <v>0</v>
      </c>
      <c r="AB42" s="23">
        <f t="shared" ref="AB42:AB45" si="64">AA42*$I$50+AA42*$I$52+AA42*$I$53</f>
        <v>0</v>
      </c>
      <c r="AC42" s="23">
        <f t="shared" ref="AC42:AC45" si="65">DQ20*$J$65</f>
        <v>0</v>
      </c>
      <c r="AD42" s="23">
        <f t="shared" ref="AD42:AD45" si="66">AC42*$I$50+AC42*$I$52+AC42*$I$53</f>
        <v>0</v>
      </c>
      <c r="AE42" s="23">
        <f t="shared" ref="AE42:AE45" si="67">DS20*$K$65</f>
        <v>0</v>
      </c>
      <c r="AF42" s="23">
        <f t="shared" ref="AF42:AF45" si="68">AE42*$I$50+AE42*$I$52+AE42*$I$53</f>
        <v>0</v>
      </c>
      <c r="AG42" s="23">
        <f t="shared" ref="AG42:AG45" si="69">DU20*$L$65</f>
        <v>0</v>
      </c>
      <c r="AH42" s="23">
        <f t="shared" ref="AH42:AH45" si="70">AG42*$I$50+AG42*$I$52+AG42*$I$53</f>
        <v>0</v>
      </c>
      <c r="AI42" s="23">
        <f t="shared" ref="AI42:AI45" si="71">DW20*$M$65</f>
        <v>0</v>
      </c>
      <c r="AJ42" s="23">
        <f t="shared" ref="AJ42:AJ45" si="72">AI42*$I$50+AI42*$I$52+AI42*$I$53</f>
        <v>0</v>
      </c>
      <c r="AK42" s="23">
        <f t="shared" ref="AK42:AK45" si="73">DY20*$N$65</f>
        <v>0</v>
      </c>
      <c r="AL42" s="23">
        <f t="shared" ref="AL42:AL45" si="74">AK42*$I$50+AK42*$I$52+AK42*$I$53</f>
        <v>0</v>
      </c>
      <c r="AM42" s="23">
        <f t="shared" ref="AM42:AM45" si="75">EA20*$O$65</f>
        <v>0</v>
      </c>
      <c r="AN42" s="23">
        <f t="shared" ref="AN42:AN45" si="76">AM42*$I$50+AM42*$I$52+AM42*$I$53</f>
        <v>0</v>
      </c>
      <c r="AO42" s="23">
        <f t="shared" ref="AO42:AO45" si="77">EC20*$P$65</f>
        <v>0</v>
      </c>
      <c r="AP42" s="23">
        <f t="shared" ref="AP42:AP45" si="78">AO42*$I$50+AO42*$I$52+AO42*$I$53</f>
        <v>0</v>
      </c>
      <c r="AQ42" s="23">
        <f t="shared" ref="AQ42:AQ45" si="79">EE20*$Q$65</f>
        <v>0</v>
      </c>
      <c r="AR42" s="23">
        <f t="shared" ref="AR42:AR45" si="80">AQ42*$I$50+AQ42*$I$52+AQ42*$I$53</f>
        <v>0</v>
      </c>
      <c r="AS42" s="23">
        <f t="shared" ref="AS42:AS45" si="81">EG20*$R$65</f>
        <v>0</v>
      </c>
      <c r="AT42" s="23">
        <f t="shared" ref="AT42:AT45" si="82">AS42*$I$50+AS42*$I$52+AS42*$I$53</f>
        <v>0</v>
      </c>
      <c r="AU42" s="81">
        <f t="shared" ref="AU42:AU45" si="83">F42+J42+L42+N42+P42+R42+T42+V42+X42+Z42+AB42+AD42+AF42+AH42+AJ42+AL42+AN42+AP42+AR42+AT42</f>
        <v>145632.92699999997</v>
      </c>
      <c r="AV42" s="80">
        <f>AU42/'SUIVI RABAIS PRODUCTION ET C '!E9</f>
        <v>723.49807243280827</v>
      </c>
      <c r="AX42" s="416"/>
      <c r="AY42" s="417"/>
      <c r="AZ42" s="418"/>
    </row>
    <row r="43" spans="2:109" ht="16" thickBot="1" x14ac:dyDescent="0.25">
      <c r="B43" s="23" t="s">
        <v>76</v>
      </c>
      <c r="C43" s="2">
        <f t="shared" si="41"/>
        <v>16550</v>
      </c>
      <c r="D43" s="97">
        <f t="shared" si="42"/>
        <v>110270.28571428571</v>
      </c>
      <c r="E43" s="2">
        <f t="shared" si="43"/>
        <v>25775.679285714283</v>
      </c>
      <c r="F43" s="24">
        <f t="shared" si="44"/>
        <v>136045.965</v>
      </c>
      <c r="G43" s="116">
        <v>0</v>
      </c>
      <c r="H43" s="24">
        <f t="shared" si="45"/>
        <v>0</v>
      </c>
      <c r="I43" s="24">
        <f t="shared" si="46"/>
        <v>0</v>
      </c>
      <c r="J43" s="24">
        <f t="shared" si="47"/>
        <v>0</v>
      </c>
      <c r="K43" s="2">
        <f t="shared" si="48"/>
        <v>4200</v>
      </c>
      <c r="L43" s="32">
        <f t="shared" ref="L43:L45" si="84">K43*$I$54</f>
        <v>1847.9999999999998</v>
      </c>
      <c r="M43" s="23">
        <f t="shared" si="49"/>
        <v>0</v>
      </c>
      <c r="N43" s="32">
        <f t="shared" si="50"/>
        <v>0</v>
      </c>
      <c r="O43" s="2">
        <f t="shared" si="51"/>
        <v>0</v>
      </c>
      <c r="P43" s="32">
        <f t="shared" si="52"/>
        <v>0</v>
      </c>
      <c r="Q43" s="32">
        <f t="shared" si="53"/>
        <v>0</v>
      </c>
      <c r="R43" s="32">
        <f t="shared" si="54"/>
        <v>0</v>
      </c>
      <c r="S43" s="32">
        <f t="shared" si="55"/>
        <v>0</v>
      </c>
      <c r="T43" s="32">
        <f t="shared" si="56"/>
        <v>0</v>
      </c>
      <c r="U43" s="32">
        <f t="shared" si="57"/>
        <v>0</v>
      </c>
      <c r="V43" s="32">
        <f t="shared" si="58"/>
        <v>0</v>
      </c>
      <c r="W43" s="32">
        <f t="shared" si="59"/>
        <v>0</v>
      </c>
      <c r="X43" s="32">
        <f t="shared" si="60"/>
        <v>0</v>
      </c>
      <c r="Y43" s="23">
        <f t="shared" si="61"/>
        <v>0</v>
      </c>
      <c r="Z43" s="79">
        <f t="shared" si="62"/>
        <v>0</v>
      </c>
      <c r="AA43" s="23">
        <f t="shared" si="63"/>
        <v>0</v>
      </c>
      <c r="AB43" s="23">
        <f t="shared" si="64"/>
        <v>0</v>
      </c>
      <c r="AC43" s="23">
        <f t="shared" si="65"/>
        <v>0</v>
      </c>
      <c r="AD43" s="23">
        <f t="shared" si="66"/>
        <v>0</v>
      </c>
      <c r="AE43" s="23">
        <f t="shared" si="67"/>
        <v>0</v>
      </c>
      <c r="AF43" s="23">
        <f t="shared" si="68"/>
        <v>0</v>
      </c>
      <c r="AG43" s="23">
        <f t="shared" si="69"/>
        <v>0</v>
      </c>
      <c r="AH43" s="23">
        <f t="shared" si="70"/>
        <v>0</v>
      </c>
      <c r="AI43" s="23">
        <f t="shared" si="71"/>
        <v>0</v>
      </c>
      <c r="AJ43" s="23">
        <f t="shared" si="72"/>
        <v>0</v>
      </c>
      <c r="AK43" s="23">
        <f t="shared" si="73"/>
        <v>0</v>
      </c>
      <c r="AL43" s="23">
        <f t="shared" si="74"/>
        <v>0</v>
      </c>
      <c r="AM43" s="23">
        <f t="shared" si="75"/>
        <v>0</v>
      </c>
      <c r="AN43" s="23">
        <f t="shared" si="76"/>
        <v>0</v>
      </c>
      <c r="AO43" s="23">
        <f t="shared" si="77"/>
        <v>0</v>
      </c>
      <c r="AP43" s="23">
        <f t="shared" si="78"/>
        <v>0</v>
      </c>
      <c r="AQ43" s="23">
        <f t="shared" si="79"/>
        <v>0</v>
      </c>
      <c r="AR43" s="23">
        <f t="shared" si="80"/>
        <v>0</v>
      </c>
      <c r="AS43" s="23">
        <f t="shared" si="81"/>
        <v>0</v>
      </c>
      <c r="AT43" s="23">
        <f t="shared" si="82"/>
        <v>0</v>
      </c>
      <c r="AU43" s="81">
        <f t="shared" si="83"/>
        <v>137893.965</v>
      </c>
      <c r="AV43" s="80">
        <f>AU43/'SUIVI RABAIS PRODUCTION ET C '!F9</f>
        <v>806.49178266463912</v>
      </c>
      <c r="AX43" s="416"/>
      <c r="AY43" s="417"/>
      <c r="AZ43" s="418"/>
    </row>
    <row r="44" spans="2:109" ht="16" thickBot="1" x14ac:dyDescent="0.25">
      <c r="B44" s="23" t="s">
        <v>77</v>
      </c>
      <c r="C44" s="2">
        <f t="shared" si="41"/>
        <v>16550</v>
      </c>
      <c r="D44" s="97">
        <f t="shared" si="42"/>
        <v>110270.28571428571</v>
      </c>
      <c r="E44" s="2">
        <f t="shared" si="43"/>
        <v>25775.679285714283</v>
      </c>
      <c r="F44" s="24">
        <f t="shared" si="44"/>
        <v>136045.965</v>
      </c>
      <c r="G44" s="116">
        <v>0</v>
      </c>
      <c r="H44" s="24">
        <f t="shared" si="45"/>
        <v>0</v>
      </c>
      <c r="I44" s="24">
        <f t="shared" si="46"/>
        <v>0</v>
      </c>
      <c r="J44" s="24">
        <f t="shared" si="47"/>
        <v>0</v>
      </c>
      <c r="K44" s="2">
        <f t="shared" si="48"/>
        <v>4200</v>
      </c>
      <c r="L44" s="32">
        <f t="shared" si="84"/>
        <v>1847.9999999999998</v>
      </c>
      <c r="M44" s="23">
        <f t="shared" si="49"/>
        <v>0</v>
      </c>
      <c r="N44" s="32">
        <f t="shared" si="50"/>
        <v>0</v>
      </c>
      <c r="O44" s="2">
        <f t="shared" si="51"/>
        <v>0</v>
      </c>
      <c r="P44" s="32">
        <f t="shared" si="52"/>
        <v>0</v>
      </c>
      <c r="Q44" s="32">
        <f t="shared" si="53"/>
        <v>0</v>
      </c>
      <c r="R44" s="32">
        <f t="shared" si="54"/>
        <v>0</v>
      </c>
      <c r="S44" s="32">
        <f t="shared" si="55"/>
        <v>0</v>
      </c>
      <c r="T44" s="32">
        <f t="shared" si="56"/>
        <v>0</v>
      </c>
      <c r="U44" s="32">
        <f t="shared" si="57"/>
        <v>0</v>
      </c>
      <c r="V44" s="32">
        <f t="shared" si="58"/>
        <v>0</v>
      </c>
      <c r="W44" s="32">
        <f t="shared" si="59"/>
        <v>0</v>
      </c>
      <c r="X44" s="32">
        <f t="shared" si="60"/>
        <v>0</v>
      </c>
      <c r="Y44" s="23">
        <f t="shared" si="61"/>
        <v>0</v>
      </c>
      <c r="Z44" s="79">
        <f t="shared" si="62"/>
        <v>0</v>
      </c>
      <c r="AA44" s="23">
        <f t="shared" si="63"/>
        <v>0</v>
      </c>
      <c r="AB44" s="23">
        <f t="shared" si="64"/>
        <v>0</v>
      </c>
      <c r="AC44" s="23">
        <f t="shared" si="65"/>
        <v>0</v>
      </c>
      <c r="AD44" s="23">
        <f t="shared" si="66"/>
        <v>0</v>
      </c>
      <c r="AE44" s="23">
        <f t="shared" si="67"/>
        <v>0</v>
      </c>
      <c r="AF44" s="23">
        <f t="shared" si="68"/>
        <v>0</v>
      </c>
      <c r="AG44" s="23">
        <f t="shared" si="69"/>
        <v>0</v>
      </c>
      <c r="AH44" s="23">
        <f t="shared" si="70"/>
        <v>0</v>
      </c>
      <c r="AI44" s="23">
        <f t="shared" si="71"/>
        <v>0</v>
      </c>
      <c r="AJ44" s="23">
        <f t="shared" si="72"/>
        <v>0</v>
      </c>
      <c r="AK44" s="23">
        <f t="shared" si="73"/>
        <v>0</v>
      </c>
      <c r="AL44" s="23">
        <f t="shared" si="74"/>
        <v>0</v>
      </c>
      <c r="AM44" s="23">
        <f t="shared" si="75"/>
        <v>0</v>
      </c>
      <c r="AN44" s="23">
        <f t="shared" si="76"/>
        <v>0</v>
      </c>
      <c r="AO44" s="23">
        <f t="shared" si="77"/>
        <v>0</v>
      </c>
      <c r="AP44" s="23">
        <f t="shared" si="78"/>
        <v>0</v>
      </c>
      <c r="AQ44" s="23">
        <f t="shared" si="79"/>
        <v>0</v>
      </c>
      <c r="AR44" s="23">
        <f t="shared" si="80"/>
        <v>0</v>
      </c>
      <c r="AS44" s="23">
        <f t="shared" si="81"/>
        <v>0</v>
      </c>
      <c r="AT44" s="23">
        <f t="shared" si="82"/>
        <v>0</v>
      </c>
      <c r="AU44" s="81">
        <f>F44+J44+L44+N44+P44+R44+T44+V44+X44+Z44+AB44+AD44+AF44+AH44+AJ44+AL44+AN44+AP44+AR44+AT44</f>
        <v>137893.965</v>
      </c>
      <c r="AV44" s="80">
        <f>AU44/'SUIVI RABAIS PRODUCTION ET C '!G9</f>
        <v>815.60279765777477</v>
      </c>
      <c r="AX44" s="82">
        <f>AU46+AO36</f>
        <v>1140147.4159599999</v>
      </c>
      <c r="AY44" s="6" t="s">
        <v>168</v>
      </c>
      <c r="AZ44" s="35"/>
    </row>
    <row r="45" spans="2:109" x14ac:dyDescent="0.2">
      <c r="B45" s="23" t="s">
        <v>78</v>
      </c>
      <c r="C45" s="2">
        <f t="shared" si="41"/>
        <v>17203.2</v>
      </c>
      <c r="D45" s="97">
        <f t="shared" si="42"/>
        <v>114622.46399999999</v>
      </c>
      <c r="E45" s="2">
        <f t="shared" si="43"/>
        <v>26793.000959999998</v>
      </c>
      <c r="F45" s="24">
        <f t="shared" si="44"/>
        <v>141415.46495999998</v>
      </c>
      <c r="G45" s="116">
        <v>0</v>
      </c>
      <c r="H45" s="24">
        <f t="shared" si="45"/>
        <v>0</v>
      </c>
      <c r="I45" s="24">
        <f t="shared" si="46"/>
        <v>0</v>
      </c>
      <c r="J45" s="24">
        <f t="shared" si="47"/>
        <v>0</v>
      </c>
      <c r="K45" s="2">
        <f t="shared" si="48"/>
        <v>6000</v>
      </c>
      <c r="L45" s="32">
        <f t="shared" si="84"/>
        <v>2639.9999999999995</v>
      </c>
      <c r="M45" s="23">
        <f t="shared" si="49"/>
        <v>0</v>
      </c>
      <c r="N45" s="32">
        <f t="shared" si="50"/>
        <v>0</v>
      </c>
      <c r="O45" s="2">
        <f t="shared" si="51"/>
        <v>0</v>
      </c>
      <c r="P45" s="32">
        <f t="shared" si="52"/>
        <v>0</v>
      </c>
      <c r="Q45" s="32">
        <f t="shared" si="53"/>
        <v>0</v>
      </c>
      <c r="R45" s="32">
        <f t="shared" si="54"/>
        <v>0</v>
      </c>
      <c r="S45" s="32">
        <f t="shared" si="55"/>
        <v>0</v>
      </c>
      <c r="T45" s="32">
        <f t="shared" si="56"/>
        <v>0</v>
      </c>
      <c r="U45" s="32">
        <f t="shared" si="57"/>
        <v>0</v>
      </c>
      <c r="V45" s="32">
        <f t="shared" si="58"/>
        <v>0</v>
      </c>
      <c r="W45" s="32">
        <f t="shared" si="59"/>
        <v>0</v>
      </c>
      <c r="X45" s="32">
        <f t="shared" si="60"/>
        <v>0</v>
      </c>
      <c r="Y45" s="23">
        <f t="shared" si="61"/>
        <v>0</v>
      </c>
      <c r="Z45" s="79">
        <f t="shared" si="62"/>
        <v>0</v>
      </c>
      <c r="AA45" s="23">
        <f t="shared" si="63"/>
        <v>0</v>
      </c>
      <c r="AB45" s="23">
        <f t="shared" si="64"/>
        <v>0</v>
      </c>
      <c r="AC45" s="23">
        <f t="shared" si="65"/>
        <v>0</v>
      </c>
      <c r="AD45" s="23">
        <f t="shared" si="66"/>
        <v>0</v>
      </c>
      <c r="AE45" s="23">
        <f t="shared" si="67"/>
        <v>0</v>
      </c>
      <c r="AF45" s="23">
        <f t="shared" si="68"/>
        <v>0</v>
      </c>
      <c r="AG45" s="23">
        <f t="shared" si="69"/>
        <v>0</v>
      </c>
      <c r="AH45" s="23">
        <f t="shared" si="70"/>
        <v>0</v>
      </c>
      <c r="AI45" s="23">
        <f t="shared" si="71"/>
        <v>0</v>
      </c>
      <c r="AJ45" s="23">
        <f t="shared" si="72"/>
        <v>0</v>
      </c>
      <c r="AK45" s="23">
        <f t="shared" si="73"/>
        <v>0</v>
      </c>
      <c r="AL45" s="23">
        <f t="shared" si="74"/>
        <v>0</v>
      </c>
      <c r="AM45" s="23">
        <f t="shared" si="75"/>
        <v>0</v>
      </c>
      <c r="AN45" s="23">
        <f t="shared" si="76"/>
        <v>0</v>
      </c>
      <c r="AO45" s="23">
        <f t="shared" si="77"/>
        <v>0</v>
      </c>
      <c r="AP45" s="23">
        <f t="shared" si="78"/>
        <v>0</v>
      </c>
      <c r="AQ45" s="23">
        <f t="shared" si="79"/>
        <v>0</v>
      </c>
      <c r="AR45" s="23">
        <f t="shared" si="80"/>
        <v>0</v>
      </c>
      <c r="AS45" s="23">
        <f t="shared" si="81"/>
        <v>0</v>
      </c>
      <c r="AT45" s="23">
        <f t="shared" si="82"/>
        <v>0</v>
      </c>
      <c r="AU45" s="81">
        <f t="shared" si="83"/>
        <v>144055.46495999998</v>
      </c>
      <c r="AV45" s="80">
        <f>AU45/'SUIVI RABAIS PRODUCTION ET C '!H9</f>
        <v>842.77461510559874</v>
      </c>
      <c r="AX45" s="109">
        <f>AX44/1000</f>
        <v>1140.14741596</v>
      </c>
      <c r="AY45" s="73" t="s">
        <v>169</v>
      </c>
    </row>
    <row r="46" spans="2:109" x14ac:dyDescent="0.2">
      <c r="B46" s="5" t="s">
        <v>130</v>
      </c>
      <c r="C46" s="72">
        <f>SUM(C41:C45)</f>
        <v>85153.2</v>
      </c>
      <c r="D46" s="5">
        <f t="shared" ref="D46:J46" si="85">SUM(D41:D45)</f>
        <v>567363.60685714288</v>
      </c>
      <c r="E46" s="5">
        <f t="shared" si="85"/>
        <v>132621.24310285714</v>
      </c>
      <c r="F46" s="25">
        <f t="shared" si="85"/>
        <v>699984.8499599999</v>
      </c>
      <c r="G46" s="25">
        <f t="shared" si="85"/>
        <v>0</v>
      </c>
      <c r="H46" s="25">
        <f t="shared" si="85"/>
        <v>0</v>
      </c>
      <c r="I46" s="25">
        <f t="shared" si="85"/>
        <v>0</v>
      </c>
      <c r="J46" s="5">
        <f t="shared" si="85"/>
        <v>0</v>
      </c>
      <c r="K46" s="5">
        <f t="shared" ref="K46:AT46" si="86">SUM(K41:K45)</f>
        <v>37800</v>
      </c>
      <c r="L46" s="25">
        <f t="shared" si="86"/>
        <v>16631.999999999996</v>
      </c>
      <c r="M46" s="5">
        <f t="shared" si="86"/>
        <v>0</v>
      </c>
      <c r="N46" s="25">
        <f t="shared" si="86"/>
        <v>0</v>
      </c>
      <c r="O46" s="5">
        <f t="shared" si="86"/>
        <v>0</v>
      </c>
      <c r="P46" s="25">
        <f t="shared" si="86"/>
        <v>0</v>
      </c>
      <c r="Q46" s="5">
        <f t="shared" si="86"/>
        <v>0</v>
      </c>
      <c r="R46" s="5">
        <f t="shared" si="86"/>
        <v>0</v>
      </c>
      <c r="S46" s="5">
        <f t="shared" si="86"/>
        <v>0</v>
      </c>
      <c r="T46" s="5">
        <f t="shared" si="86"/>
        <v>0</v>
      </c>
      <c r="U46" s="5">
        <f t="shared" si="86"/>
        <v>0</v>
      </c>
      <c r="V46" s="5">
        <f t="shared" si="86"/>
        <v>0</v>
      </c>
      <c r="W46" s="5">
        <f t="shared" si="86"/>
        <v>0</v>
      </c>
      <c r="X46" s="5">
        <f t="shared" si="86"/>
        <v>0</v>
      </c>
      <c r="Y46" s="5">
        <f t="shared" si="86"/>
        <v>0</v>
      </c>
      <c r="Z46" s="5">
        <f t="shared" si="86"/>
        <v>0</v>
      </c>
      <c r="AA46" s="5">
        <f t="shared" si="86"/>
        <v>0</v>
      </c>
      <c r="AB46" s="5">
        <f t="shared" si="86"/>
        <v>0</v>
      </c>
      <c r="AC46" s="5">
        <f t="shared" si="86"/>
        <v>0</v>
      </c>
      <c r="AD46" s="5">
        <f t="shared" si="86"/>
        <v>0</v>
      </c>
      <c r="AE46" s="5">
        <f t="shared" si="86"/>
        <v>0</v>
      </c>
      <c r="AF46" s="5">
        <f t="shared" si="86"/>
        <v>0</v>
      </c>
      <c r="AG46" s="5">
        <f t="shared" si="86"/>
        <v>0</v>
      </c>
      <c r="AH46" s="5">
        <f t="shared" si="86"/>
        <v>0</v>
      </c>
      <c r="AI46" s="5">
        <f t="shared" si="86"/>
        <v>0</v>
      </c>
      <c r="AJ46" s="5">
        <f t="shared" si="86"/>
        <v>0</v>
      </c>
      <c r="AK46" s="5">
        <f t="shared" si="86"/>
        <v>0</v>
      </c>
      <c r="AL46" s="5">
        <f t="shared" si="86"/>
        <v>0</v>
      </c>
      <c r="AM46" s="5">
        <f t="shared" si="86"/>
        <v>0</v>
      </c>
      <c r="AN46" s="5">
        <f t="shared" si="86"/>
        <v>0</v>
      </c>
      <c r="AO46" s="5">
        <f t="shared" si="86"/>
        <v>0</v>
      </c>
      <c r="AP46" s="5">
        <f t="shared" si="86"/>
        <v>0</v>
      </c>
      <c r="AQ46" s="5">
        <f t="shared" si="86"/>
        <v>0</v>
      </c>
      <c r="AR46" s="5">
        <f t="shared" si="86"/>
        <v>0</v>
      </c>
      <c r="AS46" s="5">
        <f t="shared" si="86"/>
        <v>0</v>
      </c>
      <c r="AT46" s="5">
        <f t="shared" si="86"/>
        <v>0</v>
      </c>
      <c r="AU46" s="33">
        <f>SUM(AU41:AU45)</f>
        <v>716616.8499599999</v>
      </c>
    </row>
    <row r="47" spans="2:109" x14ac:dyDescent="0.2">
      <c r="B47" s="26"/>
      <c r="C47" s="26"/>
      <c r="D47" s="26"/>
      <c r="E47" s="26"/>
      <c r="F47" s="27"/>
      <c r="G47" s="26"/>
      <c r="H47" s="26"/>
      <c r="I47" s="26"/>
      <c r="J47" s="26"/>
    </row>
    <row r="48" spans="2:109" x14ac:dyDescent="0.2">
      <c r="B48" s="69" t="s">
        <v>170</v>
      </c>
      <c r="C48" s="69"/>
      <c r="D48" s="69"/>
      <c r="E48" s="69"/>
      <c r="F48" s="69"/>
      <c r="G48" s="69"/>
      <c r="H48" s="69"/>
      <c r="I48" s="69"/>
    </row>
    <row r="49" spans="2:18" x14ac:dyDescent="0.2">
      <c r="B49" s="36" t="s">
        <v>171</v>
      </c>
      <c r="C49" s="37"/>
      <c r="D49" s="38"/>
      <c r="E49" s="38"/>
      <c r="F49" s="38"/>
      <c r="G49" s="38"/>
      <c r="H49" s="70"/>
      <c r="I49" s="95">
        <f>0.016*44/28</f>
        <v>2.514285714285714E-2</v>
      </c>
    </row>
    <row r="50" spans="2:18" x14ac:dyDescent="0.2">
      <c r="B50" s="39" t="s">
        <v>172</v>
      </c>
      <c r="C50" s="40"/>
      <c r="D50" s="41"/>
      <c r="E50" s="41"/>
      <c r="F50" s="41"/>
      <c r="G50" s="41"/>
      <c r="H50" s="42"/>
      <c r="I50" s="95">
        <f>0.006*44/28</f>
        <v>9.4285714285714285E-3</v>
      </c>
    </row>
    <row r="51" spans="2:18" x14ac:dyDescent="0.2">
      <c r="B51" s="39" t="s">
        <v>173</v>
      </c>
      <c r="C51" s="40"/>
      <c r="D51" s="41"/>
      <c r="E51" s="41"/>
      <c r="F51" s="41"/>
      <c r="G51" s="41"/>
      <c r="H51" s="42"/>
      <c r="I51" s="95">
        <f>0.01*0.11*44/28</f>
        <v>1.7285714285714287E-3</v>
      </c>
    </row>
    <row r="52" spans="2:18" x14ac:dyDescent="0.2">
      <c r="B52" s="39" t="s">
        <v>174</v>
      </c>
      <c r="C52" s="40"/>
      <c r="D52" s="41"/>
      <c r="E52" s="41"/>
      <c r="F52" s="41"/>
      <c r="G52" s="41"/>
      <c r="H52" s="42"/>
      <c r="I52" s="95">
        <f>0.01*0.21*44/28</f>
        <v>3.3E-3</v>
      </c>
    </row>
    <row r="53" spans="2:18" x14ac:dyDescent="0.2">
      <c r="B53" s="39" t="s">
        <v>175</v>
      </c>
      <c r="C53" s="40"/>
      <c r="D53" s="41"/>
      <c r="E53" s="41"/>
      <c r="F53" s="41"/>
      <c r="G53" s="41"/>
      <c r="H53" s="42"/>
      <c r="I53" s="95">
        <f>0.011*0.24*44/28</f>
        <v>4.1485714285714277E-3</v>
      </c>
    </row>
    <row r="54" spans="2:18" x14ac:dyDescent="0.2">
      <c r="B54" s="39" t="s">
        <v>176</v>
      </c>
      <c r="C54" s="40"/>
      <c r="D54" s="40"/>
      <c r="E54" s="40"/>
      <c r="F54" s="41"/>
      <c r="G54" s="41"/>
      <c r="H54" s="42"/>
      <c r="I54" s="95">
        <f>0.12*44/12</f>
        <v>0.43999999999999995</v>
      </c>
    </row>
    <row r="55" spans="2:18" x14ac:dyDescent="0.2">
      <c r="B55" s="43" t="s">
        <v>177</v>
      </c>
      <c r="C55" s="44"/>
      <c r="D55" s="44"/>
      <c r="E55" s="44"/>
      <c r="F55" s="71"/>
      <c r="G55" s="71"/>
      <c r="H55" s="45"/>
      <c r="I55" s="95">
        <f>0.13*44/12</f>
        <v>0.47666666666666674</v>
      </c>
    </row>
    <row r="57" spans="2:18" x14ac:dyDescent="0.2">
      <c r="B57" s="69" t="s">
        <v>178</v>
      </c>
      <c r="C57" s="62"/>
      <c r="D57" s="62"/>
      <c r="E57" s="62"/>
      <c r="F57" s="62"/>
      <c r="G57" s="62"/>
      <c r="H57" s="62"/>
      <c r="I57" s="62"/>
    </row>
    <row r="58" spans="2:18" x14ac:dyDescent="0.2">
      <c r="B58" s="74" t="s">
        <v>179</v>
      </c>
      <c r="C58" s="75"/>
      <c r="D58" s="75"/>
      <c r="E58" s="75"/>
      <c r="F58" s="75"/>
      <c r="G58" s="75"/>
      <c r="H58" s="75"/>
      <c r="I58" s="76">
        <v>265</v>
      </c>
    </row>
    <row r="60" spans="2:18" x14ac:dyDescent="0.2">
      <c r="B60" s="69" t="s">
        <v>180</v>
      </c>
      <c r="C60" s="69"/>
      <c r="D60" s="69"/>
      <c r="E60" s="69"/>
      <c r="F60" s="69"/>
      <c r="G60" s="69"/>
      <c r="H60" s="69"/>
      <c r="I60" s="69"/>
    </row>
    <row r="61" spans="2:18" x14ac:dyDescent="0.2">
      <c r="C61" s="277" t="s">
        <v>34</v>
      </c>
      <c r="D61" s="278"/>
      <c r="E61" s="278"/>
      <c r="F61" s="278"/>
      <c r="G61" s="278"/>
      <c r="H61" s="279"/>
      <c r="I61" s="277" t="s">
        <v>133</v>
      </c>
      <c r="J61" s="278"/>
      <c r="K61" s="278"/>
      <c r="L61" s="278"/>
      <c r="M61" s="278"/>
      <c r="N61" s="278"/>
      <c r="O61" s="278"/>
      <c r="P61" s="278"/>
      <c r="Q61" s="278"/>
      <c r="R61" s="279"/>
    </row>
    <row r="62" spans="2:18" x14ac:dyDescent="0.2">
      <c r="C62" s="268">
        <v>0</v>
      </c>
      <c r="D62" s="268">
        <v>0</v>
      </c>
      <c r="E62" s="268">
        <v>0</v>
      </c>
      <c r="F62" s="268">
        <v>0</v>
      </c>
      <c r="G62" s="268">
        <v>0</v>
      </c>
      <c r="H62" s="268">
        <v>0</v>
      </c>
      <c r="I62" s="273" t="s">
        <v>58</v>
      </c>
      <c r="J62" s="273" t="s">
        <v>59</v>
      </c>
      <c r="K62" s="273" t="s">
        <v>60</v>
      </c>
      <c r="L62" s="275" t="s">
        <v>61</v>
      </c>
      <c r="M62" s="275" t="s">
        <v>62</v>
      </c>
      <c r="N62" s="275" t="s">
        <v>63</v>
      </c>
      <c r="O62" s="275" t="s">
        <v>64</v>
      </c>
      <c r="P62" s="275" t="s">
        <v>65</v>
      </c>
      <c r="Q62" s="275" t="s">
        <v>66</v>
      </c>
      <c r="R62" s="275" t="s">
        <v>67</v>
      </c>
    </row>
    <row r="63" spans="2:18" x14ac:dyDescent="0.2">
      <c r="C63" s="269"/>
      <c r="D63" s="269"/>
      <c r="E63" s="269"/>
      <c r="F63" s="269"/>
      <c r="G63" s="269"/>
      <c r="H63" s="269"/>
      <c r="I63" s="274"/>
      <c r="J63" s="274"/>
      <c r="K63" s="274"/>
      <c r="L63" s="276"/>
      <c r="M63" s="276"/>
      <c r="N63" s="276"/>
      <c r="O63" s="276"/>
      <c r="P63" s="276"/>
      <c r="Q63" s="276"/>
      <c r="R63" s="276"/>
    </row>
    <row r="64" spans="2:18" ht="23" customHeight="1" x14ac:dyDescent="0.2">
      <c r="C64" s="270"/>
      <c r="D64" s="270"/>
      <c r="E64" s="270"/>
      <c r="F64" s="270"/>
      <c r="G64" s="270"/>
      <c r="H64" s="270"/>
      <c r="I64" s="274"/>
      <c r="J64" s="274"/>
      <c r="K64" s="274"/>
      <c r="L64" s="276"/>
      <c r="M64" s="276"/>
      <c r="N64" s="276"/>
      <c r="O64" s="276"/>
      <c r="P64" s="276"/>
      <c r="Q64" s="276"/>
      <c r="R64" s="276"/>
    </row>
    <row r="65" spans="2:27" x14ac:dyDescent="0.2">
      <c r="B65" s="47" t="s">
        <v>181</v>
      </c>
      <c r="C65" s="153">
        <v>0</v>
      </c>
      <c r="D65" s="153">
        <v>0</v>
      </c>
      <c r="E65" s="153">
        <v>0</v>
      </c>
      <c r="F65" s="153">
        <v>0</v>
      </c>
      <c r="G65" s="153">
        <v>0</v>
      </c>
      <c r="H65" s="153"/>
      <c r="I65" s="1">
        <v>10.1</v>
      </c>
      <c r="J65" s="1">
        <v>13.84</v>
      </c>
      <c r="K65" s="1">
        <v>21.6</v>
      </c>
      <c r="L65" s="1">
        <v>5.09</v>
      </c>
      <c r="M65" s="96">
        <f>(13.07+13.5+14.63+15.38)/4</f>
        <v>14.145000000000001</v>
      </c>
      <c r="N65" s="1">
        <v>28.45</v>
      </c>
      <c r="O65" s="1">
        <v>6.9</v>
      </c>
      <c r="P65" s="1">
        <v>27.3</v>
      </c>
      <c r="Q65" s="1">
        <v>5.55</v>
      </c>
      <c r="R65" s="1">
        <v>15.23</v>
      </c>
    </row>
    <row r="69" spans="2:27" x14ac:dyDescent="0.2">
      <c r="U69" s="155"/>
      <c r="V69" s="155"/>
      <c r="W69" s="155"/>
      <c r="X69" s="155"/>
      <c r="Y69" s="155"/>
      <c r="Z69" s="155"/>
      <c r="AA69" s="155"/>
    </row>
    <row r="70" spans="2:27" x14ac:dyDescent="0.2">
      <c r="U70" s="155"/>
      <c r="V70" s="155"/>
      <c r="W70" s="155"/>
      <c r="X70" s="155"/>
      <c r="Y70" s="155"/>
      <c r="Z70" s="155"/>
      <c r="AA70" s="155"/>
    </row>
    <row r="71" spans="2:27" x14ac:dyDescent="0.2">
      <c r="U71" s="155"/>
      <c r="V71" s="155"/>
      <c r="W71" s="155"/>
      <c r="X71" s="155"/>
      <c r="Y71" s="155"/>
      <c r="Z71" s="155"/>
      <c r="AA71" s="155"/>
    </row>
    <row r="72" spans="2:27" x14ac:dyDescent="0.2">
      <c r="U72" s="155"/>
      <c r="V72" s="155"/>
      <c r="W72" s="155"/>
      <c r="X72" s="155"/>
      <c r="Y72" s="155"/>
      <c r="Z72" s="155"/>
      <c r="AA72" s="155"/>
    </row>
    <row r="73" spans="2:27" x14ac:dyDescent="0.2">
      <c r="E73" s="154"/>
      <c r="U73" s="155"/>
      <c r="V73" s="155"/>
      <c r="W73" s="155"/>
      <c r="X73" s="155"/>
      <c r="Y73" s="155"/>
      <c r="Z73" s="155"/>
      <c r="AA73" s="155"/>
    </row>
    <row r="74" spans="2:27" x14ac:dyDescent="0.2">
      <c r="L74" s="154"/>
      <c r="U74" s="155"/>
      <c r="V74" s="155"/>
      <c r="W74" s="155"/>
      <c r="X74" s="155"/>
      <c r="Y74" s="155"/>
      <c r="Z74" s="155"/>
      <c r="AA74" s="155"/>
    </row>
    <row r="75" spans="2:27" x14ac:dyDescent="0.2">
      <c r="E75" s="154"/>
      <c r="U75" s="155"/>
      <c r="V75" s="155"/>
      <c r="W75" s="155"/>
      <c r="X75" s="155"/>
      <c r="Y75" s="155"/>
      <c r="Z75" s="155"/>
      <c r="AA75" s="155"/>
    </row>
    <row r="76" spans="2:27" x14ac:dyDescent="0.2">
      <c r="U76" s="155"/>
      <c r="V76" s="155"/>
      <c r="W76" s="155"/>
      <c r="X76" s="155"/>
      <c r="Y76" s="155"/>
      <c r="Z76" s="155"/>
      <c r="AA76" s="155"/>
    </row>
    <row r="77" spans="2:27" x14ac:dyDescent="0.2">
      <c r="E77" s="154"/>
      <c r="U77" s="155"/>
      <c r="V77" s="155"/>
      <c r="W77" s="155"/>
      <c r="X77" s="155"/>
      <c r="Y77" s="155"/>
      <c r="Z77" s="155"/>
      <c r="AA77" s="155"/>
    </row>
    <row r="78" spans="2:27" x14ac:dyDescent="0.2">
      <c r="U78" s="155"/>
      <c r="V78" s="155"/>
      <c r="W78" s="155"/>
      <c r="X78" s="155"/>
      <c r="Y78" s="155"/>
      <c r="Z78" s="155"/>
      <c r="AA78" s="155"/>
    </row>
    <row r="79" spans="2:27" x14ac:dyDescent="0.2">
      <c r="U79" s="155"/>
      <c r="V79" s="155"/>
      <c r="W79" s="155"/>
      <c r="X79" s="155"/>
      <c r="Y79" s="155"/>
      <c r="Z79" s="155"/>
      <c r="AA79" s="155"/>
    </row>
    <row r="80" spans="2:27" x14ac:dyDescent="0.2">
      <c r="U80" s="155"/>
      <c r="V80" s="155"/>
      <c r="W80" s="155"/>
      <c r="X80" s="155"/>
      <c r="Y80" s="155"/>
      <c r="Z80" s="155"/>
      <c r="AA80" s="155"/>
    </row>
    <row r="81" spans="21:27" x14ac:dyDescent="0.2">
      <c r="U81" s="155"/>
      <c r="V81" s="155"/>
      <c r="W81" s="155"/>
      <c r="X81" s="155"/>
      <c r="Y81" s="155"/>
      <c r="Z81" s="155"/>
      <c r="AA81" s="155"/>
    </row>
    <row r="82" spans="21:27" x14ac:dyDescent="0.2">
      <c r="U82" s="155"/>
      <c r="V82" s="155"/>
      <c r="W82" s="155"/>
      <c r="X82" s="155"/>
      <c r="Y82" s="155"/>
      <c r="Z82" s="155"/>
      <c r="AA82" s="155"/>
    </row>
    <row r="83" spans="21:27" x14ac:dyDescent="0.2">
      <c r="U83" s="155"/>
      <c r="V83" s="155"/>
      <c r="W83" s="155"/>
      <c r="X83" s="155"/>
      <c r="Y83" s="155"/>
      <c r="Z83" s="155"/>
      <c r="AA83" s="155"/>
    </row>
    <row r="84" spans="21:27" x14ac:dyDescent="0.2">
      <c r="U84" s="155"/>
      <c r="V84" s="155"/>
      <c r="W84" s="155"/>
      <c r="X84" s="155"/>
      <c r="Y84" s="155"/>
      <c r="Z84" s="155"/>
      <c r="AA84" s="155"/>
    </row>
    <row r="85" spans="21:27" x14ac:dyDescent="0.2">
      <c r="U85" s="155"/>
      <c r="V85" s="155"/>
      <c r="W85" s="155"/>
      <c r="X85" s="155"/>
      <c r="Y85" s="155"/>
      <c r="Z85" s="155"/>
      <c r="AA85" s="155"/>
    </row>
    <row r="86" spans="21:27" x14ac:dyDescent="0.2">
      <c r="U86" s="155"/>
      <c r="V86" s="155"/>
      <c r="W86" s="155"/>
      <c r="X86" s="155"/>
      <c r="Y86" s="155"/>
      <c r="Z86" s="155"/>
      <c r="AA86" s="155"/>
    </row>
    <row r="87" spans="21:27" x14ac:dyDescent="0.2">
      <c r="U87" s="155"/>
      <c r="V87" s="155"/>
      <c r="W87" s="155"/>
      <c r="X87" s="155"/>
      <c r="Y87" s="155"/>
      <c r="Z87" s="155"/>
      <c r="AA87" s="155"/>
    </row>
  </sheetData>
  <mergeCells count="230">
    <mergeCell ref="DJ19:DJ23"/>
    <mergeCell ref="DL19:DL23"/>
    <mergeCell ref="DN19:DN23"/>
    <mergeCell ref="DC14:DN14"/>
    <mergeCell ref="BQ17:BQ18"/>
    <mergeCell ref="BR17:BT17"/>
    <mergeCell ref="BU17:BW17"/>
    <mergeCell ref="BX17:BZ17"/>
    <mergeCell ref="DB19:DB23"/>
    <mergeCell ref="DC15:DD17"/>
    <mergeCell ref="DI15:DJ17"/>
    <mergeCell ref="DK15:DL17"/>
    <mergeCell ref="CY15:DB17"/>
    <mergeCell ref="DM15:DN17"/>
    <mergeCell ref="DE15:DF17"/>
    <mergeCell ref="DG15:DH17"/>
    <mergeCell ref="CM14:DB14"/>
    <mergeCell ref="CK14:CL14"/>
    <mergeCell ref="BW19:BW23"/>
    <mergeCell ref="BZ19:BZ23"/>
    <mergeCell ref="CJ19:CJ23"/>
    <mergeCell ref="CL19:CL23"/>
    <mergeCell ref="BQ15:CJ15"/>
    <mergeCell ref="CT19:CT23"/>
    <mergeCell ref="AX41:AZ43"/>
    <mergeCell ref="I5:K5"/>
    <mergeCell ref="L5:N5"/>
    <mergeCell ref="O5:Q5"/>
    <mergeCell ref="AV5:AX5"/>
    <mergeCell ref="R19:R23"/>
    <mergeCell ref="G39:J39"/>
    <mergeCell ref="CG19:CG23"/>
    <mergeCell ref="CD19:CD23"/>
    <mergeCell ref="CE17:CG17"/>
    <mergeCell ref="AQ16:AW16"/>
    <mergeCell ref="AU17:AW17"/>
    <mergeCell ref="BT19:BT23"/>
    <mergeCell ref="V28:V30"/>
    <mergeCell ref="AE28:AE30"/>
    <mergeCell ref="AF28:AF30"/>
    <mergeCell ref="AG28:AG30"/>
    <mergeCell ref="BB5:BD5"/>
    <mergeCell ref="AN28:AN30"/>
    <mergeCell ref="AE27:AN27"/>
    <mergeCell ref="W17:Z17"/>
    <mergeCell ref="AE17:AH17"/>
    <mergeCell ref="AM28:AM30"/>
    <mergeCell ref="AC28:AC30"/>
    <mergeCell ref="C5:E5"/>
    <mergeCell ref="F5:H5"/>
    <mergeCell ref="T28:T30"/>
    <mergeCell ref="AH19:AH23"/>
    <mergeCell ref="AL19:AL23"/>
    <mergeCell ref="AP19:AP23"/>
    <mergeCell ref="C28:L28"/>
    <mergeCell ref="C29:H29"/>
    <mergeCell ref="I29:J29"/>
    <mergeCell ref="AA16:AH16"/>
    <mergeCell ref="C15:AP15"/>
    <mergeCell ref="M28:Q28"/>
    <mergeCell ref="Y27:AD27"/>
    <mergeCell ref="AP27:AP30"/>
    <mergeCell ref="AD28:AD30"/>
    <mergeCell ref="Z19:Z23"/>
    <mergeCell ref="AD19:AD23"/>
    <mergeCell ref="AO27:AO30"/>
    <mergeCell ref="V19:V23"/>
    <mergeCell ref="O29:O30"/>
    <mergeCell ref="Q29:Q30"/>
    <mergeCell ref="S29:S30"/>
    <mergeCell ref="U27:X27"/>
    <mergeCell ref="U28:U30"/>
    <mergeCell ref="B1:CH2"/>
    <mergeCell ref="AY4:BA4"/>
    <mergeCell ref="C4:AF4"/>
    <mergeCell ref="BP3:BS3"/>
    <mergeCell ref="G17:J17"/>
    <mergeCell ref="K17:N17"/>
    <mergeCell ref="R5:T5"/>
    <mergeCell ref="U5:W5"/>
    <mergeCell ref="X5:Z5"/>
    <mergeCell ref="AA5:AC5"/>
    <mergeCell ref="AD5:AF5"/>
    <mergeCell ref="AG5:AI5"/>
    <mergeCell ref="AM5:AO5"/>
    <mergeCell ref="BQ16:BZ16"/>
    <mergeCell ref="CH17:CJ17"/>
    <mergeCell ref="O17:R17"/>
    <mergeCell ref="AA17:AD17"/>
    <mergeCell ref="CB17:CD17"/>
    <mergeCell ref="AX16:BA16"/>
    <mergeCell ref="AX17:AX18"/>
    <mergeCell ref="AY17:BA17"/>
    <mergeCell ref="AR17:AT17"/>
    <mergeCell ref="AQ17:AQ18"/>
    <mergeCell ref="BQ5:BS5"/>
    <mergeCell ref="B39:B40"/>
    <mergeCell ref="B14:B18"/>
    <mergeCell ref="F19:F23"/>
    <mergeCell ref="J19:J23"/>
    <mergeCell ref="N19:N23"/>
    <mergeCell ref="K39:N39"/>
    <mergeCell ref="K29:L29"/>
    <mergeCell ref="M29:M30"/>
    <mergeCell ref="B27:B30"/>
    <mergeCell ref="C16:Z16"/>
    <mergeCell ref="O39:Z39"/>
    <mergeCell ref="CJ3:CM3"/>
    <mergeCell ref="CI4:DL4"/>
    <mergeCell ref="CI5:CK5"/>
    <mergeCell ref="CL5:CN5"/>
    <mergeCell ref="CO5:CQ5"/>
    <mergeCell ref="CR5:CT5"/>
    <mergeCell ref="CU5:CW5"/>
    <mergeCell ref="CX5:CZ5"/>
    <mergeCell ref="DA5:DC5"/>
    <mergeCell ref="DD5:DF5"/>
    <mergeCell ref="DG5:DI5"/>
    <mergeCell ref="DJ5:DL5"/>
    <mergeCell ref="DD19:DD23"/>
    <mergeCell ref="DF19:DF23"/>
    <mergeCell ref="DH19:DH23"/>
    <mergeCell ref="B13:CX13"/>
    <mergeCell ref="AM17:AP17"/>
    <mergeCell ref="AI16:AP16"/>
    <mergeCell ref="AI17:AL17"/>
    <mergeCell ref="CP19:CP23"/>
    <mergeCell ref="C17:F17"/>
    <mergeCell ref="C14:BR14"/>
    <mergeCell ref="S17:V17"/>
    <mergeCell ref="BM16:BP16"/>
    <mergeCell ref="BM17:BM18"/>
    <mergeCell ref="CQ15:CT17"/>
    <mergeCell ref="CK15:CL17"/>
    <mergeCell ref="BC17:BE17"/>
    <mergeCell ref="BF17:BH17"/>
    <mergeCell ref="BL19:BL23"/>
    <mergeCell ref="BH19:BH23"/>
    <mergeCell ref="CA17:CA18"/>
    <mergeCell ref="CA16:CJ16"/>
    <mergeCell ref="CM15:CP17"/>
    <mergeCell ref="CU15:CX17"/>
    <mergeCell ref="CX19:CX23"/>
    <mergeCell ref="CF5:CH5"/>
    <mergeCell ref="BW5:BY5"/>
    <mergeCell ref="BZ5:CB5"/>
    <mergeCell ref="CC5:CE5"/>
    <mergeCell ref="BA19:BA23"/>
    <mergeCell ref="BB16:BH16"/>
    <mergeCell ref="BB17:BB18"/>
    <mergeCell ref="BT5:BV5"/>
    <mergeCell ref="AG4:AU4"/>
    <mergeCell ref="AW19:AW23"/>
    <mergeCell ref="AV4:AX4"/>
    <mergeCell ref="BE5:BG5"/>
    <mergeCell ref="BH5:BJ5"/>
    <mergeCell ref="BK5:BM5"/>
    <mergeCell ref="BE4:BP4"/>
    <mergeCell ref="BB4:BD4"/>
    <mergeCell ref="BQ4:CH4"/>
    <mergeCell ref="AP5:AR5"/>
    <mergeCell ref="AS5:AU5"/>
    <mergeCell ref="BN17:BP17"/>
    <mergeCell ref="BP19:BP23"/>
    <mergeCell ref="AQ15:BP15"/>
    <mergeCell ref="BI16:BL16"/>
    <mergeCell ref="BI17:BI18"/>
    <mergeCell ref="BJ17:BL17"/>
    <mergeCell ref="BN5:BP5"/>
    <mergeCell ref="AY5:BA5"/>
    <mergeCell ref="BE19:BE23"/>
    <mergeCell ref="AT19:AT23"/>
    <mergeCell ref="DO14:EH14"/>
    <mergeCell ref="DP19:DP23"/>
    <mergeCell ref="DQ15:DR17"/>
    <mergeCell ref="DS15:DT17"/>
    <mergeCell ref="DR19:DR23"/>
    <mergeCell ref="DT19:DT23"/>
    <mergeCell ref="DV19:DV23"/>
    <mergeCell ref="DU15:DV17"/>
    <mergeCell ref="DW15:DX17"/>
    <mergeCell ref="DX19:DX23"/>
    <mergeCell ref="DY15:DZ17"/>
    <mergeCell ref="DZ19:DZ23"/>
    <mergeCell ref="EB19:EB23"/>
    <mergeCell ref="EA15:EB17"/>
    <mergeCell ref="EC15:ED17"/>
    <mergeCell ref="ED19:ED23"/>
    <mergeCell ref="EE15:EF17"/>
    <mergeCell ref="DO15:DP17"/>
    <mergeCell ref="EF19:EF23"/>
    <mergeCell ref="EG15:EH17"/>
    <mergeCell ref="EH19:EH23"/>
    <mergeCell ref="C61:H61"/>
    <mergeCell ref="C62:C64"/>
    <mergeCell ref="D62:D64"/>
    <mergeCell ref="E62:E64"/>
    <mergeCell ref="F62:F64"/>
    <mergeCell ref="G62:G64"/>
    <mergeCell ref="H62:H64"/>
    <mergeCell ref="AK28:AK30"/>
    <mergeCell ref="AL28:AL30"/>
    <mergeCell ref="N29:N30"/>
    <mergeCell ref="P29:P30"/>
    <mergeCell ref="C39:F39"/>
    <mergeCell ref="R28:S28"/>
    <mergeCell ref="R29:R30"/>
    <mergeCell ref="W28:W30"/>
    <mergeCell ref="X28:X30"/>
    <mergeCell ref="Y28:Y30"/>
    <mergeCell ref="AH28:AH30"/>
    <mergeCell ref="AI28:AI30"/>
    <mergeCell ref="AJ28:AJ30"/>
    <mergeCell ref="AA39:AT39"/>
    <mergeCell ref="Z28:Z30"/>
    <mergeCell ref="AA28:AA30"/>
    <mergeCell ref="AB28:AB30"/>
    <mergeCell ref="AV39:AV40"/>
    <mergeCell ref="I62:I64"/>
    <mergeCell ref="J62:J64"/>
    <mergeCell ref="K62:K64"/>
    <mergeCell ref="L62:L64"/>
    <mergeCell ref="M62:M64"/>
    <mergeCell ref="N62:N64"/>
    <mergeCell ref="O62:O64"/>
    <mergeCell ref="P62:P64"/>
    <mergeCell ref="Q62:Q64"/>
    <mergeCell ref="R62:R64"/>
    <mergeCell ref="I61:R61"/>
    <mergeCell ref="AU39:AU40"/>
  </mergeCells>
  <phoneticPr fontId="9" type="noConversion"/>
  <pageMargins left="0.25" right="0.25" top="0.75" bottom="0.75" header="0.3" footer="0.3"/>
  <pageSetup paperSize="9" fitToWidth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EI87"/>
  <sheetViews>
    <sheetView zoomScale="70" zoomScaleNormal="70" workbookViewId="0">
      <pane xSplit="2" topLeftCell="C1" activePane="topRight" state="frozenSplit"/>
      <selection pane="topRight" activeCell="B1" sqref="B1:CH2"/>
    </sheetView>
  </sheetViews>
  <sheetFormatPr baseColWidth="10" defaultColWidth="11.5" defaultRowHeight="15" x14ac:dyDescent="0.2"/>
  <cols>
    <col min="9" max="9" width="12.5" bestFit="1" customWidth="1"/>
    <col min="22" max="22" width="13" customWidth="1"/>
    <col min="24" max="24" width="13.83203125" customWidth="1"/>
  </cols>
  <sheetData>
    <row r="1" spans="1:139" ht="15" customHeight="1" x14ac:dyDescent="0.2">
      <c r="A1" s="6"/>
      <c r="B1" s="404" t="s">
        <v>299</v>
      </c>
      <c r="C1" s="404"/>
      <c r="D1" s="404"/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  <c r="Z1" s="404"/>
      <c r="AA1" s="404"/>
      <c r="AB1" s="404"/>
      <c r="AC1" s="404"/>
      <c r="AD1" s="404"/>
      <c r="AE1" s="404"/>
      <c r="AF1" s="404"/>
      <c r="AG1" s="404"/>
      <c r="AH1" s="404"/>
      <c r="AI1" s="404"/>
      <c r="AJ1" s="404"/>
      <c r="AK1" s="404"/>
      <c r="AL1" s="404"/>
      <c r="AM1" s="404"/>
      <c r="AN1" s="404"/>
      <c r="AO1" s="404"/>
      <c r="AP1" s="404"/>
      <c r="AQ1" s="404"/>
      <c r="AR1" s="404"/>
      <c r="AS1" s="404"/>
      <c r="AT1" s="404"/>
      <c r="AU1" s="404"/>
      <c r="AV1" s="404"/>
      <c r="AW1" s="404"/>
      <c r="AX1" s="404"/>
      <c r="AY1" s="404"/>
      <c r="AZ1" s="404"/>
      <c r="BA1" s="404"/>
      <c r="BB1" s="404"/>
      <c r="BC1" s="404"/>
      <c r="BD1" s="404"/>
      <c r="BE1" s="404"/>
      <c r="BF1" s="404"/>
      <c r="BG1" s="404"/>
      <c r="BH1" s="404"/>
      <c r="BI1" s="404"/>
      <c r="BJ1" s="404"/>
      <c r="BK1" s="404"/>
      <c r="BL1" s="404"/>
      <c r="BM1" s="404"/>
      <c r="BN1" s="404"/>
      <c r="BO1" s="404"/>
      <c r="BP1" s="404"/>
      <c r="BQ1" s="404"/>
      <c r="BR1" s="404"/>
      <c r="BS1" s="404"/>
      <c r="BT1" s="404"/>
      <c r="BU1" s="404"/>
      <c r="BV1" s="404"/>
      <c r="BW1" s="404"/>
      <c r="BX1" s="404"/>
      <c r="BY1" s="404"/>
      <c r="BZ1" s="404"/>
      <c r="CA1" s="404"/>
      <c r="CB1" s="404"/>
      <c r="CC1" s="404"/>
      <c r="CD1" s="404"/>
      <c r="CE1" s="404"/>
      <c r="CF1" s="404"/>
      <c r="CG1" s="404"/>
      <c r="CH1" s="404"/>
    </row>
    <row r="2" spans="1:139" ht="15" customHeight="1" x14ac:dyDescent="0.2"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404"/>
      <c r="P2" s="404"/>
      <c r="Q2" s="404"/>
      <c r="R2" s="404"/>
      <c r="S2" s="404"/>
      <c r="T2" s="404"/>
      <c r="U2" s="404"/>
      <c r="V2" s="404"/>
      <c r="W2" s="404"/>
      <c r="X2" s="404"/>
      <c r="Y2" s="404"/>
      <c r="Z2" s="404"/>
      <c r="AA2" s="404"/>
      <c r="AB2" s="404"/>
      <c r="AC2" s="404"/>
      <c r="AD2" s="404"/>
      <c r="AE2" s="404"/>
      <c r="AF2" s="404"/>
      <c r="AG2" s="404"/>
      <c r="AH2" s="404"/>
      <c r="AI2" s="404"/>
      <c r="AJ2" s="404"/>
      <c r="AK2" s="404"/>
      <c r="AL2" s="404"/>
      <c r="AM2" s="404"/>
      <c r="AN2" s="404"/>
      <c r="AO2" s="404"/>
      <c r="AP2" s="404"/>
      <c r="AQ2" s="404"/>
      <c r="AR2" s="404"/>
      <c r="AS2" s="404"/>
      <c r="AT2" s="404"/>
      <c r="AU2" s="404"/>
      <c r="AV2" s="404"/>
      <c r="AW2" s="404"/>
      <c r="AX2" s="404"/>
      <c r="AY2" s="404"/>
      <c r="AZ2" s="404"/>
      <c r="BA2" s="404"/>
      <c r="BB2" s="404"/>
      <c r="BC2" s="404"/>
      <c r="BD2" s="404"/>
      <c r="BE2" s="404"/>
      <c r="BF2" s="404"/>
      <c r="BG2" s="404"/>
      <c r="BH2" s="404"/>
      <c r="BI2" s="404"/>
      <c r="BJ2" s="404"/>
      <c r="BK2" s="404"/>
      <c r="BL2" s="404"/>
      <c r="BM2" s="404"/>
      <c r="BN2" s="404"/>
      <c r="BO2" s="404"/>
      <c r="BP2" s="404"/>
      <c r="BQ2" s="404"/>
      <c r="BR2" s="404"/>
      <c r="BS2" s="404"/>
      <c r="BT2" s="404"/>
      <c r="BU2" s="404"/>
      <c r="BV2" s="404"/>
      <c r="BW2" s="404"/>
      <c r="BX2" s="404"/>
      <c r="BY2" s="404"/>
      <c r="BZ2" s="404"/>
      <c r="CA2" s="404"/>
      <c r="CB2" s="404"/>
      <c r="CC2" s="404"/>
      <c r="CD2" s="404"/>
      <c r="CE2" s="404"/>
      <c r="CF2" s="404"/>
      <c r="CG2" s="404"/>
      <c r="CH2" s="404"/>
    </row>
    <row r="3" spans="1:139" ht="15" customHeight="1" thickBot="1" x14ac:dyDescent="0.45">
      <c r="B3" s="20" t="s">
        <v>28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389"/>
      <c r="BQ3" s="389"/>
      <c r="BR3" s="389"/>
      <c r="BS3" s="389"/>
      <c r="BT3" s="195"/>
      <c r="BU3" s="195"/>
      <c r="BV3" s="195"/>
      <c r="BW3" s="195"/>
      <c r="BX3" s="195"/>
      <c r="BY3" s="195"/>
      <c r="BZ3" s="195"/>
      <c r="CA3" s="195"/>
      <c r="CB3" s="195"/>
      <c r="CC3" s="195"/>
      <c r="CD3" s="195"/>
      <c r="CE3" s="195"/>
      <c r="CF3" s="196"/>
      <c r="CG3" s="196"/>
      <c r="CH3" s="196"/>
      <c r="CI3" s="196"/>
      <c r="CJ3" s="389"/>
      <c r="CK3" s="389"/>
      <c r="CL3" s="389"/>
      <c r="CM3" s="389"/>
      <c r="CN3" s="195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</row>
    <row r="4" spans="1:139" ht="15" customHeight="1" thickBot="1" x14ac:dyDescent="0.45">
      <c r="B4" s="11"/>
      <c r="C4" s="337" t="s">
        <v>29</v>
      </c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/>
      <c r="S4" s="338"/>
      <c r="T4" s="338"/>
      <c r="U4" s="338"/>
      <c r="V4" s="338"/>
      <c r="W4" s="338"/>
      <c r="X4" s="338"/>
      <c r="Y4" s="338"/>
      <c r="Z4" s="338"/>
      <c r="AA4" s="338"/>
      <c r="AB4" s="338"/>
      <c r="AC4" s="338"/>
      <c r="AD4" s="338"/>
      <c r="AE4" s="338"/>
      <c r="AF4" s="339"/>
      <c r="AG4" s="337" t="s">
        <v>30</v>
      </c>
      <c r="AH4" s="338"/>
      <c r="AI4" s="338"/>
      <c r="AJ4" s="338"/>
      <c r="AK4" s="338"/>
      <c r="AL4" s="338"/>
      <c r="AM4" s="338"/>
      <c r="AN4" s="338"/>
      <c r="AO4" s="338"/>
      <c r="AP4" s="338"/>
      <c r="AQ4" s="338"/>
      <c r="AR4" s="338"/>
      <c r="AS4" s="338"/>
      <c r="AT4" s="338"/>
      <c r="AU4" s="339"/>
      <c r="AV4" s="337" t="s">
        <v>31</v>
      </c>
      <c r="AW4" s="338"/>
      <c r="AX4" s="340"/>
      <c r="AY4" s="405" t="s">
        <v>31</v>
      </c>
      <c r="AZ4" s="338"/>
      <c r="BA4" s="339"/>
      <c r="BB4" s="345" t="s">
        <v>32</v>
      </c>
      <c r="BC4" s="346"/>
      <c r="BD4" s="347"/>
      <c r="BE4" s="342" t="s">
        <v>33</v>
      </c>
      <c r="BF4" s="343"/>
      <c r="BG4" s="343"/>
      <c r="BH4" s="343"/>
      <c r="BI4" s="343"/>
      <c r="BJ4" s="343"/>
      <c r="BK4" s="343"/>
      <c r="BL4" s="343"/>
      <c r="BM4" s="343"/>
      <c r="BN4" s="343"/>
      <c r="BO4" s="343"/>
      <c r="BP4" s="344"/>
      <c r="BQ4" s="348" t="s">
        <v>34</v>
      </c>
      <c r="BR4" s="349"/>
      <c r="BS4" s="349"/>
      <c r="BT4" s="349"/>
      <c r="BU4" s="349"/>
      <c r="BV4" s="349"/>
      <c r="BW4" s="349"/>
      <c r="BX4" s="349"/>
      <c r="BY4" s="349"/>
      <c r="BZ4" s="349"/>
      <c r="CA4" s="349"/>
      <c r="CB4" s="349"/>
      <c r="CC4" s="349"/>
      <c r="CD4" s="349"/>
      <c r="CE4" s="349"/>
      <c r="CF4" s="349"/>
      <c r="CG4" s="349"/>
      <c r="CH4" s="350"/>
      <c r="CI4" s="390" t="s">
        <v>34</v>
      </c>
      <c r="CJ4" s="349"/>
      <c r="CK4" s="349"/>
      <c r="CL4" s="349"/>
      <c r="CM4" s="349"/>
      <c r="CN4" s="349"/>
      <c r="CO4" s="349"/>
      <c r="CP4" s="349"/>
      <c r="CQ4" s="349"/>
      <c r="CR4" s="349"/>
      <c r="CS4" s="349"/>
      <c r="CT4" s="349"/>
      <c r="CU4" s="349"/>
      <c r="CV4" s="349"/>
      <c r="CW4" s="349"/>
      <c r="CX4" s="349"/>
      <c r="CY4" s="349"/>
      <c r="CZ4" s="349"/>
      <c r="DA4" s="349"/>
      <c r="DB4" s="349"/>
      <c r="DC4" s="349"/>
      <c r="DD4" s="349"/>
      <c r="DE4" s="349"/>
      <c r="DF4" s="349"/>
      <c r="DG4" s="349"/>
      <c r="DH4" s="349"/>
      <c r="DI4" s="349"/>
      <c r="DJ4" s="349"/>
      <c r="DK4" s="349"/>
      <c r="DL4" s="391"/>
    </row>
    <row r="5" spans="1:139" s="59" customFormat="1" ht="36.75" customHeight="1" x14ac:dyDescent="0.2">
      <c r="B5" s="60"/>
      <c r="C5" s="406" t="s">
        <v>35</v>
      </c>
      <c r="D5" s="308"/>
      <c r="E5" s="308"/>
      <c r="F5" s="308" t="s">
        <v>36</v>
      </c>
      <c r="G5" s="308"/>
      <c r="H5" s="308"/>
      <c r="I5" s="308" t="s">
        <v>37</v>
      </c>
      <c r="J5" s="308"/>
      <c r="K5" s="308"/>
      <c r="L5" s="308" t="s">
        <v>38</v>
      </c>
      <c r="M5" s="308"/>
      <c r="N5" s="308"/>
      <c r="O5" s="308" t="s">
        <v>39</v>
      </c>
      <c r="P5" s="308"/>
      <c r="Q5" s="308"/>
      <c r="R5" s="308" t="s">
        <v>40</v>
      </c>
      <c r="S5" s="308"/>
      <c r="T5" s="308"/>
      <c r="U5" s="308" t="s">
        <v>41</v>
      </c>
      <c r="V5" s="308"/>
      <c r="W5" s="308"/>
      <c r="X5" s="308" t="s">
        <v>42</v>
      </c>
      <c r="Y5" s="308"/>
      <c r="Z5" s="308"/>
      <c r="AA5" s="308" t="s">
        <v>43</v>
      </c>
      <c r="AB5" s="308"/>
      <c r="AC5" s="308"/>
      <c r="AD5" s="308" t="s">
        <v>44</v>
      </c>
      <c r="AE5" s="308"/>
      <c r="AF5" s="309"/>
      <c r="AG5" s="406" t="s">
        <v>45</v>
      </c>
      <c r="AH5" s="308"/>
      <c r="AI5" s="308"/>
      <c r="AJ5" s="2"/>
      <c r="AK5" s="2" t="s">
        <v>46</v>
      </c>
      <c r="AL5" s="2"/>
      <c r="AM5" s="308" t="s">
        <v>47</v>
      </c>
      <c r="AN5" s="308"/>
      <c r="AO5" s="308"/>
      <c r="AP5" s="308" t="s">
        <v>48</v>
      </c>
      <c r="AQ5" s="308"/>
      <c r="AR5" s="308"/>
      <c r="AS5" s="308" t="s">
        <v>49</v>
      </c>
      <c r="AT5" s="308"/>
      <c r="AU5" s="309"/>
      <c r="AV5" s="406" t="s">
        <v>50</v>
      </c>
      <c r="AW5" s="308"/>
      <c r="AX5" s="308"/>
      <c r="AY5" s="308" t="s">
        <v>51</v>
      </c>
      <c r="AZ5" s="308"/>
      <c r="BA5" s="309"/>
      <c r="BB5" s="420" t="s">
        <v>52</v>
      </c>
      <c r="BC5" s="421"/>
      <c r="BD5" s="422"/>
      <c r="BE5" s="341" t="s">
        <v>53</v>
      </c>
      <c r="BF5" s="306"/>
      <c r="BG5" s="306"/>
      <c r="BH5" s="306" t="s">
        <v>54</v>
      </c>
      <c r="BI5" s="306"/>
      <c r="BJ5" s="306"/>
      <c r="BK5" s="306" t="s">
        <v>55</v>
      </c>
      <c r="BL5" s="306"/>
      <c r="BM5" s="306"/>
      <c r="BN5" s="306" t="s">
        <v>56</v>
      </c>
      <c r="BO5" s="306"/>
      <c r="BP5" s="307"/>
      <c r="BQ5" s="331" t="s">
        <v>291</v>
      </c>
      <c r="BR5" s="332"/>
      <c r="BS5" s="333"/>
      <c r="BT5" s="331" t="s">
        <v>292</v>
      </c>
      <c r="BU5" s="332"/>
      <c r="BV5" s="333"/>
      <c r="BW5" s="331"/>
      <c r="BX5" s="332"/>
      <c r="BY5" s="333"/>
      <c r="BZ5" s="331"/>
      <c r="CA5" s="332"/>
      <c r="CB5" s="333"/>
      <c r="CC5" s="331"/>
      <c r="CD5" s="332"/>
      <c r="CE5" s="333"/>
      <c r="CF5" s="331"/>
      <c r="CG5" s="332"/>
      <c r="CH5" s="333"/>
      <c r="CI5" s="392" t="s">
        <v>58</v>
      </c>
      <c r="CJ5" s="393"/>
      <c r="CK5" s="394"/>
      <c r="CL5" s="392" t="s">
        <v>59</v>
      </c>
      <c r="CM5" s="393"/>
      <c r="CN5" s="394"/>
      <c r="CO5" s="392" t="s">
        <v>60</v>
      </c>
      <c r="CP5" s="393"/>
      <c r="CQ5" s="394"/>
      <c r="CR5" s="392" t="s">
        <v>61</v>
      </c>
      <c r="CS5" s="393"/>
      <c r="CT5" s="394"/>
      <c r="CU5" s="392" t="s">
        <v>62</v>
      </c>
      <c r="CV5" s="393"/>
      <c r="CW5" s="394"/>
      <c r="CX5" s="395" t="s">
        <v>63</v>
      </c>
      <c r="CY5" s="396"/>
      <c r="CZ5" s="397"/>
      <c r="DA5" s="392" t="s">
        <v>64</v>
      </c>
      <c r="DB5" s="393"/>
      <c r="DC5" s="394"/>
      <c r="DD5" s="392" t="s">
        <v>65</v>
      </c>
      <c r="DE5" s="393"/>
      <c r="DF5" s="394"/>
      <c r="DG5" s="395" t="s">
        <v>66</v>
      </c>
      <c r="DH5" s="396"/>
      <c r="DI5" s="397"/>
      <c r="DJ5" s="392" t="s">
        <v>67</v>
      </c>
      <c r="DK5" s="393"/>
      <c r="DL5" s="394"/>
    </row>
    <row r="6" spans="1:139" ht="33.75" customHeight="1" thickBot="1" x14ac:dyDescent="0.25">
      <c r="B6" s="17"/>
      <c r="C6" s="227" t="s">
        <v>68</v>
      </c>
      <c r="D6" s="228" t="s">
        <v>69</v>
      </c>
      <c r="E6" s="228" t="s">
        <v>70</v>
      </c>
      <c r="F6" s="228" t="s">
        <v>68</v>
      </c>
      <c r="G6" s="228" t="s">
        <v>69</v>
      </c>
      <c r="H6" s="228" t="s">
        <v>70</v>
      </c>
      <c r="I6" s="228" t="s">
        <v>68</v>
      </c>
      <c r="J6" s="228" t="s">
        <v>69</v>
      </c>
      <c r="K6" s="228" t="s">
        <v>70</v>
      </c>
      <c r="L6" s="228" t="s">
        <v>68</v>
      </c>
      <c r="M6" s="228" t="s">
        <v>69</v>
      </c>
      <c r="N6" s="228" t="s">
        <v>70</v>
      </c>
      <c r="O6" s="228" t="s">
        <v>68</v>
      </c>
      <c r="P6" s="228" t="s">
        <v>69</v>
      </c>
      <c r="Q6" s="228" t="s">
        <v>70</v>
      </c>
      <c r="R6" s="228" t="s">
        <v>68</v>
      </c>
      <c r="S6" s="228" t="s">
        <v>69</v>
      </c>
      <c r="T6" s="228" t="s">
        <v>70</v>
      </c>
      <c r="U6" s="228" t="s">
        <v>68</v>
      </c>
      <c r="V6" s="228" t="s">
        <v>69</v>
      </c>
      <c r="W6" s="228" t="s">
        <v>70</v>
      </c>
      <c r="X6" s="228" t="s">
        <v>68</v>
      </c>
      <c r="Y6" s="228" t="s">
        <v>69</v>
      </c>
      <c r="Z6" s="228" t="s">
        <v>70</v>
      </c>
      <c r="AA6" s="228" t="s">
        <v>68</v>
      </c>
      <c r="AB6" s="228" t="s">
        <v>69</v>
      </c>
      <c r="AC6" s="228" t="s">
        <v>70</v>
      </c>
      <c r="AD6" s="228" t="s">
        <v>68</v>
      </c>
      <c r="AE6" s="228" t="s">
        <v>69</v>
      </c>
      <c r="AF6" s="229" t="s">
        <v>70</v>
      </c>
      <c r="AG6" s="227" t="s">
        <v>68</v>
      </c>
      <c r="AH6" s="228" t="s">
        <v>69</v>
      </c>
      <c r="AI6" s="228" t="s">
        <v>70</v>
      </c>
      <c r="AJ6" s="228" t="s">
        <v>68</v>
      </c>
      <c r="AK6" s="228" t="s">
        <v>69</v>
      </c>
      <c r="AL6" s="228" t="s">
        <v>70</v>
      </c>
      <c r="AM6" s="228" t="s">
        <v>68</v>
      </c>
      <c r="AN6" s="228" t="s">
        <v>69</v>
      </c>
      <c r="AO6" s="228" t="s">
        <v>70</v>
      </c>
      <c r="AP6" s="228" t="s">
        <v>68</v>
      </c>
      <c r="AQ6" s="228" t="s">
        <v>69</v>
      </c>
      <c r="AR6" s="228" t="s">
        <v>70</v>
      </c>
      <c r="AS6" s="228" t="s">
        <v>68</v>
      </c>
      <c r="AT6" s="228" t="s">
        <v>69</v>
      </c>
      <c r="AU6" s="229" t="s">
        <v>70</v>
      </c>
      <c r="AV6" s="227" t="s">
        <v>68</v>
      </c>
      <c r="AW6" s="228" t="s">
        <v>69</v>
      </c>
      <c r="AX6" s="228" t="s">
        <v>70</v>
      </c>
      <c r="AY6" s="228" t="s">
        <v>68</v>
      </c>
      <c r="AZ6" s="228" t="s">
        <v>69</v>
      </c>
      <c r="BA6" s="229" t="s">
        <v>70</v>
      </c>
      <c r="BB6" s="227" t="s">
        <v>68</v>
      </c>
      <c r="BC6" s="228" t="s">
        <v>69</v>
      </c>
      <c r="BD6" s="229" t="s">
        <v>70</v>
      </c>
      <c r="BE6" s="227" t="s">
        <v>68</v>
      </c>
      <c r="BF6" s="228" t="s">
        <v>69</v>
      </c>
      <c r="BG6" s="228" t="s">
        <v>70</v>
      </c>
      <c r="BH6" s="228" t="s">
        <v>68</v>
      </c>
      <c r="BI6" s="228" t="s">
        <v>69</v>
      </c>
      <c r="BJ6" s="228" t="s">
        <v>70</v>
      </c>
      <c r="BK6" s="228" t="s">
        <v>68</v>
      </c>
      <c r="BL6" s="228" t="s">
        <v>69</v>
      </c>
      <c r="BM6" s="228" t="s">
        <v>70</v>
      </c>
      <c r="BN6" s="228" t="s">
        <v>68</v>
      </c>
      <c r="BO6" s="228" t="s">
        <v>69</v>
      </c>
      <c r="BP6" s="233" t="s">
        <v>70</v>
      </c>
      <c r="BQ6" s="227" t="s">
        <v>68</v>
      </c>
      <c r="BR6" s="228" t="s">
        <v>69</v>
      </c>
      <c r="BS6" s="229" t="s">
        <v>70</v>
      </c>
      <c r="BT6" s="227" t="s">
        <v>68</v>
      </c>
      <c r="BU6" s="228" t="s">
        <v>69</v>
      </c>
      <c r="BV6" s="229" t="s">
        <v>70</v>
      </c>
      <c r="BW6" s="227" t="s">
        <v>68</v>
      </c>
      <c r="BX6" s="228" t="s">
        <v>69</v>
      </c>
      <c r="BY6" s="229" t="s">
        <v>70</v>
      </c>
      <c r="BZ6" s="227" t="s">
        <v>68</v>
      </c>
      <c r="CA6" s="228" t="s">
        <v>69</v>
      </c>
      <c r="CB6" s="229" t="s">
        <v>70</v>
      </c>
      <c r="CC6" s="227" t="s">
        <v>68</v>
      </c>
      <c r="CD6" s="228" t="s">
        <v>69</v>
      </c>
      <c r="CE6" s="229" t="s">
        <v>70</v>
      </c>
      <c r="CF6" s="227" t="s">
        <v>68</v>
      </c>
      <c r="CG6" s="228" t="s">
        <v>69</v>
      </c>
      <c r="CH6" s="229" t="s">
        <v>70</v>
      </c>
      <c r="CI6" s="227" t="s">
        <v>71</v>
      </c>
      <c r="CJ6" s="228" t="s">
        <v>72</v>
      </c>
      <c r="CK6" s="229" t="s">
        <v>73</v>
      </c>
      <c r="CL6" s="227" t="s">
        <v>71</v>
      </c>
      <c r="CM6" s="228" t="s">
        <v>72</v>
      </c>
      <c r="CN6" s="229" t="s">
        <v>73</v>
      </c>
      <c r="CO6" s="227" t="s">
        <v>71</v>
      </c>
      <c r="CP6" s="228" t="s">
        <v>72</v>
      </c>
      <c r="CQ6" s="229" t="s">
        <v>73</v>
      </c>
      <c r="CR6" s="227" t="s">
        <v>71</v>
      </c>
      <c r="CS6" s="228" t="s">
        <v>72</v>
      </c>
      <c r="CT6" s="229" t="s">
        <v>73</v>
      </c>
      <c r="CU6" s="227" t="s">
        <v>71</v>
      </c>
      <c r="CV6" s="228" t="s">
        <v>72</v>
      </c>
      <c r="CW6" s="229" t="s">
        <v>73</v>
      </c>
      <c r="CX6" s="227" t="s">
        <v>71</v>
      </c>
      <c r="CY6" s="228" t="s">
        <v>72</v>
      </c>
      <c r="CZ6" s="229" t="s">
        <v>73</v>
      </c>
      <c r="DA6" s="227" t="s">
        <v>71</v>
      </c>
      <c r="DB6" s="228" t="s">
        <v>72</v>
      </c>
      <c r="DC6" s="229" t="s">
        <v>73</v>
      </c>
      <c r="DD6" s="227" t="s">
        <v>71</v>
      </c>
      <c r="DE6" s="228" t="s">
        <v>72</v>
      </c>
      <c r="DF6" s="229" t="s">
        <v>73</v>
      </c>
      <c r="DG6" s="227" t="s">
        <v>71</v>
      </c>
      <c r="DH6" s="228" t="s">
        <v>72</v>
      </c>
      <c r="DI6" s="229" t="s">
        <v>73</v>
      </c>
      <c r="DJ6" s="227" t="s">
        <v>71</v>
      </c>
      <c r="DK6" s="228" t="s">
        <v>72</v>
      </c>
      <c r="DL6" s="229" t="s">
        <v>73</v>
      </c>
      <c r="EI6" s="61"/>
    </row>
    <row r="7" spans="1:139" x14ac:dyDescent="0.2">
      <c r="B7" s="23" t="s">
        <v>74</v>
      </c>
      <c r="C7" s="230">
        <v>0</v>
      </c>
      <c r="D7" s="231">
        <v>0</v>
      </c>
      <c r="E7" s="231">
        <v>0</v>
      </c>
      <c r="F7" s="231">
        <v>12967.395614926672</v>
      </c>
      <c r="G7" s="231">
        <v>0</v>
      </c>
      <c r="H7" s="231">
        <v>0</v>
      </c>
      <c r="I7" s="231">
        <v>0</v>
      </c>
      <c r="J7" s="231">
        <v>0</v>
      </c>
      <c r="K7" s="231">
        <v>0</v>
      </c>
      <c r="L7" s="231">
        <v>0</v>
      </c>
      <c r="M7" s="231">
        <v>0</v>
      </c>
      <c r="N7" s="231">
        <v>0</v>
      </c>
      <c r="O7" s="231">
        <v>12175.269638449252</v>
      </c>
      <c r="P7" s="231">
        <v>0</v>
      </c>
      <c r="Q7" s="231">
        <v>0</v>
      </c>
      <c r="R7" s="231">
        <v>0</v>
      </c>
      <c r="S7" s="231">
        <v>0</v>
      </c>
      <c r="T7" s="231">
        <v>0</v>
      </c>
      <c r="U7" s="231">
        <v>0</v>
      </c>
      <c r="V7" s="231">
        <v>0</v>
      </c>
      <c r="W7" s="231">
        <v>0</v>
      </c>
      <c r="X7" s="231">
        <v>0</v>
      </c>
      <c r="Y7" s="231">
        <v>0</v>
      </c>
      <c r="Z7" s="231">
        <v>0</v>
      </c>
      <c r="AA7" s="231">
        <v>0</v>
      </c>
      <c r="AB7" s="231">
        <v>0</v>
      </c>
      <c r="AC7" s="231">
        <v>0</v>
      </c>
      <c r="AD7" s="231">
        <v>0</v>
      </c>
      <c r="AE7" s="231">
        <v>0</v>
      </c>
      <c r="AF7" s="231">
        <v>0</v>
      </c>
      <c r="AG7" s="231">
        <v>0</v>
      </c>
      <c r="AH7" s="231">
        <v>0</v>
      </c>
      <c r="AI7" s="231">
        <v>0</v>
      </c>
      <c r="AJ7" s="231">
        <v>0</v>
      </c>
      <c r="AK7" s="231">
        <v>0</v>
      </c>
      <c r="AL7" s="231">
        <v>0</v>
      </c>
      <c r="AM7" s="231">
        <v>0</v>
      </c>
      <c r="AN7" s="231">
        <v>0</v>
      </c>
      <c r="AO7" s="231">
        <v>0</v>
      </c>
      <c r="AP7" s="231">
        <v>0</v>
      </c>
      <c r="AQ7" s="231">
        <v>0</v>
      </c>
      <c r="AR7" s="231">
        <v>0</v>
      </c>
      <c r="AS7" s="231">
        <v>0</v>
      </c>
      <c r="AT7" s="231">
        <v>0</v>
      </c>
      <c r="AU7" s="231">
        <v>0</v>
      </c>
      <c r="AV7" s="231">
        <v>0</v>
      </c>
      <c r="AW7" s="231">
        <v>0</v>
      </c>
      <c r="AX7" s="231">
        <v>0</v>
      </c>
      <c r="AY7" s="231">
        <v>0</v>
      </c>
      <c r="AZ7" s="231">
        <v>0</v>
      </c>
      <c r="BA7" s="231">
        <v>0</v>
      </c>
      <c r="BB7" s="231">
        <v>0</v>
      </c>
      <c r="BC7" s="231">
        <v>0</v>
      </c>
      <c r="BD7" s="231">
        <v>0</v>
      </c>
      <c r="BE7" s="231">
        <v>0</v>
      </c>
      <c r="BF7" s="231">
        <v>0</v>
      </c>
      <c r="BG7" s="231">
        <v>0</v>
      </c>
      <c r="BH7" s="231">
        <v>0</v>
      </c>
      <c r="BI7" s="231">
        <v>0</v>
      </c>
      <c r="BJ7" s="231">
        <v>0</v>
      </c>
      <c r="BK7" s="231">
        <v>0</v>
      </c>
      <c r="BL7" s="231">
        <v>0</v>
      </c>
      <c r="BM7" s="231">
        <v>0</v>
      </c>
      <c r="BN7" s="231">
        <v>0</v>
      </c>
      <c r="BO7" s="231">
        <v>0</v>
      </c>
      <c r="BP7" s="234">
        <v>0</v>
      </c>
      <c r="BQ7" s="230">
        <v>3600</v>
      </c>
      <c r="BR7" s="231">
        <v>0</v>
      </c>
      <c r="BS7" s="232">
        <v>0</v>
      </c>
      <c r="BT7" s="230">
        <v>5000</v>
      </c>
      <c r="BU7" s="231">
        <v>0</v>
      </c>
      <c r="BV7" s="232">
        <v>0</v>
      </c>
      <c r="BW7" s="230">
        <v>0</v>
      </c>
      <c r="BX7" s="231">
        <v>0</v>
      </c>
      <c r="BY7" s="232">
        <v>0</v>
      </c>
      <c r="BZ7" s="230">
        <v>0</v>
      </c>
      <c r="CA7" s="231">
        <v>0</v>
      </c>
      <c r="CB7" s="232">
        <v>0</v>
      </c>
      <c r="CC7" s="230">
        <v>0</v>
      </c>
      <c r="CD7" s="231">
        <v>0</v>
      </c>
      <c r="CE7" s="232">
        <v>0</v>
      </c>
      <c r="CF7" s="230">
        <v>0</v>
      </c>
      <c r="CG7" s="231">
        <v>0</v>
      </c>
      <c r="CH7" s="232">
        <v>0</v>
      </c>
      <c r="CI7" s="230">
        <v>0</v>
      </c>
      <c r="CJ7" s="231">
        <v>0</v>
      </c>
      <c r="CK7" s="232">
        <v>0</v>
      </c>
      <c r="CL7" s="230">
        <v>0</v>
      </c>
      <c r="CM7" s="231">
        <v>0</v>
      </c>
      <c r="CN7" s="232">
        <v>0</v>
      </c>
      <c r="CO7" s="230">
        <v>0</v>
      </c>
      <c r="CP7" s="231">
        <v>0</v>
      </c>
      <c r="CQ7" s="232">
        <v>0</v>
      </c>
      <c r="CR7" s="230">
        <v>0</v>
      </c>
      <c r="CS7" s="231">
        <v>0</v>
      </c>
      <c r="CT7" s="232">
        <v>0</v>
      </c>
      <c r="CU7" s="230">
        <v>0</v>
      </c>
      <c r="CV7" s="231">
        <v>0</v>
      </c>
      <c r="CW7" s="232">
        <v>0</v>
      </c>
      <c r="CX7" s="230">
        <v>0</v>
      </c>
      <c r="CY7" s="231">
        <v>0</v>
      </c>
      <c r="CZ7" s="232">
        <v>0</v>
      </c>
      <c r="DA7" s="230">
        <v>0</v>
      </c>
      <c r="DB7" s="231">
        <v>0</v>
      </c>
      <c r="DC7" s="232">
        <v>0</v>
      </c>
      <c r="DD7" s="230">
        <v>0</v>
      </c>
      <c r="DE7" s="231">
        <v>0</v>
      </c>
      <c r="DF7" s="232">
        <v>0</v>
      </c>
      <c r="DG7" s="230">
        <v>0</v>
      </c>
      <c r="DH7" s="231">
        <v>0</v>
      </c>
      <c r="DI7" s="232">
        <v>0</v>
      </c>
      <c r="DJ7" s="230">
        <v>0</v>
      </c>
      <c r="DK7" s="231">
        <v>0</v>
      </c>
      <c r="DL7" s="232">
        <v>0</v>
      </c>
      <c r="EI7" s="61"/>
    </row>
    <row r="8" spans="1:139" x14ac:dyDescent="0.2">
      <c r="B8" s="23" t="s">
        <v>75</v>
      </c>
      <c r="C8" s="110">
        <v>0</v>
      </c>
      <c r="D8" s="111">
        <v>0</v>
      </c>
      <c r="E8" s="111">
        <v>0</v>
      </c>
      <c r="F8" s="111">
        <v>12967.395614926672</v>
      </c>
      <c r="G8" s="111">
        <v>0</v>
      </c>
      <c r="H8" s="111">
        <v>0</v>
      </c>
      <c r="I8" s="111">
        <v>0</v>
      </c>
      <c r="J8" s="111">
        <v>0</v>
      </c>
      <c r="K8" s="111">
        <v>0</v>
      </c>
      <c r="L8" s="111">
        <v>0</v>
      </c>
      <c r="M8" s="111">
        <v>0</v>
      </c>
      <c r="N8" s="111">
        <v>0</v>
      </c>
      <c r="O8" s="111">
        <v>12175.269638449252</v>
      </c>
      <c r="P8" s="111">
        <v>0</v>
      </c>
      <c r="Q8" s="111">
        <v>0</v>
      </c>
      <c r="R8" s="111">
        <v>0</v>
      </c>
      <c r="S8" s="111">
        <v>0</v>
      </c>
      <c r="T8" s="111">
        <v>0</v>
      </c>
      <c r="U8" s="111">
        <v>0</v>
      </c>
      <c r="V8" s="111">
        <v>0</v>
      </c>
      <c r="W8" s="111">
        <v>0</v>
      </c>
      <c r="X8" s="111">
        <v>0</v>
      </c>
      <c r="Y8" s="111">
        <v>0</v>
      </c>
      <c r="Z8" s="111">
        <v>0</v>
      </c>
      <c r="AA8" s="111">
        <v>0</v>
      </c>
      <c r="AB8" s="111">
        <v>0</v>
      </c>
      <c r="AC8" s="111">
        <v>0</v>
      </c>
      <c r="AD8" s="111">
        <v>0</v>
      </c>
      <c r="AE8" s="111">
        <v>0</v>
      </c>
      <c r="AF8" s="111">
        <v>0</v>
      </c>
      <c r="AG8" s="111">
        <v>0</v>
      </c>
      <c r="AH8" s="111">
        <v>0</v>
      </c>
      <c r="AI8" s="111">
        <v>0</v>
      </c>
      <c r="AJ8" s="111">
        <v>0</v>
      </c>
      <c r="AK8" s="111">
        <v>0</v>
      </c>
      <c r="AL8" s="111">
        <v>0</v>
      </c>
      <c r="AM8" s="111">
        <v>0</v>
      </c>
      <c r="AN8" s="111">
        <v>0</v>
      </c>
      <c r="AO8" s="111">
        <v>0</v>
      </c>
      <c r="AP8" s="111">
        <v>0</v>
      </c>
      <c r="AQ8" s="111">
        <v>0</v>
      </c>
      <c r="AR8" s="111">
        <v>0</v>
      </c>
      <c r="AS8" s="111">
        <v>0</v>
      </c>
      <c r="AT8" s="111">
        <v>0</v>
      </c>
      <c r="AU8" s="111">
        <v>0</v>
      </c>
      <c r="AV8" s="111">
        <v>0</v>
      </c>
      <c r="AW8" s="111">
        <v>0</v>
      </c>
      <c r="AX8" s="111">
        <v>0</v>
      </c>
      <c r="AY8" s="111">
        <v>0</v>
      </c>
      <c r="AZ8" s="111">
        <v>0</v>
      </c>
      <c r="BA8" s="111">
        <v>0</v>
      </c>
      <c r="BB8" s="111">
        <v>0</v>
      </c>
      <c r="BC8" s="111">
        <v>0</v>
      </c>
      <c r="BD8" s="111">
        <v>0</v>
      </c>
      <c r="BE8" s="111">
        <v>0</v>
      </c>
      <c r="BF8" s="111">
        <v>0</v>
      </c>
      <c r="BG8" s="111">
        <v>0</v>
      </c>
      <c r="BH8" s="111">
        <v>0</v>
      </c>
      <c r="BI8" s="111">
        <v>0</v>
      </c>
      <c r="BJ8" s="111">
        <v>0</v>
      </c>
      <c r="BK8" s="111">
        <v>0</v>
      </c>
      <c r="BL8" s="111">
        <v>0</v>
      </c>
      <c r="BM8" s="111">
        <v>0</v>
      </c>
      <c r="BN8" s="111">
        <v>0</v>
      </c>
      <c r="BO8" s="111">
        <v>0</v>
      </c>
      <c r="BP8" s="235">
        <v>0</v>
      </c>
      <c r="BQ8" s="110">
        <v>3600</v>
      </c>
      <c r="BR8" s="111">
        <v>0</v>
      </c>
      <c r="BS8" s="112">
        <v>0</v>
      </c>
      <c r="BT8" s="110">
        <v>5000</v>
      </c>
      <c r="BU8" s="111">
        <v>0</v>
      </c>
      <c r="BV8" s="112">
        <v>0</v>
      </c>
      <c r="BW8" s="110">
        <v>0</v>
      </c>
      <c r="BX8" s="111">
        <v>0</v>
      </c>
      <c r="BY8" s="112">
        <v>0</v>
      </c>
      <c r="BZ8" s="110">
        <v>0</v>
      </c>
      <c r="CA8" s="111">
        <v>0</v>
      </c>
      <c r="CB8" s="112">
        <v>0</v>
      </c>
      <c r="CC8" s="110">
        <v>0</v>
      </c>
      <c r="CD8" s="111">
        <v>0</v>
      </c>
      <c r="CE8" s="112">
        <v>0</v>
      </c>
      <c r="CF8" s="110">
        <v>0</v>
      </c>
      <c r="CG8" s="111">
        <v>0</v>
      </c>
      <c r="CH8" s="112">
        <v>0</v>
      </c>
      <c r="CI8" s="110">
        <v>0</v>
      </c>
      <c r="CJ8" s="111">
        <v>0</v>
      </c>
      <c r="CK8" s="112">
        <v>0</v>
      </c>
      <c r="CL8" s="110">
        <v>0</v>
      </c>
      <c r="CM8" s="111">
        <v>0</v>
      </c>
      <c r="CN8" s="112">
        <v>0</v>
      </c>
      <c r="CO8" s="110">
        <v>0</v>
      </c>
      <c r="CP8" s="111">
        <v>0</v>
      </c>
      <c r="CQ8" s="112">
        <v>0</v>
      </c>
      <c r="CR8" s="110">
        <v>0</v>
      </c>
      <c r="CS8" s="111">
        <v>0</v>
      </c>
      <c r="CT8" s="112">
        <v>0</v>
      </c>
      <c r="CU8" s="110">
        <v>0</v>
      </c>
      <c r="CV8" s="111">
        <v>0</v>
      </c>
      <c r="CW8" s="112">
        <v>0</v>
      </c>
      <c r="CX8" s="110">
        <v>0</v>
      </c>
      <c r="CY8" s="111">
        <v>0</v>
      </c>
      <c r="CZ8" s="112">
        <v>0</v>
      </c>
      <c r="DA8" s="110">
        <v>0</v>
      </c>
      <c r="DB8" s="111">
        <v>0</v>
      </c>
      <c r="DC8" s="112">
        <v>0</v>
      </c>
      <c r="DD8" s="110">
        <v>0</v>
      </c>
      <c r="DE8" s="111">
        <v>0</v>
      </c>
      <c r="DF8" s="112">
        <v>0</v>
      </c>
      <c r="DG8" s="110">
        <v>0</v>
      </c>
      <c r="DH8" s="111">
        <v>0</v>
      </c>
      <c r="DI8" s="112">
        <v>0</v>
      </c>
      <c r="DJ8" s="110">
        <v>0</v>
      </c>
      <c r="DK8" s="111">
        <v>0</v>
      </c>
      <c r="DL8" s="112">
        <v>0</v>
      </c>
      <c r="EI8" s="61"/>
    </row>
    <row r="9" spans="1:139" ht="15" customHeight="1" x14ac:dyDescent="0.2">
      <c r="B9" s="23" t="s">
        <v>76</v>
      </c>
      <c r="C9" s="110">
        <v>0</v>
      </c>
      <c r="D9" s="111">
        <v>0</v>
      </c>
      <c r="E9" s="111">
        <v>0</v>
      </c>
      <c r="F9" s="111">
        <v>12967.395614926672</v>
      </c>
      <c r="G9" s="111">
        <v>0</v>
      </c>
      <c r="H9" s="111">
        <v>0</v>
      </c>
      <c r="I9" s="111">
        <v>0</v>
      </c>
      <c r="J9" s="111">
        <v>0</v>
      </c>
      <c r="K9" s="111">
        <v>0</v>
      </c>
      <c r="L9" s="111">
        <v>0</v>
      </c>
      <c r="M9" s="111">
        <v>0</v>
      </c>
      <c r="N9" s="111">
        <v>0</v>
      </c>
      <c r="O9" s="111">
        <v>12175.269638449252</v>
      </c>
      <c r="P9" s="111">
        <v>0</v>
      </c>
      <c r="Q9" s="111">
        <v>0</v>
      </c>
      <c r="R9" s="111">
        <v>0</v>
      </c>
      <c r="S9" s="111">
        <v>0</v>
      </c>
      <c r="T9" s="111">
        <v>0</v>
      </c>
      <c r="U9" s="111">
        <v>0</v>
      </c>
      <c r="V9" s="111">
        <v>0</v>
      </c>
      <c r="W9" s="111">
        <v>0</v>
      </c>
      <c r="X9" s="111">
        <v>0</v>
      </c>
      <c r="Y9" s="111">
        <v>0</v>
      </c>
      <c r="Z9" s="111">
        <v>0</v>
      </c>
      <c r="AA9" s="111">
        <v>0</v>
      </c>
      <c r="AB9" s="111">
        <v>0</v>
      </c>
      <c r="AC9" s="111">
        <v>0</v>
      </c>
      <c r="AD9" s="111">
        <v>0</v>
      </c>
      <c r="AE9" s="111">
        <v>0</v>
      </c>
      <c r="AF9" s="111">
        <v>0</v>
      </c>
      <c r="AG9" s="111">
        <v>0</v>
      </c>
      <c r="AH9" s="111">
        <v>0</v>
      </c>
      <c r="AI9" s="111">
        <v>0</v>
      </c>
      <c r="AJ9" s="111">
        <v>0</v>
      </c>
      <c r="AK9" s="111">
        <v>0</v>
      </c>
      <c r="AL9" s="111">
        <v>0</v>
      </c>
      <c r="AM9" s="111">
        <v>0</v>
      </c>
      <c r="AN9" s="111">
        <v>0</v>
      </c>
      <c r="AO9" s="111">
        <v>0</v>
      </c>
      <c r="AP9" s="111">
        <v>0</v>
      </c>
      <c r="AQ9" s="111">
        <v>0</v>
      </c>
      <c r="AR9" s="111">
        <v>0</v>
      </c>
      <c r="AS9" s="111">
        <v>0</v>
      </c>
      <c r="AT9" s="111">
        <v>0</v>
      </c>
      <c r="AU9" s="111">
        <v>0</v>
      </c>
      <c r="AV9" s="111">
        <v>0</v>
      </c>
      <c r="AW9" s="111">
        <v>0</v>
      </c>
      <c r="AX9" s="111">
        <v>0</v>
      </c>
      <c r="AY9" s="111">
        <v>0</v>
      </c>
      <c r="AZ9" s="111">
        <v>0</v>
      </c>
      <c r="BA9" s="111">
        <v>0</v>
      </c>
      <c r="BB9" s="111">
        <v>0</v>
      </c>
      <c r="BC9" s="111">
        <v>0</v>
      </c>
      <c r="BD9" s="111">
        <v>0</v>
      </c>
      <c r="BE9" s="111">
        <v>0</v>
      </c>
      <c r="BF9" s="111">
        <v>0</v>
      </c>
      <c r="BG9" s="111">
        <v>0</v>
      </c>
      <c r="BH9" s="111">
        <v>0</v>
      </c>
      <c r="BI9" s="111">
        <v>0</v>
      </c>
      <c r="BJ9" s="111">
        <v>0</v>
      </c>
      <c r="BK9" s="111">
        <v>0</v>
      </c>
      <c r="BL9" s="111">
        <v>0</v>
      </c>
      <c r="BM9" s="111">
        <v>0</v>
      </c>
      <c r="BN9" s="111">
        <v>0</v>
      </c>
      <c r="BO9" s="111">
        <v>0</v>
      </c>
      <c r="BP9" s="235">
        <v>0</v>
      </c>
      <c r="BQ9" s="110">
        <v>3600</v>
      </c>
      <c r="BR9" s="111">
        <v>0</v>
      </c>
      <c r="BS9" s="112">
        <v>0</v>
      </c>
      <c r="BT9" s="110">
        <v>5000</v>
      </c>
      <c r="BU9" s="111">
        <v>0</v>
      </c>
      <c r="BV9" s="112">
        <v>0</v>
      </c>
      <c r="BW9" s="110">
        <v>0</v>
      </c>
      <c r="BX9" s="111">
        <v>0</v>
      </c>
      <c r="BY9" s="112">
        <v>0</v>
      </c>
      <c r="BZ9" s="110">
        <v>0</v>
      </c>
      <c r="CA9" s="111">
        <v>0</v>
      </c>
      <c r="CB9" s="112">
        <v>0</v>
      </c>
      <c r="CC9" s="110">
        <v>0</v>
      </c>
      <c r="CD9" s="111">
        <v>0</v>
      </c>
      <c r="CE9" s="112">
        <v>0</v>
      </c>
      <c r="CF9" s="110">
        <v>0</v>
      </c>
      <c r="CG9" s="111">
        <v>0</v>
      </c>
      <c r="CH9" s="112">
        <v>0</v>
      </c>
      <c r="CI9" s="110">
        <v>0</v>
      </c>
      <c r="CJ9" s="111">
        <v>0</v>
      </c>
      <c r="CK9" s="112">
        <v>0</v>
      </c>
      <c r="CL9" s="110">
        <v>0</v>
      </c>
      <c r="CM9" s="111">
        <v>0</v>
      </c>
      <c r="CN9" s="112">
        <v>0</v>
      </c>
      <c r="CO9" s="110">
        <v>0</v>
      </c>
      <c r="CP9" s="111">
        <v>0</v>
      </c>
      <c r="CQ9" s="112">
        <v>0</v>
      </c>
      <c r="CR9" s="110">
        <v>0</v>
      </c>
      <c r="CS9" s="111">
        <v>0</v>
      </c>
      <c r="CT9" s="112">
        <v>0</v>
      </c>
      <c r="CU9" s="110">
        <v>0</v>
      </c>
      <c r="CV9" s="111">
        <v>0</v>
      </c>
      <c r="CW9" s="112">
        <v>0</v>
      </c>
      <c r="CX9" s="110">
        <v>0</v>
      </c>
      <c r="CY9" s="111">
        <v>0</v>
      </c>
      <c r="CZ9" s="112">
        <v>0</v>
      </c>
      <c r="DA9" s="110">
        <v>0</v>
      </c>
      <c r="DB9" s="111">
        <v>0</v>
      </c>
      <c r="DC9" s="112">
        <v>0</v>
      </c>
      <c r="DD9" s="110">
        <v>0</v>
      </c>
      <c r="DE9" s="111">
        <v>0</v>
      </c>
      <c r="DF9" s="112">
        <v>0</v>
      </c>
      <c r="DG9" s="110">
        <v>0</v>
      </c>
      <c r="DH9" s="111">
        <v>0</v>
      </c>
      <c r="DI9" s="112">
        <v>0</v>
      </c>
      <c r="DJ9" s="110">
        <v>0</v>
      </c>
      <c r="DK9" s="111">
        <v>0</v>
      </c>
      <c r="DL9" s="112">
        <v>0</v>
      </c>
      <c r="EI9" s="61"/>
    </row>
    <row r="10" spans="1:139" x14ac:dyDescent="0.2">
      <c r="B10" s="23" t="s">
        <v>77</v>
      </c>
      <c r="C10" s="110">
        <v>0</v>
      </c>
      <c r="D10" s="111">
        <v>0</v>
      </c>
      <c r="E10" s="111">
        <v>0</v>
      </c>
      <c r="F10" s="111">
        <v>12967.395614926672</v>
      </c>
      <c r="G10" s="111">
        <v>0</v>
      </c>
      <c r="H10" s="111">
        <v>0</v>
      </c>
      <c r="I10" s="111">
        <v>0</v>
      </c>
      <c r="J10" s="111">
        <v>0</v>
      </c>
      <c r="K10" s="111">
        <v>0</v>
      </c>
      <c r="L10" s="111">
        <v>0</v>
      </c>
      <c r="M10" s="111">
        <v>0</v>
      </c>
      <c r="N10" s="111">
        <v>0</v>
      </c>
      <c r="O10" s="111">
        <v>12175.269638449252</v>
      </c>
      <c r="P10" s="111">
        <v>0</v>
      </c>
      <c r="Q10" s="111">
        <v>0</v>
      </c>
      <c r="R10" s="111">
        <v>0</v>
      </c>
      <c r="S10" s="111">
        <v>0</v>
      </c>
      <c r="T10" s="111">
        <v>0</v>
      </c>
      <c r="U10" s="111">
        <v>0</v>
      </c>
      <c r="V10" s="111">
        <v>0</v>
      </c>
      <c r="W10" s="111">
        <v>0</v>
      </c>
      <c r="X10" s="111">
        <v>0</v>
      </c>
      <c r="Y10" s="111">
        <v>0</v>
      </c>
      <c r="Z10" s="111">
        <v>0</v>
      </c>
      <c r="AA10" s="111">
        <v>0</v>
      </c>
      <c r="AB10" s="111">
        <v>0</v>
      </c>
      <c r="AC10" s="111">
        <v>0</v>
      </c>
      <c r="AD10" s="111">
        <v>0</v>
      </c>
      <c r="AE10" s="111">
        <v>0</v>
      </c>
      <c r="AF10" s="111">
        <v>0</v>
      </c>
      <c r="AG10" s="111">
        <v>0</v>
      </c>
      <c r="AH10" s="111">
        <v>0</v>
      </c>
      <c r="AI10" s="111">
        <v>0</v>
      </c>
      <c r="AJ10" s="111">
        <v>0</v>
      </c>
      <c r="AK10" s="111">
        <v>0</v>
      </c>
      <c r="AL10" s="111">
        <v>0</v>
      </c>
      <c r="AM10" s="111">
        <v>0</v>
      </c>
      <c r="AN10" s="111">
        <v>0</v>
      </c>
      <c r="AO10" s="111">
        <v>0</v>
      </c>
      <c r="AP10" s="111">
        <v>0</v>
      </c>
      <c r="AQ10" s="111">
        <v>0</v>
      </c>
      <c r="AR10" s="111">
        <v>0</v>
      </c>
      <c r="AS10" s="111">
        <v>0</v>
      </c>
      <c r="AT10" s="111">
        <v>0</v>
      </c>
      <c r="AU10" s="111">
        <v>0</v>
      </c>
      <c r="AV10" s="111">
        <v>0</v>
      </c>
      <c r="AW10" s="111">
        <v>0</v>
      </c>
      <c r="AX10" s="111">
        <v>0</v>
      </c>
      <c r="AY10" s="111">
        <v>0</v>
      </c>
      <c r="AZ10" s="111">
        <v>0</v>
      </c>
      <c r="BA10" s="111">
        <v>0</v>
      </c>
      <c r="BB10" s="111">
        <v>0</v>
      </c>
      <c r="BC10" s="111">
        <v>0</v>
      </c>
      <c r="BD10" s="111">
        <v>0</v>
      </c>
      <c r="BE10" s="111">
        <v>0</v>
      </c>
      <c r="BF10" s="111">
        <v>0</v>
      </c>
      <c r="BG10" s="111">
        <v>0</v>
      </c>
      <c r="BH10" s="111">
        <v>0</v>
      </c>
      <c r="BI10" s="111">
        <v>0</v>
      </c>
      <c r="BJ10" s="111">
        <v>0</v>
      </c>
      <c r="BK10" s="111">
        <v>0</v>
      </c>
      <c r="BL10" s="111">
        <v>0</v>
      </c>
      <c r="BM10" s="111">
        <v>0</v>
      </c>
      <c r="BN10" s="111">
        <v>0</v>
      </c>
      <c r="BO10" s="111">
        <v>0</v>
      </c>
      <c r="BP10" s="235">
        <v>0</v>
      </c>
      <c r="BQ10" s="110">
        <v>3600</v>
      </c>
      <c r="BR10" s="111">
        <v>0</v>
      </c>
      <c r="BS10" s="112">
        <v>0</v>
      </c>
      <c r="BT10" s="110">
        <v>5000</v>
      </c>
      <c r="BU10" s="111">
        <v>0</v>
      </c>
      <c r="BV10" s="112">
        <v>0</v>
      </c>
      <c r="BW10" s="110">
        <v>0</v>
      </c>
      <c r="BX10" s="111">
        <v>0</v>
      </c>
      <c r="BY10" s="112">
        <v>0</v>
      </c>
      <c r="BZ10" s="110">
        <v>0</v>
      </c>
      <c r="CA10" s="111">
        <v>0</v>
      </c>
      <c r="CB10" s="112">
        <v>0</v>
      </c>
      <c r="CC10" s="110">
        <v>0</v>
      </c>
      <c r="CD10" s="111">
        <v>0</v>
      </c>
      <c r="CE10" s="112">
        <v>0</v>
      </c>
      <c r="CF10" s="110">
        <v>0</v>
      </c>
      <c r="CG10" s="111">
        <v>0</v>
      </c>
      <c r="CH10" s="112">
        <v>0</v>
      </c>
      <c r="CI10" s="110">
        <v>0</v>
      </c>
      <c r="CJ10" s="111">
        <v>0</v>
      </c>
      <c r="CK10" s="112">
        <v>0</v>
      </c>
      <c r="CL10" s="110">
        <v>0</v>
      </c>
      <c r="CM10" s="111">
        <v>0</v>
      </c>
      <c r="CN10" s="112">
        <v>0</v>
      </c>
      <c r="CO10" s="110">
        <v>0</v>
      </c>
      <c r="CP10" s="111">
        <v>0</v>
      </c>
      <c r="CQ10" s="112">
        <v>0</v>
      </c>
      <c r="CR10" s="110">
        <v>0</v>
      </c>
      <c r="CS10" s="111">
        <v>0</v>
      </c>
      <c r="CT10" s="112">
        <v>0</v>
      </c>
      <c r="CU10" s="110">
        <v>0</v>
      </c>
      <c r="CV10" s="111">
        <v>0</v>
      </c>
      <c r="CW10" s="112">
        <v>0</v>
      </c>
      <c r="CX10" s="110">
        <v>0</v>
      </c>
      <c r="CY10" s="111">
        <v>0</v>
      </c>
      <c r="CZ10" s="112">
        <v>0</v>
      </c>
      <c r="DA10" s="110">
        <v>0</v>
      </c>
      <c r="DB10" s="111">
        <v>0</v>
      </c>
      <c r="DC10" s="112">
        <v>0</v>
      </c>
      <c r="DD10" s="110">
        <v>0</v>
      </c>
      <c r="DE10" s="111">
        <v>0</v>
      </c>
      <c r="DF10" s="112">
        <v>0</v>
      </c>
      <c r="DG10" s="110">
        <v>0</v>
      </c>
      <c r="DH10" s="111">
        <v>0</v>
      </c>
      <c r="DI10" s="112">
        <v>0</v>
      </c>
      <c r="DJ10" s="110">
        <v>0</v>
      </c>
      <c r="DK10" s="111">
        <v>0</v>
      </c>
      <c r="DL10" s="112">
        <v>0</v>
      </c>
      <c r="EI10" s="61"/>
    </row>
    <row r="11" spans="1:139" ht="15" customHeight="1" thickBot="1" x14ac:dyDescent="0.25">
      <c r="B11" s="23" t="s">
        <v>78</v>
      </c>
      <c r="C11" s="113">
        <v>0</v>
      </c>
      <c r="D11" s="114">
        <v>0</v>
      </c>
      <c r="E11" s="114">
        <v>0</v>
      </c>
      <c r="F11" s="114">
        <v>12967.395614926672</v>
      </c>
      <c r="G11" s="114">
        <v>0</v>
      </c>
      <c r="H11" s="114">
        <v>0</v>
      </c>
      <c r="I11" s="114">
        <v>0</v>
      </c>
      <c r="J11" s="114">
        <v>0</v>
      </c>
      <c r="K11" s="114">
        <v>0</v>
      </c>
      <c r="L11" s="114">
        <v>0</v>
      </c>
      <c r="M11" s="114">
        <v>0</v>
      </c>
      <c r="N11" s="114">
        <v>0</v>
      </c>
      <c r="O11" s="114">
        <v>12175.269638449252</v>
      </c>
      <c r="P11" s="114">
        <v>0</v>
      </c>
      <c r="Q11" s="114">
        <v>0</v>
      </c>
      <c r="R11" s="114">
        <v>0</v>
      </c>
      <c r="S11" s="114">
        <v>0</v>
      </c>
      <c r="T11" s="114">
        <v>0</v>
      </c>
      <c r="U11" s="114">
        <v>0</v>
      </c>
      <c r="V11" s="114">
        <v>0</v>
      </c>
      <c r="W11" s="114">
        <v>0</v>
      </c>
      <c r="X11" s="114">
        <v>0</v>
      </c>
      <c r="Y11" s="114">
        <v>0</v>
      </c>
      <c r="Z11" s="114">
        <v>0</v>
      </c>
      <c r="AA11" s="114">
        <v>0</v>
      </c>
      <c r="AB11" s="114">
        <v>0</v>
      </c>
      <c r="AC11" s="114">
        <v>0</v>
      </c>
      <c r="AD11" s="114">
        <v>0</v>
      </c>
      <c r="AE11" s="114">
        <v>0</v>
      </c>
      <c r="AF11" s="114">
        <v>0</v>
      </c>
      <c r="AG11" s="114">
        <v>0</v>
      </c>
      <c r="AH11" s="114">
        <v>0</v>
      </c>
      <c r="AI11" s="114">
        <v>0</v>
      </c>
      <c r="AJ11" s="114">
        <v>0</v>
      </c>
      <c r="AK11" s="114">
        <v>0</v>
      </c>
      <c r="AL11" s="114">
        <v>0</v>
      </c>
      <c r="AM11" s="114">
        <v>0</v>
      </c>
      <c r="AN11" s="114">
        <v>0</v>
      </c>
      <c r="AO11" s="114">
        <v>0</v>
      </c>
      <c r="AP11" s="114">
        <v>0</v>
      </c>
      <c r="AQ11" s="114">
        <v>0</v>
      </c>
      <c r="AR11" s="114">
        <v>0</v>
      </c>
      <c r="AS11" s="114">
        <v>0</v>
      </c>
      <c r="AT11" s="114">
        <v>0</v>
      </c>
      <c r="AU11" s="114">
        <v>0</v>
      </c>
      <c r="AV11" s="114">
        <v>0</v>
      </c>
      <c r="AW11" s="114">
        <v>0</v>
      </c>
      <c r="AX11" s="114">
        <v>0</v>
      </c>
      <c r="AY11" s="114">
        <v>0</v>
      </c>
      <c r="AZ11" s="114">
        <v>0</v>
      </c>
      <c r="BA11" s="114">
        <v>0</v>
      </c>
      <c r="BB11" s="114">
        <v>0</v>
      </c>
      <c r="BC11" s="114">
        <v>0</v>
      </c>
      <c r="BD11" s="114">
        <v>0</v>
      </c>
      <c r="BE11" s="114">
        <v>0</v>
      </c>
      <c r="BF11" s="114">
        <v>0</v>
      </c>
      <c r="BG11" s="114">
        <v>0</v>
      </c>
      <c r="BH11" s="114">
        <v>0</v>
      </c>
      <c r="BI11" s="114">
        <v>0</v>
      </c>
      <c r="BJ11" s="114">
        <v>0</v>
      </c>
      <c r="BK11" s="114">
        <v>0</v>
      </c>
      <c r="BL11" s="114">
        <v>0</v>
      </c>
      <c r="BM11" s="114">
        <v>0</v>
      </c>
      <c r="BN11" s="114">
        <v>0</v>
      </c>
      <c r="BO11" s="114">
        <v>0</v>
      </c>
      <c r="BP11" s="236">
        <v>0</v>
      </c>
      <c r="BQ11" s="113">
        <v>3600</v>
      </c>
      <c r="BR11" s="114">
        <v>0</v>
      </c>
      <c r="BS11" s="115">
        <v>0</v>
      </c>
      <c r="BT11" s="113">
        <v>5000</v>
      </c>
      <c r="BU11" s="114">
        <v>0</v>
      </c>
      <c r="BV11" s="115">
        <v>0</v>
      </c>
      <c r="BW11" s="113">
        <v>0</v>
      </c>
      <c r="BX11" s="114">
        <v>0</v>
      </c>
      <c r="BY11" s="115">
        <v>0</v>
      </c>
      <c r="BZ11" s="113">
        <v>0</v>
      </c>
      <c r="CA11" s="114">
        <v>0</v>
      </c>
      <c r="CB11" s="115">
        <v>0</v>
      </c>
      <c r="CC11" s="113">
        <v>0</v>
      </c>
      <c r="CD11" s="114">
        <v>0</v>
      </c>
      <c r="CE11" s="115">
        <v>0</v>
      </c>
      <c r="CF11" s="113">
        <v>0</v>
      </c>
      <c r="CG11" s="114">
        <v>0</v>
      </c>
      <c r="CH11" s="115">
        <v>0</v>
      </c>
      <c r="CI11" s="113">
        <v>0</v>
      </c>
      <c r="CJ11" s="114">
        <v>0</v>
      </c>
      <c r="CK11" s="115">
        <v>0</v>
      </c>
      <c r="CL11" s="113">
        <v>0</v>
      </c>
      <c r="CM11" s="114">
        <v>0</v>
      </c>
      <c r="CN11" s="115">
        <v>0</v>
      </c>
      <c r="CO11" s="113">
        <v>0</v>
      </c>
      <c r="CP11" s="114">
        <v>0</v>
      </c>
      <c r="CQ11" s="115">
        <v>0</v>
      </c>
      <c r="CR11" s="113">
        <v>0</v>
      </c>
      <c r="CS11" s="114">
        <v>0</v>
      </c>
      <c r="CT11" s="115">
        <v>0</v>
      </c>
      <c r="CU11" s="113">
        <v>0</v>
      </c>
      <c r="CV11" s="114">
        <v>0</v>
      </c>
      <c r="CW11" s="115">
        <v>0</v>
      </c>
      <c r="CX11" s="113">
        <v>0</v>
      </c>
      <c r="CY11" s="114">
        <v>0</v>
      </c>
      <c r="CZ11" s="115">
        <v>0</v>
      </c>
      <c r="DA11" s="113">
        <v>0</v>
      </c>
      <c r="DB11" s="114">
        <v>0</v>
      </c>
      <c r="DC11" s="115">
        <v>0</v>
      </c>
      <c r="DD11" s="113">
        <v>0</v>
      </c>
      <c r="DE11" s="114">
        <v>0</v>
      </c>
      <c r="DF11" s="115">
        <v>0</v>
      </c>
      <c r="DG11" s="113">
        <v>0</v>
      </c>
      <c r="DH11" s="114">
        <v>0</v>
      </c>
      <c r="DI11" s="115">
        <v>0</v>
      </c>
      <c r="DJ11" s="113">
        <v>0</v>
      </c>
      <c r="DK11" s="114">
        <v>0</v>
      </c>
      <c r="DL11" s="115">
        <v>0</v>
      </c>
      <c r="EI11" s="61"/>
    </row>
    <row r="12" spans="1:139" x14ac:dyDescent="0.2">
      <c r="EI12" s="61"/>
    </row>
    <row r="13" spans="1:139" ht="14.5" customHeight="1" x14ac:dyDescent="0.2">
      <c r="B13" s="358" t="s">
        <v>79</v>
      </c>
      <c r="C13" s="359"/>
      <c r="D13" s="359"/>
      <c r="E13" s="359"/>
      <c r="F13" s="359"/>
      <c r="G13" s="359"/>
      <c r="H13" s="359"/>
      <c r="I13" s="359"/>
      <c r="J13" s="359"/>
      <c r="K13" s="359"/>
      <c r="L13" s="359"/>
      <c r="M13" s="359"/>
      <c r="N13" s="359"/>
      <c r="O13" s="359"/>
      <c r="P13" s="359"/>
      <c r="Q13" s="359"/>
      <c r="R13" s="359"/>
      <c r="S13" s="359"/>
      <c r="T13" s="359"/>
      <c r="U13" s="359"/>
      <c r="V13" s="359"/>
      <c r="W13" s="359"/>
      <c r="X13" s="359"/>
      <c r="Y13" s="359"/>
      <c r="Z13" s="359"/>
      <c r="AA13" s="359"/>
      <c r="AB13" s="359"/>
      <c r="AC13" s="359"/>
      <c r="AD13" s="359"/>
      <c r="AE13" s="359"/>
      <c r="AF13" s="359"/>
      <c r="AG13" s="359"/>
      <c r="AH13" s="359"/>
      <c r="AI13" s="359"/>
      <c r="AJ13" s="359"/>
      <c r="AK13" s="359"/>
      <c r="AL13" s="359"/>
      <c r="AM13" s="359"/>
      <c r="AN13" s="359"/>
      <c r="AO13" s="359"/>
      <c r="AP13" s="359"/>
      <c r="AQ13" s="359"/>
      <c r="AR13" s="359"/>
      <c r="AS13" s="359"/>
      <c r="AT13" s="359"/>
      <c r="AU13" s="359"/>
      <c r="AV13" s="359"/>
      <c r="AW13" s="359"/>
      <c r="AX13" s="359"/>
      <c r="AY13" s="359"/>
      <c r="AZ13" s="359"/>
      <c r="BA13" s="359"/>
      <c r="BB13" s="359"/>
      <c r="BC13" s="359"/>
      <c r="BD13" s="359"/>
      <c r="BE13" s="359"/>
      <c r="BF13" s="359"/>
      <c r="BG13" s="359"/>
      <c r="BH13" s="359"/>
      <c r="BI13" s="359"/>
      <c r="BJ13" s="359"/>
      <c r="BK13" s="359"/>
      <c r="BL13" s="359"/>
      <c r="BM13" s="359"/>
      <c r="BN13" s="359"/>
      <c r="BO13" s="359"/>
      <c r="BP13" s="359"/>
      <c r="BQ13" s="359"/>
      <c r="BR13" s="359"/>
      <c r="BS13" s="359"/>
      <c r="BT13" s="359"/>
      <c r="BU13" s="359"/>
      <c r="BV13" s="359"/>
      <c r="BW13" s="359"/>
      <c r="BX13" s="359"/>
      <c r="BY13" s="359"/>
      <c r="BZ13" s="359"/>
      <c r="CA13" s="359"/>
      <c r="CB13" s="359"/>
      <c r="CC13" s="359"/>
      <c r="CD13" s="359"/>
      <c r="CE13" s="359"/>
      <c r="CF13" s="359"/>
      <c r="CG13" s="359"/>
      <c r="CH13" s="359"/>
      <c r="CI13" s="359"/>
      <c r="CJ13" s="359"/>
      <c r="CK13" s="359"/>
      <c r="CL13" s="359"/>
      <c r="CM13" s="359"/>
      <c r="CN13" s="359"/>
      <c r="CO13" s="359"/>
      <c r="CP13" s="359"/>
      <c r="CQ13" s="359"/>
      <c r="CR13" s="359"/>
      <c r="CS13" s="359"/>
      <c r="CT13" s="359"/>
      <c r="CU13" s="359"/>
      <c r="CV13" s="359"/>
      <c r="CW13" s="359"/>
      <c r="CX13" s="359"/>
      <c r="CY13" s="14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62"/>
      <c r="DR13" s="62"/>
      <c r="DS13" s="62"/>
      <c r="DT13" s="62"/>
      <c r="DU13" s="62"/>
      <c r="DV13" s="62"/>
      <c r="DW13" s="62"/>
      <c r="DX13" s="62"/>
      <c r="DY13" s="62"/>
      <c r="DZ13" s="62"/>
      <c r="EA13" s="62"/>
      <c r="EB13" s="62"/>
      <c r="EC13" s="62"/>
      <c r="ED13" s="62"/>
      <c r="EE13" s="62"/>
      <c r="EF13" s="62"/>
      <c r="EG13" s="62"/>
      <c r="EH13" s="62"/>
      <c r="EI13" s="61"/>
    </row>
    <row r="14" spans="1:139" ht="15" customHeight="1" thickBot="1" x14ac:dyDescent="0.25">
      <c r="B14" s="297"/>
      <c r="C14" s="361" t="s">
        <v>80</v>
      </c>
      <c r="D14" s="362"/>
      <c r="E14" s="362"/>
      <c r="F14" s="362"/>
      <c r="G14" s="362"/>
      <c r="H14" s="362"/>
      <c r="I14" s="362"/>
      <c r="J14" s="362"/>
      <c r="K14" s="362"/>
      <c r="L14" s="362"/>
      <c r="M14" s="362"/>
      <c r="N14" s="362"/>
      <c r="O14" s="362"/>
      <c r="P14" s="362"/>
      <c r="Q14" s="362"/>
      <c r="R14" s="362"/>
      <c r="S14" s="362"/>
      <c r="T14" s="362"/>
      <c r="U14" s="362"/>
      <c r="V14" s="362"/>
      <c r="W14" s="362"/>
      <c r="X14" s="362"/>
      <c r="Y14" s="362"/>
      <c r="Z14" s="362"/>
      <c r="AA14" s="362"/>
      <c r="AB14" s="362"/>
      <c r="AC14" s="362"/>
      <c r="AD14" s="362"/>
      <c r="AE14" s="362"/>
      <c r="AF14" s="362"/>
      <c r="AG14" s="362"/>
      <c r="AH14" s="362"/>
      <c r="AI14" s="362"/>
      <c r="AJ14" s="362"/>
      <c r="AK14" s="362"/>
      <c r="AL14" s="362"/>
      <c r="AM14" s="362"/>
      <c r="AN14" s="362"/>
      <c r="AO14" s="362"/>
      <c r="AP14" s="362"/>
      <c r="AQ14" s="362"/>
      <c r="AR14" s="362"/>
      <c r="AS14" s="362"/>
      <c r="AT14" s="362"/>
      <c r="AU14" s="362"/>
      <c r="AV14" s="362"/>
      <c r="AW14" s="362"/>
      <c r="AX14" s="362"/>
      <c r="AY14" s="362"/>
      <c r="AZ14" s="362"/>
      <c r="BA14" s="362"/>
      <c r="BB14" s="362"/>
      <c r="BC14" s="362"/>
      <c r="BD14" s="362"/>
      <c r="BE14" s="362"/>
      <c r="BF14" s="362"/>
      <c r="BG14" s="362"/>
      <c r="BH14" s="362"/>
      <c r="BI14" s="362"/>
      <c r="BJ14" s="362"/>
      <c r="BK14" s="362"/>
      <c r="BL14" s="362"/>
      <c r="BM14" s="362"/>
      <c r="BN14" s="362"/>
      <c r="BO14" s="362"/>
      <c r="BP14" s="362"/>
      <c r="BQ14" s="362"/>
      <c r="BR14" s="363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441" t="s">
        <v>32</v>
      </c>
      <c r="CL14" s="442"/>
      <c r="CM14" s="438" t="s">
        <v>81</v>
      </c>
      <c r="CN14" s="439"/>
      <c r="CO14" s="439"/>
      <c r="CP14" s="439"/>
      <c r="CQ14" s="439"/>
      <c r="CR14" s="439"/>
      <c r="CS14" s="439"/>
      <c r="CT14" s="439"/>
      <c r="CU14" s="439"/>
      <c r="CV14" s="439"/>
      <c r="CW14" s="439"/>
      <c r="CX14" s="439"/>
      <c r="CY14" s="439"/>
      <c r="CZ14" s="439"/>
      <c r="DA14" s="439"/>
      <c r="DB14" s="440"/>
      <c r="DC14" s="423" t="s">
        <v>34</v>
      </c>
      <c r="DD14" s="424"/>
      <c r="DE14" s="424"/>
      <c r="DF14" s="424"/>
      <c r="DG14" s="424"/>
      <c r="DH14" s="424"/>
      <c r="DI14" s="424"/>
      <c r="DJ14" s="424"/>
      <c r="DK14" s="424"/>
      <c r="DL14" s="424"/>
      <c r="DM14" s="424"/>
      <c r="DN14" s="425"/>
      <c r="DO14" s="313" t="s">
        <v>34</v>
      </c>
      <c r="DP14" s="314"/>
      <c r="DQ14" s="314"/>
      <c r="DR14" s="314"/>
      <c r="DS14" s="314"/>
      <c r="DT14" s="314"/>
      <c r="DU14" s="314"/>
      <c r="DV14" s="314"/>
      <c r="DW14" s="314"/>
      <c r="DX14" s="314"/>
      <c r="DY14" s="314"/>
      <c r="DZ14" s="314"/>
      <c r="EA14" s="314"/>
      <c r="EB14" s="314"/>
      <c r="EC14" s="314"/>
      <c r="ED14" s="314"/>
      <c r="EE14" s="314"/>
      <c r="EF14" s="314"/>
      <c r="EG14" s="314"/>
      <c r="EH14" s="315"/>
      <c r="EI14" s="61"/>
    </row>
    <row r="15" spans="1:139" ht="15" customHeight="1" x14ac:dyDescent="0.2">
      <c r="B15" s="398"/>
      <c r="C15" s="337" t="s">
        <v>29</v>
      </c>
      <c r="D15" s="338"/>
      <c r="E15" s="338"/>
      <c r="F15" s="338"/>
      <c r="G15" s="338"/>
      <c r="H15" s="338"/>
      <c r="I15" s="338"/>
      <c r="J15" s="338"/>
      <c r="K15" s="338"/>
      <c r="L15" s="338"/>
      <c r="M15" s="338"/>
      <c r="N15" s="338"/>
      <c r="O15" s="338"/>
      <c r="P15" s="338"/>
      <c r="Q15" s="338"/>
      <c r="R15" s="338"/>
      <c r="S15" s="338"/>
      <c r="T15" s="338"/>
      <c r="U15" s="338"/>
      <c r="V15" s="338"/>
      <c r="W15" s="338"/>
      <c r="X15" s="338"/>
      <c r="Y15" s="338"/>
      <c r="Z15" s="338"/>
      <c r="AA15" s="338"/>
      <c r="AB15" s="338"/>
      <c r="AC15" s="338"/>
      <c r="AD15" s="338"/>
      <c r="AE15" s="338"/>
      <c r="AF15" s="338"/>
      <c r="AG15" s="338"/>
      <c r="AH15" s="338"/>
      <c r="AI15" s="338"/>
      <c r="AJ15" s="338"/>
      <c r="AK15" s="338"/>
      <c r="AL15" s="338"/>
      <c r="AM15" s="338"/>
      <c r="AN15" s="338"/>
      <c r="AO15" s="338"/>
      <c r="AP15" s="339"/>
      <c r="AQ15" s="352" t="s">
        <v>30</v>
      </c>
      <c r="AR15" s="353"/>
      <c r="AS15" s="353"/>
      <c r="AT15" s="353"/>
      <c r="AU15" s="353"/>
      <c r="AV15" s="353"/>
      <c r="AW15" s="353"/>
      <c r="AX15" s="353"/>
      <c r="AY15" s="353"/>
      <c r="AZ15" s="353"/>
      <c r="BA15" s="353"/>
      <c r="BB15" s="353"/>
      <c r="BC15" s="353"/>
      <c r="BD15" s="353"/>
      <c r="BE15" s="353"/>
      <c r="BF15" s="353"/>
      <c r="BG15" s="353"/>
      <c r="BH15" s="353"/>
      <c r="BI15" s="353"/>
      <c r="BJ15" s="353"/>
      <c r="BK15" s="353"/>
      <c r="BL15" s="353"/>
      <c r="BM15" s="353"/>
      <c r="BN15" s="353"/>
      <c r="BO15" s="353"/>
      <c r="BP15" s="354"/>
      <c r="BQ15" s="352" t="s">
        <v>31</v>
      </c>
      <c r="BR15" s="353"/>
      <c r="BS15" s="353"/>
      <c r="BT15" s="353"/>
      <c r="BU15" s="353"/>
      <c r="BV15" s="353"/>
      <c r="BW15" s="353"/>
      <c r="BX15" s="353"/>
      <c r="BY15" s="353"/>
      <c r="BZ15" s="353"/>
      <c r="CA15" s="353"/>
      <c r="CB15" s="353"/>
      <c r="CC15" s="353"/>
      <c r="CD15" s="353"/>
      <c r="CE15" s="353"/>
      <c r="CF15" s="353"/>
      <c r="CG15" s="353"/>
      <c r="CH15" s="353"/>
      <c r="CI15" s="353"/>
      <c r="CJ15" s="354"/>
      <c r="CK15" s="374" t="s">
        <v>82</v>
      </c>
      <c r="CL15" s="375"/>
      <c r="CM15" s="380" t="s">
        <v>83</v>
      </c>
      <c r="CN15" s="381"/>
      <c r="CO15" s="381"/>
      <c r="CP15" s="382"/>
      <c r="CQ15" s="365" t="s">
        <v>84</v>
      </c>
      <c r="CR15" s="366"/>
      <c r="CS15" s="366"/>
      <c r="CT15" s="367"/>
      <c r="CU15" s="365" t="s">
        <v>85</v>
      </c>
      <c r="CV15" s="366"/>
      <c r="CW15" s="366"/>
      <c r="CX15" s="367"/>
      <c r="CY15" s="365" t="s">
        <v>86</v>
      </c>
      <c r="CZ15" s="366"/>
      <c r="DA15" s="366"/>
      <c r="DB15" s="435"/>
      <c r="DC15" s="426" t="str">
        <f>BQ5</f>
        <v>Bactériosol</v>
      </c>
      <c r="DD15" s="427"/>
      <c r="DE15" s="432" t="str">
        <f>BT5</f>
        <v>Bactériolit</v>
      </c>
      <c r="DF15" s="427"/>
      <c r="DG15" s="432">
        <f>BW5</f>
        <v>0</v>
      </c>
      <c r="DH15" s="427"/>
      <c r="DI15" s="432">
        <f>BZ5</f>
        <v>0</v>
      </c>
      <c r="DJ15" s="427"/>
      <c r="DK15" s="432">
        <f>CC5</f>
        <v>0</v>
      </c>
      <c r="DL15" s="427"/>
      <c r="DM15" s="432">
        <f>CF5</f>
        <v>0</v>
      </c>
      <c r="DN15" s="427"/>
      <c r="DO15" s="282" t="s">
        <v>58</v>
      </c>
      <c r="DP15" s="316"/>
      <c r="DQ15" s="282" t="s">
        <v>59</v>
      </c>
      <c r="DR15" s="316"/>
      <c r="DS15" s="282" t="s">
        <v>60</v>
      </c>
      <c r="DT15" s="316"/>
      <c r="DU15" s="282" t="s">
        <v>61</v>
      </c>
      <c r="DV15" s="316"/>
      <c r="DW15" s="319" t="s">
        <v>62</v>
      </c>
      <c r="DX15" s="320"/>
      <c r="DY15" s="319" t="s">
        <v>63</v>
      </c>
      <c r="DZ15" s="320"/>
      <c r="EA15" s="282" t="s">
        <v>64</v>
      </c>
      <c r="EB15" s="316"/>
      <c r="EC15" s="282" t="s">
        <v>65</v>
      </c>
      <c r="ED15" s="316"/>
      <c r="EE15" s="325" t="s">
        <v>66</v>
      </c>
      <c r="EF15" s="326"/>
      <c r="EG15" s="282" t="s">
        <v>67</v>
      </c>
      <c r="EH15" s="283"/>
      <c r="EI15" s="61"/>
    </row>
    <row r="16" spans="1:139" x14ac:dyDescent="0.2">
      <c r="B16" s="398"/>
      <c r="C16" s="360" t="s">
        <v>87</v>
      </c>
      <c r="D16" s="335"/>
      <c r="E16" s="335"/>
      <c r="F16" s="335"/>
      <c r="G16" s="335"/>
      <c r="H16" s="335"/>
      <c r="I16" s="335"/>
      <c r="J16" s="335"/>
      <c r="K16" s="335"/>
      <c r="L16" s="335"/>
      <c r="M16" s="335"/>
      <c r="N16" s="335"/>
      <c r="O16" s="335"/>
      <c r="P16" s="335"/>
      <c r="Q16" s="335"/>
      <c r="R16" s="335"/>
      <c r="S16" s="335"/>
      <c r="T16" s="335"/>
      <c r="U16" s="335"/>
      <c r="V16" s="335"/>
      <c r="W16" s="335"/>
      <c r="X16" s="335"/>
      <c r="Y16" s="335"/>
      <c r="Z16" s="336"/>
      <c r="AA16" s="334" t="s">
        <v>88</v>
      </c>
      <c r="AB16" s="335"/>
      <c r="AC16" s="335"/>
      <c r="AD16" s="335"/>
      <c r="AE16" s="335"/>
      <c r="AF16" s="335"/>
      <c r="AG16" s="335"/>
      <c r="AH16" s="336"/>
      <c r="AI16" s="303" t="s">
        <v>89</v>
      </c>
      <c r="AJ16" s="304"/>
      <c r="AK16" s="304"/>
      <c r="AL16" s="304"/>
      <c r="AM16" s="304"/>
      <c r="AN16" s="304"/>
      <c r="AO16" s="304"/>
      <c r="AP16" s="351"/>
      <c r="AQ16" s="360" t="s">
        <v>90</v>
      </c>
      <c r="AR16" s="335"/>
      <c r="AS16" s="335"/>
      <c r="AT16" s="335"/>
      <c r="AU16" s="335"/>
      <c r="AV16" s="335"/>
      <c r="AW16" s="336"/>
      <c r="AX16" s="334" t="s">
        <v>91</v>
      </c>
      <c r="AY16" s="335"/>
      <c r="AZ16" s="335"/>
      <c r="BA16" s="336"/>
      <c r="BB16" s="334" t="s">
        <v>92</v>
      </c>
      <c r="BC16" s="335"/>
      <c r="BD16" s="335"/>
      <c r="BE16" s="335"/>
      <c r="BF16" s="335"/>
      <c r="BG16" s="335"/>
      <c r="BH16" s="336"/>
      <c r="BI16" s="334" t="s">
        <v>93</v>
      </c>
      <c r="BJ16" s="335"/>
      <c r="BK16" s="335"/>
      <c r="BL16" s="336"/>
      <c r="BM16" s="334" t="s">
        <v>94</v>
      </c>
      <c r="BN16" s="335"/>
      <c r="BO16" s="335"/>
      <c r="BP16" s="364"/>
      <c r="BQ16" s="360" t="s">
        <v>95</v>
      </c>
      <c r="BR16" s="335"/>
      <c r="BS16" s="335"/>
      <c r="BT16" s="335"/>
      <c r="BU16" s="335"/>
      <c r="BV16" s="335"/>
      <c r="BW16" s="335"/>
      <c r="BX16" s="335"/>
      <c r="BY16" s="335"/>
      <c r="BZ16" s="336"/>
      <c r="CA16" s="334" t="s">
        <v>96</v>
      </c>
      <c r="CB16" s="335"/>
      <c r="CC16" s="335"/>
      <c r="CD16" s="335"/>
      <c r="CE16" s="335"/>
      <c r="CF16" s="335"/>
      <c r="CG16" s="335"/>
      <c r="CH16" s="335"/>
      <c r="CI16" s="335"/>
      <c r="CJ16" s="364"/>
      <c r="CK16" s="376"/>
      <c r="CL16" s="377"/>
      <c r="CM16" s="383"/>
      <c r="CN16" s="384"/>
      <c r="CO16" s="384"/>
      <c r="CP16" s="385"/>
      <c r="CQ16" s="368"/>
      <c r="CR16" s="369"/>
      <c r="CS16" s="369"/>
      <c r="CT16" s="370"/>
      <c r="CU16" s="368"/>
      <c r="CV16" s="369"/>
      <c r="CW16" s="369"/>
      <c r="CX16" s="370"/>
      <c r="CY16" s="368"/>
      <c r="CZ16" s="369"/>
      <c r="DA16" s="369"/>
      <c r="DB16" s="436"/>
      <c r="DC16" s="428"/>
      <c r="DD16" s="429"/>
      <c r="DE16" s="433"/>
      <c r="DF16" s="429"/>
      <c r="DG16" s="433"/>
      <c r="DH16" s="429"/>
      <c r="DI16" s="433"/>
      <c r="DJ16" s="429"/>
      <c r="DK16" s="433"/>
      <c r="DL16" s="429"/>
      <c r="DM16" s="433"/>
      <c r="DN16" s="429"/>
      <c r="DO16" s="284"/>
      <c r="DP16" s="317"/>
      <c r="DQ16" s="284"/>
      <c r="DR16" s="317"/>
      <c r="DS16" s="284"/>
      <c r="DT16" s="317"/>
      <c r="DU16" s="284"/>
      <c r="DV16" s="317"/>
      <c r="DW16" s="321"/>
      <c r="DX16" s="322"/>
      <c r="DY16" s="321"/>
      <c r="DZ16" s="322"/>
      <c r="EA16" s="284"/>
      <c r="EB16" s="317"/>
      <c r="EC16" s="284"/>
      <c r="ED16" s="317"/>
      <c r="EE16" s="327"/>
      <c r="EF16" s="328"/>
      <c r="EG16" s="284"/>
      <c r="EH16" s="285"/>
    </row>
    <row r="17" spans="1:139" x14ac:dyDescent="0.2">
      <c r="B17" s="398"/>
      <c r="C17" s="360" t="s">
        <v>35</v>
      </c>
      <c r="D17" s="335"/>
      <c r="E17" s="335"/>
      <c r="F17" s="336"/>
      <c r="G17" s="334" t="s">
        <v>36</v>
      </c>
      <c r="H17" s="335"/>
      <c r="I17" s="335"/>
      <c r="J17" s="336"/>
      <c r="K17" s="334" t="s">
        <v>37</v>
      </c>
      <c r="L17" s="335"/>
      <c r="M17" s="335"/>
      <c r="N17" s="336"/>
      <c r="O17" s="334" t="s">
        <v>38</v>
      </c>
      <c r="P17" s="335"/>
      <c r="Q17" s="335"/>
      <c r="R17" s="336"/>
      <c r="S17" s="334" t="s">
        <v>39</v>
      </c>
      <c r="T17" s="335"/>
      <c r="U17" s="335"/>
      <c r="V17" s="336"/>
      <c r="W17" s="303" t="s">
        <v>40</v>
      </c>
      <c r="X17" s="304"/>
      <c r="Y17" s="304"/>
      <c r="Z17" s="305"/>
      <c r="AA17" s="334" t="s">
        <v>41</v>
      </c>
      <c r="AB17" s="335"/>
      <c r="AC17" s="335"/>
      <c r="AD17" s="336"/>
      <c r="AE17" s="303" t="s">
        <v>42</v>
      </c>
      <c r="AF17" s="304"/>
      <c r="AG17" s="304"/>
      <c r="AH17" s="305"/>
      <c r="AI17" s="303" t="s">
        <v>43</v>
      </c>
      <c r="AJ17" s="304"/>
      <c r="AK17" s="304"/>
      <c r="AL17" s="305"/>
      <c r="AM17" s="303" t="s">
        <v>44</v>
      </c>
      <c r="AN17" s="304"/>
      <c r="AO17" s="304"/>
      <c r="AP17" s="351"/>
      <c r="AQ17" s="407" t="s">
        <v>97</v>
      </c>
      <c r="AR17" s="303" t="s">
        <v>98</v>
      </c>
      <c r="AS17" s="304"/>
      <c r="AT17" s="305"/>
      <c r="AU17" s="303" t="s">
        <v>99</v>
      </c>
      <c r="AV17" s="304"/>
      <c r="AW17" s="305"/>
      <c r="AX17" s="268" t="s">
        <v>97</v>
      </c>
      <c r="AY17" s="303" t="s">
        <v>99</v>
      </c>
      <c r="AZ17" s="304"/>
      <c r="BA17" s="305"/>
      <c r="BB17" s="268" t="s">
        <v>97</v>
      </c>
      <c r="BC17" s="303" t="s">
        <v>100</v>
      </c>
      <c r="BD17" s="304"/>
      <c r="BE17" s="305"/>
      <c r="BF17" s="303" t="s">
        <v>99</v>
      </c>
      <c r="BG17" s="304"/>
      <c r="BH17" s="305"/>
      <c r="BI17" s="268" t="s">
        <v>97</v>
      </c>
      <c r="BJ17" s="303" t="s">
        <v>99</v>
      </c>
      <c r="BK17" s="304"/>
      <c r="BL17" s="305"/>
      <c r="BM17" s="268" t="s">
        <v>97</v>
      </c>
      <c r="BN17" s="303" t="s">
        <v>99</v>
      </c>
      <c r="BO17" s="304"/>
      <c r="BP17" s="351"/>
      <c r="BQ17" s="407" t="s">
        <v>97</v>
      </c>
      <c r="BR17" s="303" t="s">
        <v>100</v>
      </c>
      <c r="BS17" s="304"/>
      <c r="BT17" s="305"/>
      <c r="BU17" s="303" t="s">
        <v>98</v>
      </c>
      <c r="BV17" s="304"/>
      <c r="BW17" s="305"/>
      <c r="BX17" s="303" t="s">
        <v>99</v>
      </c>
      <c r="BY17" s="304"/>
      <c r="BZ17" s="305"/>
      <c r="CA17" s="268" t="s">
        <v>97</v>
      </c>
      <c r="CB17" s="303" t="s">
        <v>100</v>
      </c>
      <c r="CC17" s="304"/>
      <c r="CD17" s="305"/>
      <c r="CE17" s="303" t="s">
        <v>98</v>
      </c>
      <c r="CF17" s="304"/>
      <c r="CG17" s="305"/>
      <c r="CH17" s="303" t="s">
        <v>99</v>
      </c>
      <c r="CI17" s="304"/>
      <c r="CJ17" s="351"/>
      <c r="CK17" s="378"/>
      <c r="CL17" s="379"/>
      <c r="CM17" s="386"/>
      <c r="CN17" s="387"/>
      <c r="CO17" s="387"/>
      <c r="CP17" s="388"/>
      <c r="CQ17" s="371"/>
      <c r="CR17" s="372"/>
      <c r="CS17" s="372"/>
      <c r="CT17" s="373"/>
      <c r="CU17" s="371"/>
      <c r="CV17" s="372"/>
      <c r="CW17" s="372"/>
      <c r="CX17" s="373"/>
      <c r="CY17" s="371"/>
      <c r="CZ17" s="372"/>
      <c r="DA17" s="372"/>
      <c r="DB17" s="437"/>
      <c r="DC17" s="430"/>
      <c r="DD17" s="431"/>
      <c r="DE17" s="434"/>
      <c r="DF17" s="431"/>
      <c r="DG17" s="434"/>
      <c r="DH17" s="431"/>
      <c r="DI17" s="434"/>
      <c r="DJ17" s="431"/>
      <c r="DK17" s="434"/>
      <c r="DL17" s="431"/>
      <c r="DM17" s="434"/>
      <c r="DN17" s="431"/>
      <c r="DO17" s="286"/>
      <c r="DP17" s="318"/>
      <c r="DQ17" s="286"/>
      <c r="DR17" s="318"/>
      <c r="DS17" s="286"/>
      <c r="DT17" s="318"/>
      <c r="DU17" s="286"/>
      <c r="DV17" s="318"/>
      <c r="DW17" s="323"/>
      <c r="DX17" s="324"/>
      <c r="DY17" s="323"/>
      <c r="DZ17" s="324"/>
      <c r="EA17" s="286"/>
      <c r="EB17" s="318"/>
      <c r="EC17" s="286"/>
      <c r="ED17" s="318"/>
      <c r="EE17" s="329"/>
      <c r="EF17" s="330"/>
      <c r="EG17" s="286"/>
      <c r="EH17" s="287"/>
    </row>
    <row r="18" spans="1:139" x14ac:dyDescent="0.2">
      <c r="B18" s="399"/>
      <c r="C18" s="198" t="s">
        <v>97</v>
      </c>
      <c r="D18" s="68" t="s">
        <v>101</v>
      </c>
      <c r="E18" s="68" t="s">
        <v>102</v>
      </c>
      <c r="F18" s="68" t="s">
        <v>103</v>
      </c>
      <c r="G18" s="68" t="s">
        <v>97</v>
      </c>
      <c r="H18" s="68" t="s">
        <v>101</v>
      </c>
      <c r="I18" s="68" t="s">
        <v>102</v>
      </c>
      <c r="J18" s="68" t="s">
        <v>103</v>
      </c>
      <c r="K18" s="68" t="s">
        <v>97</v>
      </c>
      <c r="L18" s="68" t="s">
        <v>101</v>
      </c>
      <c r="M18" s="68" t="s">
        <v>102</v>
      </c>
      <c r="N18" s="68" t="s">
        <v>103</v>
      </c>
      <c r="O18" s="68" t="s">
        <v>97</v>
      </c>
      <c r="P18" s="68" t="s">
        <v>101</v>
      </c>
      <c r="Q18" s="68" t="s">
        <v>102</v>
      </c>
      <c r="R18" s="68" t="s">
        <v>103</v>
      </c>
      <c r="S18" s="68" t="s">
        <v>97</v>
      </c>
      <c r="T18" s="68" t="s">
        <v>101</v>
      </c>
      <c r="U18" s="68" t="s">
        <v>102</v>
      </c>
      <c r="V18" s="68" t="s">
        <v>103</v>
      </c>
      <c r="W18" s="68" t="s">
        <v>97</v>
      </c>
      <c r="X18" s="68" t="s">
        <v>101</v>
      </c>
      <c r="Y18" s="68" t="s">
        <v>102</v>
      </c>
      <c r="Z18" s="182" t="s">
        <v>103</v>
      </c>
      <c r="AA18" s="68" t="s">
        <v>97</v>
      </c>
      <c r="AB18" s="68" t="s">
        <v>104</v>
      </c>
      <c r="AC18" s="68" t="s">
        <v>105</v>
      </c>
      <c r="AD18" s="68" t="s">
        <v>106</v>
      </c>
      <c r="AE18" s="68" t="s">
        <v>97</v>
      </c>
      <c r="AF18" s="68" t="s">
        <v>104</v>
      </c>
      <c r="AG18" s="68" t="s">
        <v>105</v>
      </c>
      <c r="AH18" s="68" t="s">
        <v>106</v>
      </c>
      <c r="AI18" s="68" t="s">
        <v>97</v>
      </c>
      <c r="AJ18" s="68" t="s">
        <v>107</v>
      </c>
      <c r="AK18" s="68" t="s">
        <v>108</v>
      </c>
      <c r="AL18" s="68" t="s">
        <v>109</v>
      </c>
      <c r="AM18" s="68" t="s">
        <v>97</v>
      </c>
      <c r="AN18" s="68" t="s">
        <v>110</v>
      </c>
      <c r="AO18" s="68" t="s">
        <v>108</v>
      </c>
      <c r="AP18" s="199" t="s">
        <v>109</v>
      </c>
      <c r="AQ18" s="408"/>
      <c r="AR18" s="68" t="s">
        <v>104</v>
      </c>
      <c r="AS18" s="68" t="s">
        <v>105</v>
      </c>
      <c r="AT18" s="68" t="s">
        <v>106</v>
      </c>
      <c r="AU18" s="68" t="s">
        <v>110</v>
      </c>
      <c r="AV18" s="68" t="s">
        <v>108</v>
      </c>
      <c r="AW18" s="182" t="s">
        <v>109</v>
      </c>
      <c r="AX18" s="270"/>
      <c r="AY18" s="68" t="s">
        <v>110</v>
      </c>
      <c r="AZ18" s="68" t="s">
        <v>108</v>
      </c>
      <c r="BA18" s="182" t="s">
        <v>109</v>
      </c>
      <c r="BB18" s="270"/>
      <c r="BC18" s="68" t="s">
        <v>101</v>
      </c>
      <c r="BD18" s="68" t="s">
        <v>102</v>
      </c>
      <c r="BE18" s="68" t="s">
        <v>103</v>
      </c>
      <c r="BF18" s="68" t="s">
        <v>107</v>
      </c>
      <c r="BG18" s="68" t="s">
        <v>108</v>
      </c>
      <c r="BH18" s="68" t="s">
        <v>109</v>
      </c>
      <c r="BI18" s="270"/>
      <c r="BJ18" s="68" t="s">
        <v>111</v>
      </c>
      <c r="BK18" s="68" t="s">
        <v>112</v>
      </c>
      <c r="BL18" s="182" t="s">
        <v>113</v>
      </c>
      <c r="BM18" s="270"/>
      <c r="BN18" s="68" t="s">
        <v>111</v>
      </c>
      <c r="BO18" s="68" t="s">
        <v>112</v>
      </c>
      <c r="BP18" s="199" t="s">
        <v>113</v>
      </c>
      <c r="BQ18" s="408"/>
      <c r="BR18" s="68" t="s">
        <v>101</v>
      </c>
      <c r="BS18" s="68" t="s">
        <v>102</v>
      </c>
      <c r="BT18" s="68" t="s">
        <v>103</v>
      </c>
      <c r="BU18" s="68" t="s">
        <v>104</v>
      </c>
      <c r="BV18" s="68" t="s">
        <v>105</v>
      </c>
      <c r="BW18" s="68" t="s">
        <v>106</v>
      </c>
      <c r="BX18" s="68" t="s">
        <v>107</v>
      </c>
      <c r="BY18" s="68" t="s">
        <v>108</v>
      </c>
      <c r="BZ18" s="68" t="s">
        <v>109</v>
      </c>
      <c r="CA18" s="270"/>
      <c r="CB18" s="68" t="s">
        <v>101</v>
      </c>
      <c r="CC18" s="68" t="s">
        <v>102</v>
      </c>
      <c r="CD18" s="68" t="s">
        <v>103</v>
      </c>
      <c r="CE18" s="68" t="s">
        <v>104</v>
      </c>
      <c r="CF18" s="68" t="s">
        <v>105</v>
      </c>
      <c r="CG18" s="68" t="s">
        <v>106</v>
      </c>
      <c r="CH18" s="68" t="s">
        <v>107</v>
      </c>
      <c r="CI18" s="68" t="s">
        <v>108</v>
      </c>
      <c r="CJ18" s="199" t="s">
        <v>109</v>
      </c>
      <c r="CK18" s="213" t="s">
        <v>97</v>
      </c>
      <c r="CL18" s="214" t="s">
        <v>114</v>
      </c>
      <c r="CM18" s="213" t="s">
        <v>97</v>
      </c>
      <c r="CN18" s="2" t="s">
        <v>115</v>
      </c>
      <c r="CO18" s="28" t="s">
        <v>116</v>
      </c>
      <c r="CP18" s="2" t="s">
        <v>117</v>
      </c>
      <c r="CQ18" s="28" t="s">
        <v>97</v>
      </c>
      <c r="CR18" s="2" t="s">
        <v>118</v>
      </c>
      <c r="CS18" s="28" t="s">
        <v>116</v>
      </c>
      <c r="CT18" s="28" t="s">
        <v>119</v>
      </c>
      <c r="CU18" s="28" t="s">
        <v>97</v>
      </c>
      <c r="CV18" s="2" t="s">
        <v>118</v>
      </c>
      <c r="CW18" s="28" t="s">
        <v>116</v>
      </c>
      <c r="CX18" s="28" t="s">
        <v>120</v>
      </c>
      <c r="CY18" s="28" t="s">
        <v>97</v>
      </c>
      <c r="CZ18" s="2" t="s">
        <v>118</v>
      </c>
      <c r="DA18" s="28" t="s">
        <v>116</v>
      </c>
      <c r="DB18" s="214" t="s">
        <v>121</v>
      </c>
      <c r="DC18" s="213" t="s">
        <v>97</v>
      </c>
      <c r="DD18" s="28" t="s">
        <v>122</v>
      </c>
      <c r="DE18" s="28" t="s">
        <v>97</v>
      </c>
      <c r="DF18" s="28" t="s">
        <v>123</v>
      </c>
      <c r="DG18" s="28" t="s">
        <v>97</v>
      </c>
      <c r="DH18" s="28" t="s">
        <v>124</v>
      </c>
      <c r="DI18" s="28" t="s">
        <v>97</v>
      </c>
      <c r="DJ18" s="28" t="s">
        <v>125</v>
      </c>
      <c r="DK18" s="28" t="s">
        <v>97</v>
      </c>
      <c r="DL18" s="28" t="s">
        <v>126</v>
      </c>
      <c r="DM18" s="28" t="s">
        <v>97</v>
      </c>
      <c r="DN18" s="28" t="s">
        <v>127</v>
      </c>
      <c r="DO18" s="28" t="s">
        <v>128</v>
      </c>
      <c r="DP18" s="28" t="s">
        <v>129</v>
      </c>
      <c r="DQ18" s="28" t="s">
        <v>128</v>
      </c>
      <c r="DR18" s="28" t="s">
        <v>129</v>
      </c>
      <c r="DS18" s="28" t="s">
        <v>128</v>
      </c>
      <c r="DT18" s="28" t="s">
        <v>129</v>
      </c>
      <c r="DU18" s="28" t="s">
        <v>128</v>
      </c>
      <c r="DV18" s="28" t="s">
        <v>129</v>
      </c>
      <c r="DW18" s="28" t="s">
        <v>128</v>
      </c>
      <c r="DX18" s="28" t="s">
        <v>129</v>
      </c>
      <c r="DY18" s="28" t="s">
        <v>128</v>
      </c>
      <c r="DZ18" s="28" t="s">
        <v>129</v>
      </c>
      <c r="EA18" s="28" t="s">
        <v>128</v>
      </c>
      <c r="EB18" s="28" t="s">
        <v>129</v>
      </c>
      <c r="EC18" s="28" t="s">
        <v>128</v>
      </c>
      <c r="ED18" s="28" t="s">
        <v>129</v>
      </c>
      <c r="EE18" s="28" t="s">
        <v>128</v>
      </c>
      <c r="EF18" s="28" t="s">
        <v>129</v>
      </c>
      <c r="EG18" s="28" t="s">
        <v>128</v>
      </c>
      <c r="EH18" s="214" t="s">
        <v>129</v>
      </c>
    </row>
    <row r="19" spans="1:139" x14ac:dyDescent="0.2">
      <c r="B19" s="23" t="s">
        <v>74</v>
      </c>
      <c r="C19" s="200">
        <v>0</v>
      </c>
      <c r="D19" s="9">
        <v>0.82</v>
      </c>
      <c r="E19" s="2">
        <v>0</v>
      </c>
      <c r="F19" s="310">
        <v>2.9260000000000002</v>
      </c>
      <c r="G19" s="2">
        <v>12967.395614926672</v>
      </c>
      <c r="H19" s="7">
        <v>0.33500000000000002</v>
      </c>
      <c r="I19" s="2">
        <v>4344.0775310004356</v>
      </c>
      <c r="J19" s="310">
        <v>3.97</v>
      </c>
      <c r="K19" s="2">
        <v>0</v>
      </c>
      <c r="L19" s="9">
        <v>0.27</v>
      </c>
      <c r="M19" s="2">
        <v>0</v>
      </c>
      <c r="N19" s="310">
        <v>4.18</v>
      </c>
      <c r="O19" s="2">
        <v>0</v>
      </c>
      <c r="P19" s="9">
        <v>0.39</v>
      </c>
      <c r="Q19" s="2">
        <v>0</v>
      </c>
      <c r="R19" s="310">
        <v>4.99</v>
      </c>
      <c r="S19" s="67">
        <v>12175.269638449252</v>
      </c>
      <c r="T19" s="8">
        <v>0.46</v>
      </c>
      <c r="U19" s="2">
        <v>5600.6240336866558</v>
      </c>
      <c r="V19" s="310">
        <v>4.54</v>
      </c>
      <c r="W19" s="67">
        <v>0</v>
      </c>
      <c r="X19" s="176">
        <v>0</v>
      </c>
      <c r="Y19" s="67">
        <v>0</v>
      </c>
      <c r="Z19" s="310">
        <v>4.99</v>
      </c>
      <c r="AA19" s="67">
        <v>0</v>
      </c>
      <c r="AB19" s="58">
        <v>0.45</v>
      </c>
      <c r="AC19" s="2">
        <v>0</v>
      </c>
      <c r="AD19" s="310">
        <v>1.45</v>
      </c>
      <c r="AE19" s="67">
        <v>0</v>
      </c>
      <c r="AF19" s="176">
        <v>0</v>
      </c>
      <c r="AG19" s="2">
        <v>0</v>
      </c>
      <c r="AH19" s="310">
        <v>1.45</v>
      </c>
      <c r="AI19" s="67">
        <v>0</v>
      </c>
      <c r="AJ19" s="10">
        <v>0.6</v>
      </c>
      <c r="AK19" s="2">
        <v>0</v>
      </c>
      <c r="AL19" s="310">
        <v>0.71</v>
      </c>
      <c r="AM19" s="67">
        <v>0</v>
      </c>
      <c r="AN19" s="176">
        <v>0</v>
      </c>
      <c r="AO19" s="2">
        <v>0</v>
      </c>
      <c r="AP19" s="288">
        <v>0.71</v>
      </c>
      <c r="AQ19" s="209">
        <v>0</v>
      </c>
      <c r="AR19" s="176">
        <v>0</v>
      </c>
      <c r="AS19" s="2">
        <v>0</v>
      </c>
      <c r="AT19" s="310">
        <v>1.45</v>
      </c>
      <c r="AU19" s="176">
        <v>0</v>
      </c>
      <c r="AV19" s="2">
        <v>0</v>
      </c>
      <c r="AW19" s="310">
        <v>0.71</v>
      </c>
      <c r="AX19" s="2">
        <v>0</v>
      </c>
      <c r="AY19" s="18">
        <v>0.44</v>
      </c>
      <c r="AZ19" s="2">
        <v>0</v>
      </c>
      <c r="BA19" s="310">
        <v>2.74</v>
      </c>
      <c r="BB19" s="67">
        <v>0</v>
      </c>
      <c r="BC19" s="176">
        <v>0</v>
      </c>
      <c r="BD19" s="2">
        <v>0</v>
      </c>
      <c r="BE19" s="310">
        <v>2.74</v>
      </c>
      <c r="BF19" s="176">
        <v>0</v>
      </c>
      <c r="BG19" s="67">
        <v>0</v>
      </c>
      <c r="BH19" s="310">
        <v>0.71</v>
      </c>
      <c r="BI19" s="2">
        <v>0</v>
      </c>
      <c r="BJ19" s="9">
        <v>0.54</v>
      </c>
      <c r="BK19" s="2">
        <v>0</v>
      </c>
      <c r="BL19" s="310">
        <v>1.82</v>
      </c>
      <c r="BM19" s="2">
        <v>0</v>
      </c>
      <c r="BN19" s="18">
        <v>0.46</v>
      </c>
      <c r="BO19" s="2">
        <v>0</v>
      </c>
      <c r="BP19" s="288">
        <v>3.02</v>
      </c>
      <c r="BQ19" s="212">
        <v>0</v>
      </c>
      <c r="BR19" s="176">
        <v>0</v>
      </c>
      <c r="BS19" s="2">
        <v>0</v>
      </c>
      <c r="BT19" s="310">
        <v>3.97</v>
      </c>
      <c r="BU19" s="176">
        <v>0</v>
      </c>
      <c r="BV19" s="2">
        <v>0</v>
      </c>
      <c r="BW19" s="310">
        <v>1.83</v>
      </c>
      <c r="BX19" s="176">
        <v>0</v>
      </c>
      <c r="BY19" s="2">
        <v>0</v>
      </c>
      <c r="BZ19" s="310">
        <v>0.71</v>
      </c>
      <c r="CA19" s="67">
        <v>0</v>
      </c>
      <c r="CB19" s="176">
        <v>0</v>
      </c>
      <c r="CC19" s="2">
        <v>0</v>
      </c>
      <c r="CD19" s="310">
        <v>3.97</v>
      </c>
      <c r="CE19" s="176">
        <v>0</v>
      </c>
      <c r="CF19" s="2">
        <v>0</v>
      </c>
      <c r="CG19" s="310">
        <v>1.83</v>
      </c>
      <c r="CH19" s="176">
        <v>0</v>
      </c>
      <c r="CI19" s="2">
        <v>0</v>
      </c>
      <c r="CJ19" s="288">
        <v>0.71</v>
      </c>
      <c r="CK19" s="200">
        <v>0</v>
      </c>
      <c r="CL19" s="288">
        <v>9.8610000000000007</v>
      </c>
      <c r="CM19" s="200">
        <v>0</v>
      </c>
      <c r="CN19" s="9">
        <v>0.94</v>
      </c>
      <c r="CO19" s="181">
        <v>0</v>
      </c>
      <c r="CP19" s="310">
        <v>0.311</v>
      </c>
      <c r="CQ19" s="67">
        <v>0</v>
      </c>
      <c r="CR19" s="21">
        <v>0.55000000000000004</v>
      </c>
      <c r="CS19" s="67">
        <v>0</v>
      </c>
      <c r="CT19" s="310">
        <v>1.2569999999999999</v>
      </c>
      <c r="CU19" s="67">
        <v>0</v>
      </c>
      <c r="CV19" s="21">
        <v>0.55000000000000004</v>
      </c>
      <c r="CW19" s="67">
        <v>0</v>
      </c>
      <c r="CX19" s="310">
        <v>1.2569999999999999</v>
      </c>
      <c r="CY19" s="67">
        <v>0</v>
      </c>
      <c r="CZ19" s="21">
        <v>0.35</v>
      </c>
      <c r="DA19" s="67">
        <v>0</v>
      </c>
      <c r="DB19" s="288">
        <v>0.1</v>
      </c>
      <c r="DC19" s="209">
        <v>3600</v>
      </c>
      <c r="DD19" s="443">
        <v>0.55081999999999998</v>
      </c>
      <c r="DE19" s="67">
        <v>5000</v>
      </c>
      <c r="DF19" s="443">
        <v>1.3779999999999999</v>
      </c>
      <c r="DG19" s="67">
        <v>0</v>
      </c>
      <c r="DH19" s="355"/>
      <c r="DI19" s="67">
        <f>BZ7+CA7-CB7</f>
        <v>0</v>
      </c>
      <c r="DJ19" s="355"/>
      <c r="DK19" s="67">
        <f>CC7+CD7-CE7</f>
        <v>0</v>
      </c>
      <c r="DL19" s="355"/>
      <c r="DM19" s="2">
        <f>CF7+CG7-CH7</f>
        <v>0</v>
      </c>
      <c r="DN19" s="355"/>
      <c r="DO19" s="1">
        <f>CI7+CJ7-CK7</f>
        <v>0</v>
      </c>
      <c r="DP19" s="310">
        <v>625</v>
      </c>
      <c r="DQ19" s="1">
        <f>CL7+CM7-CN7</f>
        <v>0</v>
      </c>
      <c r="DR19" s="310">
        <v>517</v>
      </c>
      <c r="DS19" s="1">
        <f>CO7+CP7-CQ7</f>
        <v>0</v>
      </c>
      <c r="DT19" s="310">
        <v>14.6</v>
      </c>
      <c r="DU19" s="1">
        <f>CR7+CS7-CT7</f>
        <v>0</v>
      </c>
      <c r="DV19" s="310">
        <v>234</v>
      </c>
      <c r="DW19" s="1">
        <f>CU7+CV7-CW7</f>
        <v>0</v>
      </c>
      <c r="DX19" s="310">
        <v>701</v>
      </c>
      <c r="DY19" s="1">
        <f>CX7+CY7-CZ7</f>
        <v>0</v>
      </c>
      <c r="DZ19" s="310">
        <v>1190</v>
      </c>
      <c r="EA19" s="1">
        <f>DA7+DB7-DC7</f>
        <v>0</v>
      </c>
      <c r="EB19" s="310">
        <v>1486</v>
      </c>
      <c r="EC19" s="1">
        <f>DD7+DE7-DF7</f>
        <v>0</v>
      </c>
      <c r="ED19" s="310">
        <v>3084</v>
      </c>
      <c r="EE19" s="1">
        <f>DG7+DH7-DI7</f>
        <v>0</v>
      </c>
      <c r="EF19" s="310">
        <v>193</v>
      </c>
      <c r="EG19" s="1">
        <f>DJ7+DK7-DL7</f>
        <v>0</v>
      </c>
      <c r="EH19" s="288">
        <v>320</v>
      </c>
    </row>
    <row r="20" spans="1:139" x14ac:dyDescent="0.2">
      <c r="B20" s="23" t="s">
        <v>75</v>
      </c>
      <c r="C20" s="200">
        <v>0</v>
      </c>
      <c r="D20" s="9">
        <v>0.82</v>
      </c>
      <c r="E20" s="2">
        <v>0</v>
      </c>
      <c r="F20" s="311"/>
      <c r="G20" s="2">
        <v>12967.395614926672</v>
      </c>
      <c r="H20" s="7">
        <v>0.33500000000000002</v>
      </c>
      <c r="I20" s="2">
        <v>4344.0775310004356</v>
      </c>
      <c r="J20" s="311"/>
      <c r="K20" s="2">
        <v>0</v>
      </c>
      <c r="L20" s="9">
        <v>0.27</v>
      </c>
      <c r="M20" s="2">
        <v>0</v>
      </c>
      <c r="N20" s="311"/>
      <c r="O20" s="2">
        <v>0</v>
      </c>
      <c r="P20" s="9">
        <v>0.39</v>
      </c>
      <c r="Q20" s="2">
        <v>0</v>
      </c>
      <c r="R20" s="311"/>
      <c r="S20" s="67">
        <v>12175.269638449252</v>
      </c>
      <c r="T20" s="8">
        <v>0.46</v>
      </c>
      <c r="U20" s="2">
        <v>5600.6240336866558</v>
      </c>
      <c r="V20" s="311"/>
      <c r="W20" s="67">
        <v>0</v>
      </c>
      <c r="X20" s="176">
        <v>0</v>
      </c>
      <c r="Y20" s="67">
        <v>0</v>
      </c>
      <c r="Z20" s="311"/>
      <c r="AA20" s="67">
        <v>0</v>
      </c>
      <c r="AB20" s="58">
        <v>0.45</v>
      </c>
      <c r="AC20" s="2">
        <v>0</v>
      </c>
      <c r="AD20" s="311"/>
      <c r="AE20" s="67">
        <v>0</v>
      </c>
      <c r="AF20" s="176">
        <v>0</v>
      </c>
      <c r="AG20" s="2">
        <v>0</v>
      </c>
      <c r="AH20" s="311"/>
      <c r="AI20" s="67">
        <v>0</v>
      </c>
      <c r="AJ20" s="10">
        <v>0.6</v>
      </c>
      <c r="AK20" s="2">
        <v>0</v>
      </c>
      <c r="AL20" s="311"/>
      <c r="AM20" s="67">
        <v>0</v>
      </c>
      <c r="AN20" s="176">
        <v>0</v>
      </c>
      <c r="AO20" s="2">
        <v>0</v>
      </c>
      <c r="AP20" s="289"/>
      <c r="AQ20" s="209">
        <v>0</v>
      </c>
      <c r="AR20" s="176">
        <v>0</v>
      </c>
      <c r="AS20" s="2">
        <v>0</v>
      </c>
      <c r="AT20" s="311"/>
      <c r="AU20" s="176">
        <v>0</v>
      </c>
      <c r="AV20" s="2">
        <v>0</v>
      </c>
      <c r="AW20" s="311"/>
      <c r="AX20" s="2">
        <v>0</v>
      </c>
      <c r="AY20" s="18">
        <v>0.44</v>
      </c>
      <c r="AZ20" s="2">
        <v>0</v>
      </c>
      <c r="BA20" s="311"/>
      <c r="BB20" s="67">
        <v>0</v>
      </c>
      <c r="BC20" s="176">
        <v>0</v>
      </c>
      <c r="BD20" s="2">
        <v>0</v>
      </c>
      <c r="BE20" s="311"/>
      <c r="BF20" s="176">
        <v>0</v>
      </c>
      <c r="BG20" s="67">
        <v>0</v>
      </c>
      <c r="BH20" s="311"/>
      <c r="BI20" s="2">
        <v>0</v>
      </c>
      <c r="BJ20" s="9">
        <v>0.54</v>
      </c>
      <c r="BK20" s="2">
        <v>0</v>
      </c>
      <c r="BL20" s="311"/>
      <c r="BM20" s="2">
        <v>0</v>
      </c>
      <c r="BN20" s="18">
        <v>0.46</v>
      </c>
      <c r="BO20" s="2">
        <v>0</v>
      </c>
      <c r="BP20" s="289"/>
      <c r="BQ20" s="212">
        <v>0</v>
      </c>
      <c r="BR20" s="176">
        <v>0</v>
      </c>
      <c r="BS20" s="2">
        <v>0</v>
      </c>
      <c r="BT20" s="311"/>
      <c r="BU20" s="176">
        <v>0</v>
      </c>
      <c r="BV20" s="2">
        <v>0</v>
      </c>
      <c r="BW20" s="311"/>
      <c r="BX20" s="176">
        <v>0</v>
      </c>
      <c r="BY20" s="2">
        <v>0</v>
      </c>
      <c r="BZ20" s="311"/>
      <c r="CA20" s="67">
        <v>0</v>
      </c>
      <c r="CB20" s="176">
        <v>0</v>
      </c>
      <c r="CC20" s="2">
        <v>0</v>
      </c>
      <c r="CD20" s="311"/>
      <c r="CE20" s="176">
        <v>0</v>
      </c>
      <c r="CF20" s="2">
        <v>0</v>
      </c>
      <c r="CG20" s="311"/>
      <c r="CH20" s="176">
        <v>0</v>
      </c>
      <c r="CI20" s="2">
        <v>0</v>
      </c>
      <c r="CJ20" s="289"/>
      <c r="CK20" s="200">
        <v>0</v>
      </c>
      <c r="CL20" s="289"/>
      <c r="CM20" s="200">
        <v>0</v>
      </c>
      <c r="CN20" s="9">
        <v>0.94</v>
      </c>
      <c r="CO20" s="181">
        <v>0</v>
      </c>
      <c r="CP20" s="311"/>
      <c r="CQ20" s="67">
        <v>0</v>
      </c>
      <c r="CR20" s="21">
        <v>0.55000000000000004</v>
      </c>
      <c r="CS20" s="67">
        <v>0</v>
      </c>
      <c r="CT20" s="311"/>
      <c r="CU20" s="67">
        <v>0</v>
      </c>
      <c r="CV20" s="21">
        <v>0.55000000000000004</v>
      </c>
      <c r="CW20" s="67">
        <v>0</v>
      </c>
      <c r="CX20" s="311"/>
      <c r="CY20" s="67">
        <v>0</v>
      </c>
      <c r="CZ20" s="21">
        <v>0.35</v>
      </c>
      <c r="DA20" s="67">
        <v>0</v>
      </c>
      <c r="DB20" s="289"/>
      <c r="DC20" s="209">
        <v>3600</v>
      </c>
      <c r="DD20" s="443"/>
      <c r="DE20" s="67">
        <v>5000</v>
      </c>
      <c r="DF20" s="443"/>
      <c r="DG20" s="67">
        <v>0</v>
      </c>
      <c r="DH20" s="356"/>
      <c r="DI20" s="67">
        <f t="shared" ref="DI20:DI23" si="0">BZ8+CA8-CB8</f>
        <v>0</v>
      </c>
      <c r="DJ20" s="356"/>
      <c r="DK20" s="67">
        <f t="shared" ref="DK20:DK23" si="1">CC8+CD8-CE8</f>
        <v>0</v>
      </c>
      <c r="DL20" s="356"/>
      <c r="DM20" s="2">
        <f>CF8+CG8-CH8</f>
        <v>0</v>
      </c>
      <c r="DN20" s="356"/>
      <c r="DO20" s="1">
        <f>CI8+CJ8-CK8</f>
        <v>0</v>
      </c>
      <c r="DP20" s="311"/>
      <c r="DQ20" s="1">
        <f>CL8+CM8-CN8</f>
        <v>0</v>
      </c>
      <c r="DR20" s="311"/>
      <c r="DS20" s="1">
        <f>CO8+CP8-CQ8</f>
        <v>0</v>
      </c>
      <c r="DT20" s="311"/>
      <c r="DU20" s="1">
        <f>CR8+CS8-CT8</f>
        <v>0</v>
      </c>
      <c r="DV20" s="311"/>
      <c r="DW20" s="1">
        <f>CU8+CV8-CW8</f>
        <v>0</v>
      </c>
      <c r="DX20" s="311"/>
      <c r="DY20" s="1">
        <f>CX8+CY8-CZ8</f>
        <v>0</v>
      </c>
      <c r="DZ20" s="311"/>
      <c r="EA20" s="1">
        <f>DA8+DB8-DC8</f>
        <v>0</v>
      </c>
      <c r="EB20" s="311"/>
      <c r="EC20" s="1">
        <f>DD8+DE8-DF8</f>
        <v>0</v>
      </c>
      <c r="ED20" s="311"/>
      <c r="EE20" s="1">
        <f>DG8+DH8-DI8</f>
        <v>0</v>
      </c>
      <c r="EF20" s="311"/>
      <c r="EG20" s="1">
        <f>DJ8+DK8-DL8</f>
        <v>0</v>
      </c>
      <c r="EH20" s="289"/>
    </row>
    <row r="21" spans="1:139" x14ac:dyDescent="0.2">
      <c r="B21" s="23" t="s">
        <v>76</v>
      </c>
      <c r="C21" s="200">
        <v>0</v>
      </c>
      <c r="D21" s="9">
        <v>0.82</v>
      </c>
      <c r="E21" s="2">
        <v>0</v>
      </c>
      <c r="F21" s="311"/>
      <c r="G21" s="2">
        <v>12967.395614926672</v>
      </c>
      <c r="H21" s="7">
        <v>0.33500000000000002</v>
      </c>
      <c r="I21" s="2">
        <v>4344.0775310004356</v>
      </c>
      <c r="J21" s="311"/>
      <c r="K21" s="2">
        <v>0</v>
      </c>
      <c r="L21" s="9">
        <v>0.27</v>
      </c>
      <c r="M21" s="2">
        <v>0</v>
      </c>
      <c r="N21" s="311"/>
      <c r="O21" s="2">
        <v>0</v>
      </c>
      <c r="P21" s="9">
        <v>0.39</v>
      </c>
      <c r="Q21" s="2">
        <v>0</v>
      </c>
      <c r="R21" s="311"/>
      <c r="S21" s="67">
        <v>12175.269638449252</v>
      </c>
      <c r="T21" s="8">
        <v>0.46</v>
      </c>
      <c r="U21" s="2">
        <v>5600.6240336866558</v>
      </c>
      <c r="V21" s="311"/>
      <c r="W21" s="67">
        <v>0</v>
      </c>
      <c r="X21" s="176">
        <v>0</v>
      </c>
      <c r="Y21" s="67">
        <v>0</v>
      </c>
      <c r="Z21" s="311"/>
      <c r="AA21" s="67">
        <v>0</v>
      </c>
      <c r="AB21" s="58">
        <v>0.45</v>
      </c>
      <c r="AC21" s="2">
        <v>0</v>
      </c>
      <c r="AD21" s="311"/>
      <c r="AE21" s="67">
        <v>0</v>
      </c>
      <c r="AF21" s="176">
        <v>0</v>
      </c>
      <c r="AG21" s="2">
        <v>0</v>
      </c>
      <c r="AH21" s="311"/>
      <c r="AI21" s="67">
        <v>0</v>
      </c>
      <c r="AJ21" s="10">
        <v>0.6</v>
      </c>
      <c r="AK21" s="2">
        <v>0</v>
      </c>
      <c r="AL21" s="311"/>
      <c r="AM21" s="67">
        <v>0</v>
      </c>
      <c r="AN21" s="176">
        <v>0</v>
      </c>
      <c r="AO21" s="2">
        <v>0</v>
      </c>
      <c r="AP21" s="289"/>
      <c r="AQ21" s="209">
        <v>0</v>
      </c>
      <c r="AR21" s="176">
        <v>0</v>
      </c>
      <c r="AS21" s="2">
        <v>0</v>
      </c>
      <c r="AT21" s="311"/>
      <c r="AU21" s="176">
        <v>0</v>
      </c>
      <c r="AV21" s="2">
        <v>0</v>
      </c>
      <c r="AW21" s="311"/>
      <c r="AX21" s="2">
        <v>0</v>
      </c>
      <c r="AY21" s="18">
        <v>0.44</v>
      </c>
      <c r="AZ21" s="2">
        <v>0</v>
      </c>
      <c r="BA21" s="311"/>
      <c r="BB21" s="67">
        <v>0</v>
      </c>
      <c r="BC21" s="176">
        <v>0</v>
      </c>
      <c r="BD21" s="2">
        <v>0</v>
      </c>
      <c r="BE21" s="311"/>
      <c r="BF21" s="176">
        <v>0</v>
      </c>
      <c r="BG21" s="67">
        <v>0</v>
      </c>
      <c r="BH21" s="311"/>
      <c r="BI21" s="2">
        <v>0</v>
      </c>
      <c r="BJ21" s="9">
        <v>0.54</v>
      </c>
      <c r="BK21" s="2">
        <v>0</v>
      </c>
      <c r="BL21" s="311"/>
      <c r="BM21" s="2">
        <v>0</v>
      </c>
      <c r="BN21" s="18">
        <v>0.46</v>
      </c>
      <c r="BO21" s="2">
        <v>0</v>
      </c>
      <c r="BP21" s="289"/>
      <c r="BQ21" s="212">
        <v>0</v>
      </c>
      <c r="BR21" s="176">
        <v>0</v>
      </c>
      <c r="BS21" s="2">
        <v>0</v>
      </c>
      <c r="BT21" s="311"/>
      <c r="BU21" s="176">
        <v>0</v>
      </c>
      <c r="BV21" s="2">
        <v>0</v>
      </c>
      <c r="BW21" s="311"/>
      <c r="BX21" s="176">
        <v>0</v>
      </c>
      <c r="BY21" s="2">
        <v>0</v>
      </c>
      <c r="BZ21" s="311"/>
      <c r="CA21" s="67">
        <v>0</v>
      </c>
      <c r="CB21" s="176">
        <v>0</v>
      </c>
      <c r="CC21" s="2">
        <v>0</v>
      </c>
      <c r="CD21" s="311"/>
      <c r="CE21" s="176">
        <v>0</v>
      </c>
      <c r="CF21" s="2">
        <v>0</v>
      </c>
      <c r="CG21" s="311"/>
      <c r="CH21" s="176">
        <v>0</v>
      </c>
      <c r="CI21" s="2">
        <v>0</v>
      </c>
      <c r="CJ21" s="289"/>
      <c r="CK21" s="200">
        <v>0</v>
      </c>
      <c r="CL21" s="289"/>
      <c r="CM21" s="200">
        <v>0</v>
      </c>
      <c r="CN21" s="9">
        <v>0.94</v>
      </c>
      <c r="CO21" s="181">
        <v>0</v>
      </c>
      <c r="CP21" s="311"/>
      <c r="CQ21" s="67">
        <v>0</v>
      </c>
      <c r="CR21" s="21">
        <v>0.55000000000000004</v>
      </c>
      <c r="CS21" s="67">
        <v>0</v>
      </c>
      <c r="CT21" s="311"/>
      <c r="CU21" s="67">
        <v>0</v>
      </c>
      <c r="CV21" s="21">
        <v>0.55000000000000004</v>
      </c>
      <c r="CW21" s="67">
        <v>0</v>
      </c>
      <c r="CX21" s="311"/>
      <c r="CY21" s="67">
        <v>0</v>
      </c>
      <c r="CZ21" s="21">
        <v>0.35</v>
      </c>
      <c r="DA21" s="67">
        <v>0</v>
      </c>
      <c r="DB21" s="289"/>
      <c r="DC21" s="209">
        <v>3600</v>
      </c>
      <c r="DD21" s="443"/>
      <c r="DE21" s="67">
        <v>5000</v>
      </c>
      <c r="DF21" s="443"/>
      <c r="DG21" s="67">
        <v>0</v>
      </c>
      <c r="DH21" s="356"/>
      <c r="DI21" s="67">
        <f t="shared" si="0"/>
        <v>0</v>
      </c>
      <c r="DJ21" s="356"/>
      <c r="DK21" s="67">
        <f t="shared" si="1"/>
        <v>0</v>
      </c>
      <c r="DL21" s="356"/>
      <c r="DM21" s="2">
        <f>CF9+CG9-CH9</f>
        <v>0</v>
      </c>
      <c r="DN21" s="356"/>
      <c r="DO21" s="1">
        <f>CI9+CJ9-CK9</f>
        <v>0</v>
      </c>
      <c r="DP21" s="311"/>
      <c r="DQ21" s="1">
        <f>CL9+CM9-CN9</f>
        <v>0</v>
      </c>
      <c r="DR21" s="311"/>
      <c r="DS21" s="1">
        <f>CO9+CP9-CQ9</f>
        <v>0</v>
      </c>
      <c r="DT21" s="311"/>
      <c r="DU21" s="1">
        <f>CR9+CS9-CT9</f>
        <v>0</v>
      </c>
      <c r="DV21" s="311"/>
      <c r="DW21" s="1">
        <f>CU9+CV9-CW9</f>
        <v>0</v>
      </c>
      <c r="DX21" s="311"/>
      <c r="DY21" s="1">
        <f>CX9+CY9-CZ9</f>
        <v>0</v>
      </c>
      <c r="DZ21" s="311"/>
      <c r="EA21" s="1">
        <f>DA9+DB9-DC9</f>
        <v>0</v>
      </c>
      <c r="EB21" s="311"/>
      <c r="EC21" s="1">
        <f>DD9+DE9-DF9</f>
        <v>0</v>
      </c>
      <c r="ED21" s="311"/>
      <c r="EE21" s="1">
        <f>DG9+DH9-DI9</f>
        <v>0</v>
      </c>
      <c r="EF21" s="311"/>
      <c r="EG21" s="1">
        <f>DJ9+DK9-DL9</f>
        <v>0</v>
      </c>
      <c r="EH21" s="289"/>
    </row>
    <row r="22" spans="1:139" x14ac:dyDescent="0.2">
      <c r="B22" s="23" t="s">
        <v>77</v>
      </c>
      <c r="C22" s="200">
        <v>0</v>
      </c>
      <c r="D22" s="9">
        <v>0.82</v>
      </c>
      <c r="E22" s="2">
        <v>0</v>
      </c>
      <c r="F22" s="311"/>
      <c r="G22" s="2">
        <v>12967.395614926672</v>
      </c>
      <c r="H22" s="7">
        <v>0.33500000000000002</v>
      </c>
      <c r="I22" s="2">
        <v>4344.0775310004356</v>
      </c>
      <c r="J22" s="311"/>
      <c r="K22" s="2">
        <v>0</v>
      </c>
      <c r="L22" s="9">
        <v>0.27</v>
      </c>
      <c r="M22" s="2">
        <v>0</v>
      </c>
      <c r="N22" s="311"/>
      <c r="O22" s="2">
        <v>0</v>
      </c>
      <c r="P22" s="9">
        <v>0.39</v>
      </c>
      <c r="Q22" s="2">
        <v>0</v>
      </c>
      <c r="R22" s="311"/>
      <c r="S22" s="67">
        <v>12175.269638449252</v>
      </c>
      <c r="T22" s="8">
        <v>0.46</v>
      </c>
      <c r="U22" s="2">
        <v>5600.6240336866558</v>
      </c>
      <c r="V22" s="311"/>
      <c r="W22" s="67">
        <v>0</v>
      </c>
      <c r="X22" s="176">
        <v>0</v>
      </c>
      <c r="Y22" s="67">
        <v>0</v>
      </c>
      <c r="Z22" s="311"/>
      <c r="AA22" s="67">
        <v>0</v>
      </c>
      <c r="AB22" s="58">
        <v>0.45</v>
      </c>
      <c r="AC22" s="2">
        <v>0</v>
      </c>
      <c r="AD22" s="311"/>
      <c r="AE22" s="67">
        <v>0</v>
      </c>
      <c r="AF22" s="176">
        <v>0</v>
      </c>
      <c r="AG22" s="2">
        <v>0</v>
      </c>
      <c r="AH22" s="311"/>
      <c r="AI22" s="67">
        <v>0</v>
      </c>
      <c r="AJ22" s="10">
        <v>0.6</v>
      </c>
      <c r="AK22" s="2">
        <v>0</v>
      </c>
      <c r="AL22" s="311"/>
      <c r="AM22" s="67">
        <v>0</v>
      </c>
      <c r="AN22" s="176">
        <v>0</v>
      </c>
      <c r="AO22" s="2">
        <v>0</v>
      </c>
      <c r="AP22" s="289"/>
      <c r="AQ22" s="209">
        <v>0</v>
      </c>
      <c r="AR22" s="176">
        <v>0</v>
      </c>
      <c r="AS22" s="2">
        <v>0</v>
      </c>
      <c r="AT22" s="311"/>
      <c r="AU22" s="176">
        <v>0</v>
      </c>
      <c r="AV22" s="2">
        <v>0</v>
      </c>
      <c r="AW22" s="311"/>
      <c r="AX22" s="2">
        <v>0</v>
      </c>
      <c r="AY22" s="18">
        <v>0.44</v>
      </c>
      <c r="AZ22" s="2">
        <v>0</v>
      </c>
      <c r="BA22" s="311"/>
      <c r="BB22" s="67">
        <v>0</v>
      </c>
      <c r="BC22" s="176">
        <v>0</v>
      </c>
      <c r="BD22" s="2">
        <v>0</v>
      </c>
      <c r="BE22" s="311"/>
      <c r="BF22" s="176">
        <v>0</v>
      </c>
      <c r="BG22" s="67">
        <v>0</v>
      </c>
      <c r="BH22" s="311"/>
      <c r="BI22" s="2">
        <v>0</v>
      </c>
      <c r="BJ22" s="9">
        <v>0.54</v>
      </c>
      <c r="BK22" s="2">
        <v>0</v>
      </c>
      <c r="BL22" s="311"/>
      <c r="BM22" s="2">
        <v>0</v>
      </c>
      <c r="BN22" s="18">
        <v>0.46</v>
      </c>
      <c r="BO22" s="2">
        <v>0</v>
      </c>
      <c r="BP22" s="289"/>
      <c r="BQ22" s="212">
        <v>0</v>
      </c>
      <c r="BR22" s="176">
        <v>0</v>
      </c>
      <c r="BS22" s="2">
        <v>0</v>
      </c>
      <c r="BT22" s="311"/>
      <c r="BU22" s="176">
        <v>0</v>
      </c>
      <c r="BV22" s="2">
        <v>0</v>
      </c>
      <c r="BW22" s="311"/>
      <c r="BX22" s="176">
        <v>0</v>
      </c>
      <c r="BY22" s="2">
        <v>0</v>
      </c>
      <c r="BZ22" s="311"/>
      <c r="CA22" s="67">
        <v>0</v>
      </c>
      <c r="CB22" s="176">
        <v>0</v>
      </c>
      <c r="CC22" s="2">
        <v>0</v>
      </c>
      <c r="CD22" s="311"/>
      <c r="CE22" s="176">
        <v>0</v>
      </c>
      <c r="CF22" s="2">
        <v>0</v>
      </c>
      <c r="CG22" s="311"/>
      <c r="CH22" s="176">
        <v>0</v>
      </c>
      <c r="CI22" s="2">
        <v>0</v>
      </c>
      <c r="CJ22" s="289"/>
      <c r="CK22" s="200">
        <v>0</v>
      </c>
      <c r="CL22" s="289"/>
      <c r="CM22" s="200">
        <v>0</v>
      </c>
      <c r="CN22" s="9">
        <v>0.94</v>
      </c>
      <c r="CO22" s="181">
        <v>0</v>
      </c>
      <c r="CP22" s="311"/>
      <c r="CQ22" s="67">
        <v>0</v>
      </c>
      <c r="CR22" s="21">
        <v>0.55000000000000004</v>
      </c>
      <c r="CS22" s="67">
        <v>0</v>
      </c>
      <c r="CT22" s="311"/>
      <c r="CU22" s="67">
        <v>0</v>
      </c>
      <c r="CV22" s="21">
        <v>0.55000000000000004</v>
      </c>
      <c r="CW22" s="67">
        <v>0</v>
      </c>
      <c r="CX22" s="311"/>
      <c r="CY22" s="67">
        <v>0</v>
      </c>
      <c r="CZ22" s="21">
        <v>0.35</v>
      </c>
      <c r="DA22" s="67">
        <v>0</v>
      </c>
      <c r="DB22" s="289"/>
      <c r="DC22" s="209">
        <v>3600</v>
      </c>
      <c r="DD22" s="443"/>
      <c r="DE22" s="67">
        <v>5000</v>
      </c>
      <c r="DF22" s="443"/>
      <c r="DG22" s="67">
        <v>0</v>
      </c>
      <c r="DH22" s="356"/>
      <c r="DI22" s="67">
        <f t="shared" si="0"/>
        <v>0</v>
      </c>
      <c r="DJ22" s="356"/>
      <c r="DK22" s="67">
        <f t="shared" si="1"/>
        <v>0</v>
      </c>
      <c r="DL22" s="356"/>
      <c r="DM22" s="2">
        <f>CF10+CG10-CH10</f>
        <v>0</v>
      </c>
      <c r="DN22" s="356"/>
      <c r="DO22" s="1">
        <f>CI10+CJ10-CK10</f>
        <v>0</v>
      </c>
      <c r="DP22" s="311"/>
      <c r="DQ22" s="1">
        <f>CL10+CM10-CN10</f>
        <v>0</v>
      </c>
      <c r="DR22" s="311"/>
      <c r="DS22" s="1">
        <f>CO10+CP10-CQ10</f>
        <v>0</v>
      </c>
      <c r="DT22" s="311"/>
      <c r="DU22" s="1">
        <f>CR10+CS10-CT10</f>
        <v>0</v>
      </c>
      <c r="DV22" s="311"/>
      <c r="DW22" s="1">
        <f>CU10+CV10-CW10</f>
        <v>0</v>
      </c>
      <c r="DX22" s="311"/>
      <c r="DY22" s="1">
        <f>CX10+CY10-CZ10</f>
        <v>0</v>
      </c>
      <c r="DZ22" s="311"/>
      <c r="EA22" s="1">
        <f>DA10+DB10-DC10</f>
        <v>0</v>
      </c>
      <c r="EB22" s="311"/>
      <c r="EC22" s="1">
        <f>DD10+DE10-DF10</f>
        <v>0</v>
      </c>
      <c r="ED22" s="311"/>
      <c r="EE22" s="1">
        <f>DG10+DH10-DI10</f>
        <v>0</v>
      </c>
      <c r="EF22" s="311"/>
      <c r="EG22" s="1">
        <f>DJ10+DK10-DL10</f>
        <v>0</v>
      </c>
      <c r="EH22" s="289"/>
    </row>
    <row r="23" spans="1:139" ht="16" thickBot="1" x14ac:dyDescent="0.25">
      <c r="B23" s="23" t="s">
        <v>78</v>
      </c>
      <c r="C23" s="201">
        <v>0</v>
      </c>
      <c r="D23" s="202">
        <v>0.82</v>
      </c>
      <c r="E23" s="203">
        <v>0</v>
      </c>
      <c r="F23" s="312"/>
      <c r="G23" s="203">
        <v>12967.395614926672</v>
      </c>
      <c r="H23" s="204">
        <v>0.33500000000000002</v>
      </c>
      <c r="I23" s="203">
        <v>4344.0775310004356</v>
      </c>
      <c r="J23" s="312"/>
      <c r="K23" s="203">
        <v>0</v>
      </c>
      <c r="L23" s="202">
        <v>0.27</v>
      </c>
      <c r="M23" s="203">
        <v>0</v>
      </c>
      <c r="N23" s="312"/>
      <c r="O23" s="203">
        <v>0</v>
      </c>
      <c r="P23" s="202">
        <v>0.39</v>
      </c>
      <c r="Q23" s="203">
        <v>0</v>
      </c>
      <c r="R23" s="312"/>
      <c r="S23" s="205">
        <v>12175.269638449252</v>
      </c>
      <c r="T23" s="206">
        <v>0.46</v>
      </c>
      <c r="U23" s="203">
        <v>5600.6240336866558</v>
      </c>
      <c r="V23" s="312"/>
      <c r="W23" s="205">
        <v>0</v>
      </c>
      <c r="X23" s="219">
        <v>0</v>
      </c>
      <c r="Y23" s="220">
        <v>0</v>
      </c>
      <c r="Z23" s="312"/>
      <c r="AA23" s="205">
        <v>0</v>
      </c>
      <c r="AB23" s="207">
        <v>0.45</v>
      </c>
      <c r="AC23" s="203">
        <v>0</v>
      </c>
      <c r="AD23" s="312"/>
      <c r="AE23" s="205">
        <v>0</v>
      </c>
      <c r="AF23" s="219">
        <v>0</v>
      </c>
      <c r="AG23" s="203">
        <v>0</v>
      </c>
      <c r="AH23" s="312"/>
      <c r="AI23" s="205">
        <v>0</v>
      </c>
      <c r="AJ23" s="208">
        <v>0.6</v>
      </c>
      <c r="AK23" s="203">
        <v>0</v>
      </c>
      <c r="AL23" s="312"/>
      <c r="AM23" s="205">
        <v>0</v>
      </c>
      <c r="AN23" s="219">
        <v>0</v>
      </c>
      <c r="AO23" s="203">
        <v>0</v>
      </c>
      <c r="AP23" s="290"/>
      <c r="AQ23" s="210">
        <v>0</v>
      </c>
      <c r="AR23" s="219">
        <v>0</v>
      </c>
      <c r="AS23" s="203">
        <v>0</v>
      </c>
      <c r="AT23" s="312"/>
      <c r="AU23" s="219">
        <v>0</v>
      </c>
      <c r="AV23" s="203">
        <v>0</v>
      </c>
      <c r="AW23" s="312"/>
      <c r="AX23" s="203">
        <v>0</v>
      </c>
      <c r="AY23" s="211">
        <v>0.44</v>
      </c>
      <c r="AZ23" s="203">
        <v>0</v>
      </c>
      <c r="BA23" s="312"/>
      <c r="BB23" s="205">
        <v>0</v>
      </c>
      <c r="BC23" s="219">
        <v>0</v>
      </c>
      <c r="BD23" s="203">
        <v>0</v>
      </c>
      <c r="BE23" s="312"/>
      <c r="BF23" s="219">
        <v>0</v>
      </c>
      <c r="BG23" s="205">
        <v>0</v>
      </c>
      <c r="BH23" s="312"/>
      <c r="BI23" s="203">
        <v>0</v>
      </c>
      <c r="BJ23" s="202">
        <v>0.54</v>
      </c>
      <c r="BK23" s="203">
        <v>0</v>
      </c>
      <c r="BL23" s="312"/>
      <c r="BM23" s="203">
        <v>0</v>
      </c>
      <c r="BN23" s="211">
        <v>0.46</v>
      </c>
      <c r="BO23" s="203">
        <v>0</v>
      </c>
      <c r="BP23" s="290"/>
      <c r="BQ23" s="201">
        <v>0</v>
      </c>
      <c r="BR23" s="219">
        <v>0</v>
      </c>
      <c r="BS23" s="203">
        <v>0</v>
      </c>
      <c r="BT23" s="312"/>
      <c r="BU23" s="219">
        <v>0</v>
      </c>
      <c r="BV23" s="203">
        <v>0</v>
      </c>
      <c r="BW23" s="312"/>
      <c r="BX23" s="219">
        <v>0</v>
      </c>
      <c r="BY23" s="203">
        <v>0</v>
      </c>
      <c r="BZ23" s="312"/>
      <c r="CA23" s="205">
        <v>0</v>
      </c>
      <c r="CB23" s="219">
        <v>0</v>
      </c>
      <c r="CC23" s="203">
        <v>0</v>
      </c>
      <c r="CD23" s="312"/>
      <c r="CE23" s="219">
        <v>0</v>
      </c>
      <c r="CF23" s="203">
        <v>0</v>
      </c>
      <c r="CG23" s="312"/>
      <c r="CH23" s="219">
        <v>0</v>
      </c>
      <c r="CI23" s="203">
        <v>0</v>
      </c>
      <c r="CJ23" s="290"/>
      <c r="CK23" s="201">
        <v>0</v>
      </c>
      <c r="CL23" s="290"/>
      <c r="CM23" s="201">
        <v>0</v>
      </c>
      <c r="CN23" s="202">
        <v>0.94</v>
      </c>
      <c r="CO23" s="203">
        <v>0</v>
      </c>
      <c r="CP23" s="312"/>
      <c r="CQ23" s="205">
        <v>0</v>
      </c>
      <c r="CR23" s="217">
        <v>0.55000000000000004</v>
      </c>
      <c r="CS23" s="205">
        <v>0</v>
      </c>
      <c r="CT23" s="312"/>
      <c r="CU23" s="205">
        <v>0</v>
      </c>
      <c r="CV23" s="217">
        <v>0.55000000000000004</v>
      </c>
      <c r="CW23" s="205">
        <v>0</v>
      </c>
      <c r="CX23" s="312"/>
      <c r="CY23" s="205">
        <v>0</v>
      </c>
      <c r="CZ23" s="217">
        <v>0.35</v>
      </c>
      <c r="DA23" s="205">
        <v>0</v>
      </c>
      <c r="DB23" s="290"/>
      <c r="DC23" s="210">
        <v>3600</v>
      </c>
      <c r="DD23" s="443"/>
      <c r="DE23" s="205">
        <v>5000</v>
      </c>
      <c r="DF23" s="443"/>
      <c r="DG23" s="205">
        <v>0</v>
      </c>
      <c r="DH23" s="357"/>
      <c r="DI23" s="205">
        <f t="shared" si="0"/>
        <v>0</v>
      </c>
      <c r="DJ23" s="357"/>
      <c r="DK23" s="205">
        <f t="shared" si="1"/>
        <v>0</v>
      </c>
      <c r="DL23" s="357"/>
      <c r="DM23" s="203">
        <f>CF11+CG11-CH11</f>
        <v>0</v>
      </c>
      <c r="DN23" s="357"/>
      <c r="DO23" s="218">
        <f>CI11+CJ11-CK11</f>
        <v>0</v>
      </c>
      <c r="DP23" s="312"/>
      <c r="DQ23" s="218">
        <f>CL11+CM11-CN11</f>
        <v>0</v>
      </c>
      <c r="DR23" s="312"/>
      <c r="DS23" s="218">
        <f>CO11+CP11-CQ11</f>
        <v>0</v>
      </c>
      <c r="DT23" s="312"/>
      <c r="DU23" s="218">
        <f>CR11+CS11-CT11</f>
        <v>0</v>
      </c>
      <c r="DV23" s="312"/>
      <c r="DW23" s="218">
        <f>CU11+CV11-CW11</f>
        <v>0</v>
      </c>
      <c r="DX23" s="312"/>
      <c r="DY23" s="218">
        <f>CX11+CY11-CZ11</f>
        <v>0</v>
      </c>
      <c r="DZ23" s="312"/>
      <c r="EA23" s="218">
        <f>DA11+DB11-DC11</f>
        <v>0</v>
      </c>
      <c r="EB23" s="312"/>
      <c r="EC23" s="218">
        <f>DD11+DE11-DF11</f>
        <v>0</v>
      </c>
      <c r="ED23" s="312"/>
      <c r="EE23" s="218">
        <f>DG11+DH11-DI11</f>
        <v>0</v>
      </c>
      <c r="EF23" s="312"/>
      <c r="EG23" s="218">
        <f>DJ11+DK11-DL11</f>
        <v>0</v>
      </c>
      <c r="EH23" s="290"/>
    </row>
    <row r="24" spans="1:139" x14ac:dyDescent="0.2">
      <c r="B24" s="5" t="s">
        <v>130</v>
      </c>
      <c r="C24" s="72">
        <f>SUM(C19:C23)</f>
        <v>0</v>
      </c>
      <c r="E24" s="72">
        <f>SUM(E19:E23)</f>
        <v>0</v>
      </c>
      <c r="G24" s="72">
        <f>SUM(G19:G23)</f>
        <v>64836.978074633364</v>
      </c>
      <c r="I24" s="72">
        <f>SUM(I19:I23)</f>
        <v>21720.387655002178</v>
      </c>
      <c r="K24" s="72">
        <f>SUM(K19:K23)</f>
        <v>0</v>
      </c>
      <c r="M24" s="72">
        <f>SUM(M19:M23)</f>
        <v>0</v>
      </c>
      <c r="O24" s="72">
        <f>SUM(O19:O23)</f>
        <v>0</v>
      </c>
      <c r="Q24" s="197">
        <f>SUM(Q19:Q23)</f>
        <v>0</v>
      </c>
      <c r="S24" s="72">
        <f>SUM(S19:S23)</f>
        <v>60876.34819224626</v>
      </c>
      <c r="U24" s="72">
        <f>SUM(U19:U23)</f>
        <v>28003.120168433277</v>
      </c>
      <c r="W24" s="72">
        <f>SUM(W19:W23)</f>
        <v>0</v>
      </c>
      <c r="Y24" s="72">
        <f>SUM(Y19:Y23)</f>
        <v>0</v>
      </c>
      <c r="AA24" s="72">
        <f>SUM(AA19:AA23)</f>
        <v>0</v>
      </c>
      <c r="AC24" s="197">
        <f>SUM(AC19:AC23)</f>
        <v>0</v>
      </c>
      <c r="AE24" s="197">
        <f>SUM(AE19:AE23)</f>
        <v>0</v>
      </c>
      <c r="AG24" s="72">
        <f>SUM(AG19:AG23)</f>
        <v>0</v>
      </c>
      <c r="AI24" s="72">
        <f>SUM(AI19:AI23)</f>
        <v>0</v>
      </c>
      <c r="AK24" s="72">
        <f>SUM(AK19:AK23)</f>
        <v>0</v>
      </c>
      <c r="AM24" s="197">
        <f>SUM(AM19:AM23)</f>
        <v>0</v>
      </c>
      <c r="AO24" s="197">
        <f>SUM(AO19:AO23)</f>
        <v>0</v>
      </c>
      <c r="AQ24" s="72">
        <f>SUM(AQ19:AQ23)</f>
        <v>0</v>
      </c>
      <c r="AS24" s="72">
        <f>SUM(AS19:AS23)</f>
        <v>0</v>
      </c>
      <c r="AV24" s="197">
        <f>SUM(AV19:AV23)</f>
        <v>0</v>
      </c>
      <c r="AZ24" s="197">
        <f>SUM(AZ19:AZ23)</f>
        <v>0</v>
      </c>
      <c r="BB24" s="197">
        <f>SUM(BB19:BB23)</f>
        <v>0</v>
      </c>
      <c r="BD24" s="197">
        <f>SUM(BD19:BD23)</f>
        <v>0</v>
      </c>
      <c r="BG24" s="197">
        <f>SUM(BG19:BG23)</f>
        <v>0</v>
      </c>
      <c r="BK24" s="197">
        <f>SUM(BK19:BK23)</f>
        <v>0</v>
      </c>
      <c r="BO24" s="197">
        <f>SUM(BO19:BO23)</f>
        <v>0</v>
      </c>
      <c r="BQ24" s="197">
        <f>SUM(BQ19:BQ23)</f>
        <v>0</v>
      </c>
      <c r="BS24" s="197">
        <f>SUM(BS19:BS23)</f>
        <v>0</v>
      </c>
      <c r="BV24" s="197">
        <f>SUM(BV19:BV23)</f>
        <v>0</v>
      </c>
      <c r="BY24" s="197">
        <f>SUM(BY19:BY23)</f>
        <v>0</v>
      </c>
      <c r="CA24" s="72">
        <f>SUM(CA19:CA23)</f>
        <v>0</v>
      </c>
      <c r="CC24" s="72">
        <f>SUM(CC19:CC23)</f>
        <v>0</v>
      </c>
      <c r="CF24" s="72">
        <f>SUM(CF19:CF23)</f>
        <v>0</v>
      </c>
      <c r="CI24" s="72">
        <f>SUM(CI19:CI23)</f>
        <v>0</v>
      </c>
      <c r="CK24" s="72">
        <f>SUM(CK19:CK23)</f>
        <v>0</v>
      </c>
      <c r="CM24" s="215">
        <f>SUM(CM19:CM23)</f>
        <v>0</v>
      </c>
      <c r="CN24" s="26"/>
      <c r="CO24" s="216">
        <f t="shared" ref="CO24" si="2">SUM(CO19:CO23)</f>
        <v>0</v>
      </c>
      <c r="CQ24" s="197">
        <f>SUM(CQ19:CQ23)</f>
        <v>0</v>
      </c>
      <c r="CR24" s="30"/>
      <c r="CS24" s="29">
        <f xml:space="preserve"> SUM(CS19:CS23)</f>
        <v>0</v>
      </c>
      <c r="CT24" s="30"/>
      <c r="CU24" s="197">
        <f>SUM(CU19:CU23)</f>
        <v>0</v>
      </c>
      <c r="CV24" s="30"/>
      <c r="CW24" s="29">
        <f xml:space="preserve"> SUM(CW19:CW23)</f>
        <v>0</v>
      </c>
      <c r="CX24" s="30"/>
      <c r="CY24" s="197">
        <f>SUM(CY19:CY23)</f>
        <v>0</v>
      </c>
      <c r="CZ24" s="30"/>
      <c r="DA24" s="29">
        <f xml:space="preserve"> SUM(DA19:DA23)</f>
        <v>0</v>
      </c>
      <c r="DB24" s="30"/>
      <c r="DC24" s="197">
        <f>SUM(DC19:DC23)</f>
        <v>18000</v>
      </c>
      <c r="DE24" s="197">
        <f>SUM(DE19:DE23)</f>
        <v>25000</v>
      </c>
      <c r="DG24" s="197">
        <f>SUM(DG19:DG23)</f>
        <v>0</v>
      </c>
      <c r="DI24" s="197">
        <f>SUM(DI19:DI23)</f>
        <v>0</v>
      </c>
      <c r="DK24" s="197">
        <f>SUM(DK19:DK23)</f>
        <v>0</v>
      </c>
      <c r="DM24" s="197">
        <f>SUM(DM19:DM23)</f>
        <v>0</v>
      </c>
      <c r="DO24" s="197">
        <f>SUM(DO19:DO23)</f>
        <v>0</v>
      </c>
      <c r="DQ24" s="197">
        <f>SUM(DQ19:DQ23)</f>
        <v>0</v>
      </c>
      <c r="DS24" s="197">
        <f>SUM(DS19:DS23)</f>
        <v>0</v>
      </c>
      <c r="DU24" s="197">
        <f>SUM(DU19:DU23)</f>
        <v>0</v>
      </c>
      <c r="DW24" s="197">
        <f>SUM(DW19:DW23)</f>
        <v>0</v>
      </c>
      <c r="DY24" s="197">
        <f>SUM(DY19:DY23)</f>
        <v>0</v>
      </c>
      <c r="EA24" s="197">
        <f>SUM(EA19:EA23)</f>
        <v>0</v>
      </c>
      <c r="EC24" s="197">
        <f>SUM(EC19:EC23)</f>
        <v>0</v>
      </c>
      <c r="EE24" s="197">
        <f>SUM(EE19:EE23)</f>
        <v>0</v>
      </c>
      <c r="EG24" s="197">
        <f>SUM(EG19:EG23)</f>
        <v>0</v>
      </c>
      <c r="EI24">
        <f>SUM(E24,I24,M24,Q24,U24,Y24,BS24,CC24)</f>
        <v>49723.507823435459</v>
      </c>
    </row>
    <row r="25" spans="1:139" x14ac:dyDescent="0.2">
      <c r="A25">
        <f>SUM(E24,I24,M24,Q24,U24,Y24,BD24,BS24,CC24)</f>
        <v>49723.507823435459</v>
      </c>
      <c r="H25" s="156"/>
      <c r="I25" s="156"/>
      <c r="J25" s="156"/>
      <c r="K25" s="156"/>
      <c r="U25" s="156"/>
    </row>
    <row r="26" spans="1:139" ht="14.5" customHeight="1" x14ac:dyDescent="0.2">
      <c r="B26" s="13" t="s">
        <v>131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5"/>
      <c r="AQ26" s="3"/>
      <c r="AR26" s="3"/>
      <c r="AS26" s="3"/>
    </row>
    <row r="27" spans="1:139" ht="30" customHeight="1" x14ac:dyDescent="0.2">
      <c r="B27" s="297"/>
      <c r="C27" s="63" t="s">
        <v>80</v>
      </c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5"/>
      <c r="T27" s="66" t="s">
        <v>132</v>
      </c>
      <c r="U27" s="307" t="s">
        <v>33</v>
      </c>
      <c r="V27" s="411"/>
      <c r="W27" s="411"/>
      <c r="X27" s="412"/>
      <c r="Y27" s="277" t="s">
        <v>34</v>
      </c>
      <c r="Z27" s="278"/>
      <c r="AA27" s="278"/>
      <c r="AB27" s="278"/>
      <c r="AC27" s="278"/>
      <c r="AD27" s="279"/>
      <c r="AE27" s="277" t="s">
        <v>133</v>
      </c>
      <c r="AF27" s="278"/>
      <c r="AG27" s="278"/>
      <c r="AH27" s="278"/>
      <c r="AI27" s="278"/>
      <c r="AJ27" s="278"/>
      <c r="AK27" s="278"/>
      <c r="AL27" s="278"/>
      <c r="AM27" s="278"/>
      <c r="AN27" s="279"/>
      <c r="AO27" s="271" t="s">
        <v>134</v>
      </c>
      <c r="AP27" s="271" t="s">
        <v>135</v>
      </c>
      <c r="AR27" s="4"/>
    </row>
    <row r="28" spans="1:139" ht="15" customHeight="1" x14ac:dyDescent="0.2">
      <c r="B28" s="298"/>
      <c r="C28" s="308" t="s">
        <v>29</v>
      </c>
      <c r="D28" s="308"/>
      <c r="E28" s="308"/>
      <c r="F28" s="308"/>
      <c r="G28" s="308"/>
      <c r="H28" s="308"/>
      <c r="I28" s="308"/>
      <c r="J28" s="308"/>
      <c r="K28" s="308"/>
      <c r="L28" s="308"/>
      <c r="M28" s="295" t="s">
        <v>30</v>
      </c>
      <c r="N28" s="409"/>
      <c r="O28" s="409"/>
      <c r="P28" s="409"/>
      <c r="Q28" s="296"/>
      <c r="R28" s="295" t="s">
        <v>31</v>
      </c>
      <c r="S28" s="296"/>
      <c r="T28" s="268" t="s">
        <v>136</v>
      </c>
      <c r="U28" s="268" t="s">
        <v>53</v>
      </c>
      <c r="V28" s="268" t="s">
        <v>54</v>
      </c>
      <c r="W28" s="297" t="s">
        <v>55</v>
      </c>
      <c r="X28" s="268" t="s">
        <v>137</v>
      </c>
      <c r="Y28" s="268" t="str">
        <f>DC15</f>
        <v>Bactériosol</v>
      </c>
      <c r="Z28" s="268" t="str">
        <f>DE15</f>
        <v>Bactériolit</v>
      </c>
      <c r="AA28" s="268">
        <f>DG15</f>
        <v>0</v>
      </c>
      <c r="AB28" s="268" t="s">
        <v>57</v>
      </c>
      <c r="AC28" s="268">
        <f>DK15</f>
        <v>0</v>
      </c>
      <c r="AD28" s="268">
        <f>DM15</f>
        <v>0</v>
      </c>
      <c r="AE28" s="273" t="s">
        <v>58</v>
      </c>
      <c r="AF28" s="273" t="s">
        <v>59</v>
      </c>
      <c r="AG28" s="273" t="s">
        <v>60</v>
      </c>
      <c r="AH28" s="275" t="s">
        <v>61</v>
      </c>
      <c r="AI28" s="275" t="s">
        <v>62</v>
      </c>
      <c r="AJ28" s="275" t="s">
        <v>63</v>
      </c>
      <c r="AK28" s="275" t="s">
        <v>64</v>
      </c>
      <c r="AL28" s="275" t="s">
        <v>65</v>
      </c>
      <c r="AM28" s="275" t="s">
        <v>66</v>
      </c>
      <c r="AN28" s="275" t="s">
        <v>67</v>
      </c>
      <c r="AO28" s="410"/>
      <c r="AP28" s="410"/>
    </row>
    <row r="29" spans="1:139" ht="15" customHeight="1" x14ac:dyDescent="0.2">
      <c r="B29" s="298"/>
      <c r="C29" s="403" t="s">
        <v>87</v>
      </c>
      <c r="D29" s="403"/>
      <c r="E29" s="403"/>
      <c r="F29" s="403"/>
      <c r="G29" s="403"/>
      <c r="H29" s="403"/>
      <c r="I29" s="403" t="s">
        <v>88</v>
      </c>
      <c r="J29" s="403"/>
      <c r="K29" s="403" t="s">
        <v>89</v>
      </c>
      <c r="L29" s="403"/>
      <c r="M29" s="268" t="s">
        <v>90</v>
      </c>
      <c r="N29" s="268" t="s">
        <v>46</v>
      </c>
      <c r="O29" s="268" t="s">
        <v>92</v>
      </c>
      <c r="P29" s="268" t="s">
        <v>93</v>
      </c>
      <c r="Q29" s="268" t="s">
        <v>94</v>
      </c>
      <c r="R29" s="268" t="s">
        <v>95</v>
      </c>
      <c r="S29" s="268" t="s">
        <v>96</v>
      </c>
      <c r="T29" s="269"/>
      <c r="U29" s="269"/>
      <c r="V29" s="269"/>
      <c r="W29" s="298"/>
      <c r="X29" s="269"/>
      <c r="Y29" s="269"/>
      <c r="Z29" s="269"/>
      <c r="AA29" s="269"/>
      <c r="AB29" s="269"/>
      <c r="AC29" s="269"/>
      <c r="AD29" s="269"/>
      <c r="AE29" s="274"/>
      <c r="AF29" s="274"/>
      <c r="AG29" s="274"/>
      <c r="AH29" s="276"/>
      <c r="AI29" s="276"/>
      <c r="AJ29" s="276"/>
      <c r="AK29" s="276"/>
      <c r="AL29" s="276"/>
      <c r="AM29" s="276"/>
      <c r="AN29" s="276"/>
      <c r="AO29" s="410"/>
      <c r="AP29" s="410"/>
    </row>
    <row r="30" spans="1:139" x14ac:dyDescent="0.2">
      <c r="B30" s="299"/>
      <c r="C30" s="68" t="s">
        <v>35</v>
      </c>
      <c r="D30" s="68" t="s">
        <v>36</v>
      </c>
      <c r="E30" s="68" t="s">
        <v>37</v>
      </c>
      <c r="F30" s="68" t="s">
        <v>38</v>
      </c>
      <c r="G30" s="68" t="s">
        <v>39</v>
      </c>
      <c r="H30" s="68" t="s">
        <v>40</v>
      </c>
      <c r="I30" s="68" t="s">
        <v>41</v>
      </c>
      <c r="J30" s="68" t="s">
        <v>40</v>
      </c>
      <c r="K30" s="68" t="s">
        <v>43</v>
      </c>
      <c r="L30" s="68" t="s">
        <v>40</v>
      </c>
      <c r="M30" s="270"/>
      <c r="N30" s="270"/>
      <c r="O30" s="270"/>
      <c r="P30" s="270"/>
      <c r="Q30" s="270"/>
      <c r="R30" s="270"/>
      <c r="S30" s="270"/>
      <c r="T30" s="270"/>
      <c r="U30" s="270"/>
      <c r="V30" s="270"/>
      <c r="W30" s="299"/>
      <c r="X30" s="270"/>
      <c r="Y30" s="270"/>
      <c r="Z30" s="270"/>
      <c r="AA30" s="270"/>
      <c r="AB30" s="270"/>
      <c r="AC30" s="270"/>
      <c r="AD30" s="270"/>
      <c r="AE30" s="419"/>
      <c r="AF30" s="419"/>
      <c r="AG30" s="419"/>
      <c r="AH30" s="291"/>
      <c r="AI30" s="291"/>
      <c r="AJ30" s="291"/>
      <c r="AK30" s="291"/>
      <c r="AL30" s="291"/>
      <c r="AM30" s="291"/>
      <c r="AN30" s="291"/>
      <c r="AO30" s="272"/>
      <c r="AP30" s="272"/>
    </row>
    <row r="31" spans="1:139" x14ac:dyDescent="0.2">
      <c r="B31" s="2" t="s">
        <v>74</v>
      </c>
      <c r="C31" s="2">
        <f>E19*$F$19</f>
        <v>0</v>
      </c>
      <c r="D31" s="2">
        <f>I19*$J$19</f>
        <v>17245.987798071728</v>
      </c>
      <c r="E31" s="2">
        <f>M19*$N$19</f>
        <v>0</v>
      </c>
      <c r="F31" s="2">
        <f>Q19*$R$19</f>
        <v>0</v>
      </c>
      <c r="G31" s="2">
        <f>U19*$V$19</f>
        <v>25426.833112937416</v>
      </c>
      <c r="H31" s="2">
        <f>Y19*$Z$19</f>
        <v>0</v>
      </c>
      <c r="I31" s="2">
        <f>AC19*$AD$19</f>
        <v>0</v>
      </c>
      <c r="J31" s="2">
        <f>AG19*$AH$19</f>
        <v>0</v>
      </c>
      <c r="K31" s="2">
        <f>AK19*$AL$19</f>
        <v>0</v>
      </c>
      <c r="L31" s="2">
        <f>AO19*$AP$19</f>
        <v>0</v>
      </c>
      <c r="M31" s="2">
        <f>AS19*$AT$19+AV19*$AW$19</f>
        <v>0</v>
      </c>
      <c r="N31" s="2">
        <f>AZ19*$BA$19</f>
        <v>0</v>
      </c>
      <c r="O31" s="2">
        <f>BD19*$BE$19+BG19*$BH$19</f>
        <v>0</v>
      </c>
      <c r="P31" s="2">
        <f>BK19*$BL$19</f>
        <v>0</v>
      </c>
      <c r="Q31" s="2">
        <f>BO19*$BP$19</f>
        <v>0</v>
      </c>
      <c r="R31" s="2">
        <f>BS19*$BT$19+BV19*$BW$19+BY19*$BZ$19</f>
        <v>0</v>
      </c>
      <c r="S31" s="2">
        <f>CC19*$CD$19+CF19*$CG$19+CI19*$CJ$19</f>
        <v>0</v>
      </c>
      <c r="T31" s="2">
        <f>CK19*$CL$19</f>
        <v>0</v>
      </c>
      <c r="U31" s="2">
        <f>CO19*$CP$19</f>
        <v>0</v>
      </c>
      <c r="V31" s="2">
        <f>CS19*$CT$19</f>
        <v>0</v>
      </c>
      <c r="W31" s="2">
        <f>CW19*$CX$19</f>
        <v>0</v>
      </c>
      <c r="X31" s="23">
        <f>DA19*$DB$19</f>
        <v>0</v>
      </c>
      <c r="Y31" s="2">
        <f>DC19*$DD$19</f>
        <v>1982.952</v>
      </c>
      <c r="Z31" s="23">
        <f>DE19*$DF$19</f>
        <v>6889.9999999999991</v>
      </c>
      <c r="AA31" s="23">
        <f>DG19*$DH$19</f>
        <v>0</v>
      </c>
      <c r="AB31" s="23">
        <f>DI19*$DJ$19</f>
        <v>0</v>
      </c>
      <c r="AC31" s="23">
        <f>DK19*$DL$19</f>
        <v>0</v>
      </c>
      <c r="AD31" s="23">
        <f>DM19*$DN$19</f>
        <v>0</v>
      </c>
      <c r="AE31" s="23">
        <f>DO19*$DP$19</f>
        <v>0</v>
      </c>
      <c r="AF31" s="23">
        <f>DQ19*$DR$19</f>
        <v>0</v>
      </c>
      <c r="AG31" s="23">
        <f>DS19*$DT$19</f>
        <v>0</v>
      </c>
      <c r="AH31" s="23">
        <f>DU19*$DV$19</f>
        <v>0</v>
      </c>
      <c r="AI31" s="23">
        <f>DW19*$DX$19</f>
        <v>0</v>
      </c>
      <c r="AJ31" s="23">
        <f>DY19*$DZ$19</f>
        <v>0</v>
      </c>
      <c r="AK31" s="23">
        <f>EA19*$EB$19</f>
        <v>0</v>
      </c>
      <c r="AL31" s="23">
        <f>EC19*$ED$19</f>
        <v>0</v>
      </c>
      <c r="AM31" s="23">
        <f>EE19*$EF$19</f>
        <v>0</v>
      </c>
      <c r="AN31" s="23">
        <f>EG19*$EH$19</f>
        <v>0</v>
      </c>
      <c r="AO31" s="34">
        <f>SUM(C31:AN31)</f>
        <v>51545.772911009139</v>
      </c>
      <c r="AP31" s="34">
        <f>AO31/'SUIVI RABAIS PRODUCTION ET C '!D9</f>
        <v>210.69189826694927</v>
      </c>
    </row>
    <row r="32" spans="1:139" x14ac:dyDescent="0.2">
      <c r="B32" s="2" t="s">
        <v>75</v>
      </c>
      <c r="C32" s="2">
        <f t="shared" ref="C32:C35" si="3">E20*$F$19</f>
        <v>0</v>
      </c>
      <c r="D32" s="2">
        <f t="shared" ref="D32:D34" si="4">I20*$J$19</f>
        <v>17245.987798071728</v>
      </c>
      <c r="E32" s="2">
        <f t="shared" ref="E32:E35" si="5">M20*$N$19</f>
        <v>0</v>
      </c>
      <c r="F32" s="2">
        <f t="shared" ref="F32:F35" si="6">Q20*$R$19</f>
        <v>0</v>
      </c>
      <c r="G32" s="2">
        <f t="shared" ref="G32:G35" si="7">U20*$V$19</f>
        <v>25426.833112937416</v>
      </c>
      <c r="H32" s="2">
        <f t="shared" ref="H32:H35" si="8">Y20*$Z$19</f>
        <v>0</v>
      </c>
      <c r="I32" s="2">
        <f>AC20*$AD$19</f>
        <v>0</v>
      </c>
      <c r="J32" s="2">
        <f t="shared" ref="J32:J35" si="9">AG20*$AH$19</f>
        <v>0</v>
      </c>
      <c r="K32" s="2">
        <f t="shared" ref="K32:K35" si="10">AK20*$AL$19</f>
        <v>0</v>
      </c>
      <c r="L32" s="2">
        <f>AO20*$AP$19</f>
        <v>0</v>
      </c>
      <c r="M32" s="2">
        <f t="shared" ref="M32:M35" si="11">AS20*$AT$19+AV20*$AW$19</f>
        <v>0</v>
      </c>
      <c r="N32" s="2">
        <f t="shared" ref="N32:N35" si="12">AZ20*$BA$19</f>
        <v>0</v>
      </c>
      <c r="O32" s="2">
        <f t="shared" ref="O32:O35" si="13">BD20*$BE$19+BG20*$BH$19</f>
        <v>0</v>
      </c>
      <c r="P32" s="2">
        <f t="shared" ref="P32:P35" si="14">BK20*$BL$19</f>
        <v>0</v>
      </c>
      <c r="Q32" s="2">
        <f t="shared" ref="Q32:Q35" si="15">BO20*$BP$19</f>
        <v>0</v>
      </c>
      <c r="R32" s="2">
        <f t="shared" ref="R32:R35" si="16">BS20*$BT$19+BV20*$BW$19+BY20*$BZ$19</f>
        <v>0</v>
      </c>
      <c r="S32" s="2">
        <f t="shared" ref="S32:S35" si="17">CC20*$CD$19+CF20*$CG$19+CI20*$CJ$19</f>
        <v>0</v>
      </c>
      <c r="T32" s="2">
        <f t="shared" ref="T32:T35" si="18">CK20*$CL$19</f>
        <v>0</v>
      </c>
      <c r="U32" s="2">
        <f t="shared" ref="U32:U35" si="19">CO20*$CP$19</f>
        <v>0</v>
      </c>
      <c r="V32" s="2">
        <f>CS20*$CT$19</f>
        <v>0</v>
      </c>
      <c r="W32" s="2">
        <f t="shared" ref="W32:W35" si="20">CW20*$CX$19</f>
        <v>0</v>
      </c>
      <c r="X32" s="23">
        <f t="shared" ref="X32:X35" si="21">DA20*$DB$19</f>
        <v>0</v>
      </c>
      <c r="Y32" s="2">
        <f t="shared" ref="Y32:Y35" si="22">DC20*$DD$19</f>
        <v>1982.952</v>
      </c>
      <c r="Z32" s="23">
        <f t="shared" ref="Z32:Z35" si="23">DE20*$DF$19</f>
        <v>6889.9999999999991</v>
      </c>
      <c r="AA32" s="23">
        <f t="shared" ref="AA32:AA35" si="24">DG20*$DH$19</f>
        <v>0</v>
      </c>
      <c r="AB32" s="23">
        <f t="shared" ref="AB32:AB35" si="25">DI20*$DJ$19</f>
        <v>0</v>
      </c>
      <c r="AC32" s="23">
        <f t="shared" ref="AC32:AC35" si="26">DK20*$DL$19</f>
        <v>0</v>
      </c>
      <c r="AD32" s="23">
        <f t="shared" ref="AD32:AD35" si="27">DM20*$DN$19</f>
        <v>0</v>
      </c>
      <c r="AE32" s="23">
        <f>DO20*$DP$19</f>
        <v>0</v>
      </c>
      <c r="AF32" s="23">
        <f t="shared" ref="AF32:AF35" si="28">DQ20*$DR$19</f>
        <v>0</v>
      </c>
      <c r="AG32" s="23">
        <f>DS20*$DT$19</f>
        <v>0</v>
      </c>
      <c r="AH32" s="23">
        <f t="shared" ref="AH32:AH35" si="29">DU20*$DV$19</f>
        <v>0</v>
      </c>
      <c r="AI32" s="23">
        <f>DW20*$DX$19</f>
        <v>0</v>
      </c>
      <c r="AJ32" s="23">
        <f t="shared" ref="AJ32:AJ35" si="30">DY20*$DZ$19</f>
        <v>0</v>
      </c>
      <c r="AK32" s="23">
        <f t="shared" ref="AK32:AK35" si="31">EA20*$EB$19</f>
        <v>0</v>
      </c>
      <c r="AL32" s="23">
        <f t="shared" ref="AL32:AL35" si="32">EC20*$ED$19</f>
        <v>0</v>
      </c>
      <c r="AM32" s="23">
        <f>EE20*$EF$19</f>
        <v>0</v>
      </c>
      <c r="AN32" s="23">
        <f>EG20*$EH$19</f>
        <v>0</v>
      </c>
      <c r="AO32" s="34">
        <f t="shared" ref="AO32:AO35" si="33">SUM(C32:AN32)</f>
        <v>51545.772911009139</v>
      </c>
      <c r="AP32" s="34">
        <f>AO32/'SUIVI RABAIS PRODUCTION ET C '!E9</f>
        <v>256.07716682899866</v>
      </c>
    </row>
    <row r="33" spans="2:109" x14ac:dyDescent="0.2">
      <c r="B33" s="2" t="s">
        <v>76</v>
      </c>
      <c r="C33" s="2">
        <f t="shared" si="3"/>
        <v>0</v>
      </c>
      <c r="D33" s="2">
        <f t="shared" si="4"/>
        <v>17245.987798071728</v>
      </c>
      <c r="E33" s="2">
        <f t="shared" si="5"/>
        <v>0</v>
      </c>
      <c r="F33" s="2">
        <f t="shared" si="6"/>
        <v>0</v>
      </c>
      <c r="G33" s="2">
        <f t="shared" si="7"/>
        <v>25426.833112937416</v>
      </c>
      <c r="H33" s="2">
        <f t="shared" si="8"/>
        <v>0</v>
      </c>
      <c r="I33" s="2">
        <f t="shared" ref="I33:I35" si="34">AC21*$AD$19</f>
        <v>0</v>
      </c>
      <c r="J33" s="2">
        <f t="shared" si="9"/>
        <v>0</v>
      </c>
      <c r="K33" s="2">
        <f t="shared" si="10"/>
        <v>0</v>
      </c>
      <c r="L33" s="2">
        <f t="shared" ref="L33:L35" si="35">AO21*$AP$19</f>
        <v>0</v>
      </c>
      <c r="M33" s="2">
        <f t="shared" si="11"/>
        <v>0</v>
      </c>
      <c r="N33" s="2">
        <f t="shared" si="12"/>
        <v>0</v>
      </c>
      <c r="O33" s="2">
        <f t="shared" si="13"/>
        <v>0</v>
      </c>
      <c r="P33" s="2">
        <f t="shared" si="14"/>
        <v>0</v>
      </c>
      <c r="Q33" s="2">
        <f t="shared" si="15"/>
        <v>0</v>
      </c>
      <c r="R33" s="2">
        <f t="shared" si="16"/>
        <v>0</v>
      </c>
      <c r="S33" s="2">
        <f t="shared" si="17"/>
        <v>0</v>
      </c>
      <c r="T33" s="2">
        <f t="shared" si="18"/>
        <v>0</v>
      </c>
      <c r="U33" s="2">
        <f t="shared" si="19"/>
        <v>0</v>
      </c>
      <c r="V33" s="2">
        <f t="shared" ref="V33:V35" si="36">CS21*$CT$19</f>
        <v>0</v>
      </c>
      <c r="W33" s="2">
        <f t="shared" si="20"/>
        <v>0</v>
      </c>
      <c r="X33" s="23">
        <f t="shared" si="21"/>
        <v>0</v>
      </c>
      <c r="Y33" s="2">
        <f t="shared" si="22"/>
        <v>1982.952</v>
      </c>
      <c r="Z33" s="23">
        <f t="shared" si="23"/>
        <v>6889.9999999999991</v>
      </c>
      <c r="AA33" s="23">
        <f t="shared" si="24"/>
        <v>0</v>
      </c>
      <c r="AB33" s="23">
        <f t="shared" si="25"/>
        <v>0</v>
      </c>
      <c r="AC33" s="23">
        <f t="shared" si="26"/>
        <v>0</v>
      </c>
      <c r="AD33" s="23">
        <f t="shared" si="27"/>
        <v>0</v>
      </c>
      <c r="AE33" s="23">
        <f>DO21*$DP$19</f>
        <v>0</v>
      </c>
      <c r="AF33" s="23">
        <f t="shared" si="28"/>
        <v>0</v>
      </c>
      <c r="AG33" s="23">
        <f>DS21*$DT$19</f>
        <v>0</v>
      </c>
      <c r="AH33" s="23">
        <f t="shared" si="29"/>
        <v>0</v>
      </c>
      <c r="AI33" s="23">
        <f>DW21*$DX$19</f>
        <v>0</v>
      </c>
      <c r="AJ33" s="23">
        <f t="shared" si="30"/>
        <v>0</v>
      </c>
      <c r="AK33" s="23">
        <f t="shared" si="31"/>
        <v>0</v>
      </c>
      <c r="AL33" s="23">
        <f t="shared" si="32"/>
        <v>0</v>
      </c>
      <c r="AM33" s="23">
        <f>EE21*$EF$19</f>
        <v>0</v>
      </c>
      <c r="AN33" s="23">
        <f>EG21*$EH$19</f>
        <v>0</v>
      </c>
      <c r="AO33" s="34">
        <f t="shared" si="33"/>
        <v>51545.772911009139</v>
      </c>
      <c r="AP33" s="34">
        <f>AO33/'SUIVI RABAIS PRODUCTION ET C '!F9</f>
        <v>301.47252843027923</v>
      </c>
    </row>
    <row r="34" spans="2:109" x14ac:dyDescent="0.2">
      <c r="B34" s="2" t="s">
        <v>77</v>
      </c>
      <c r="C34" s="2">
        <f t="shared" si="3"/>
        <v>0</v>
      </c>
      <c r="D34" s="2">
        <f t="shared" si="4"/>
        <v>17245.987798071728</v>
      </c>
      <c r="E34" s="2">
        <f t="shared" si="5"/>
        <v>0</v>
      </c>
      <c r="F34" s="2">
        <f t="shared" si="6"/>
        <v>0</v>
      </c>
      <c r="G34" s="2">
        <f t="shared" si="7"/>
        <v>25426.833112937416</v>
      </c>
      <c r="H34" s="2">
        <f t="shared" si="8"/>
        <v>0</v>
      </c>
      <c r="I34" s="2">
        <f t="shared" si="34"/>
        <v>0</v>
      </c>
      <c r="J34" s="2">
        <f t="shared" si="9"/>
        <v>0</v>
      </c>
      <c r="K34" s="2">
        <f t="shared" si="10"/>
        <v>0</v>
      </c>
      <c r="L34" s="2">
        <f t="shared" si="35"/>
        <v>0</v>
      </c>
      <c r="M34" s="2">
        <f t="shared" si="11"/>
        <v>0</v>
      </c>
      <c r="N34" s="2">
        <f t="shared" si="12"/>
        <v>0</v>
      </c>
      <c r="O34" s="2">
        <f t="shared" si="13"/>
        <v>0</v>
      </c>
      <c r="P34" s="2">
        <f t="shared" si="14"/>
        <v>0</v>
      </c>
      <c r="Q34" s="2">
        <f t="shared" si="15"/>
        <v>0</v>
      </c>
      <c r="R34" s="2">
        <f t="shared" si="16"/>
        <v>0</v>
      </c>
      <c r="S34" s="2">
        <f t="shared" si="17"/>
        <v>0</v>
      </c>
      <c r="T34" s="2">
        <f t="shared" si="18"/>
        <v>0</v>
      </c>
      <c r="U34" s="2">
        <f t="shared" si="19"/>
        <v>0</v>
      </c>
      <c r="V34" s="2">
        <f t="shared" si="36"/>
        <v>0</v>
      </c>
      <c r="W34" s="2">
        <f t="shared" si="20"/>
        <v>0</v>
      </c>
      <c r="X34" s="23">
        <f t="shared" si="21"/>
        <v>0</v>
      </c>
      <c r="Y34" s="2">
        <f t="shared" si="22"/>
        <v>1982.952</v>
      </c>
      <c r="Z34" s="23">
        <f t="shared" si="23"/>
        <v>6889.9999999999991</v>
      </c>
      <c r="AA34" s="23">
        <f t="shared" si="24"/>
        <v>0</v>
      </c>
      <c r="AB34" s="23">
        <f t="shared" si="25"/>
        <v>0</v>
      </c>
      <c r="AC34" s="23">
        <f t="shared" si="26"/>
        <v>0</v>
      </c>
      <c r="AD34" s="23">
        <f t="shared" si="27"/>
        <v>0</v>
      </c>
      <c r="AE34" s="23">
        <f>DO22*$DP$19</f>
        <v>0</v>
      </c>
      <c r="AF34" s="23">
        <f t="shared" si="28"/>
        <v>0</v>
      </c>
      <c r="AG34" s="23">
        <f>DS22*$DT$19</f>
        <v>0</v>
      </c>
      <c r="AH34" s="23">
        <f t="shared" si="29"/>
        <v>0</v>
      </c>
      <c r="AI34" s="23">
        <f>DW22*$DX$19</f>
        <v>0</v>
      </c>
      <c r="AJ34" s="23">
        <f t="shared" si="30"/>
        <v>0</v>
      </c>
      <c r="AK34" s="23">
        <f t="shared" si="31"/>
        <v>0</v>
      </c>
      <c r="AL34" s="23">
        <f t="shared" si="32"/>
        <v>0</v>
      </c>
      <c r="AM34" s="23">
        <f>EE22*$EF$19</f>
        <v>0</v>
      </c>
      <c r="AN34" s="23">
        <f>EG22*$EH$19</f>
        <v>0</v>
      </c>
      <c r="AO34" s="34">
        <f t="shared" si="33"/>
        <v>51545.772911009139</v>
      </c>
      <c r="AP34" s="34">
        <f>AO34/'SUIVI RABAIS PRODUCTION ET C '!G9</f>
        <v>304.87829248837244</v>
      </c>
    </row>
    <row r="35" spans="2:109" x14ac:dyDescent="0.2">
      <c r="B35" s="2" t="s">
        <v>78</v>
      </c>
      <c r="C35" s="2">
        <f t="shared" si="3"/>
        <v>0</v>
      </c>
      <c r="D35" s="2">
        <f>I23*$J$19</f>
        <v>17245.987798071728</v>
      </c>
      <c r="E35" s="2">
        <f t="shared" si="5"/>
        <v>0</v>
      </c>
      <c r="F35" s="2">
        <f t="shared" si="6"/>
        <v>0</v>
      </c>
      <c r="G35" s="2">
        <f t="shared" si="7"/>
        <v>25426.833112937416</v>
      </c>
      <c r="H35" s="2">
        <f t="shared" si="8"/>
        <v>0</v>
      </c>
      <c r="I35" s="2">
        <f t="shared" si="34"/>
        <v>0</v>
      </c>
      <c r="J35" s="2">
        <f t="shared" si="9"/>
        <v>0</v>
      </c>
      <c r="K35" s="2">
        <f t="shared" si="10"/>
        <v>0</v>
      </c>
      <c r="L35" s="2">
        <f t="shared" si="35"/>
        <v>0</v>
      </c>
      <c r="M35" s="2">
        <f t="shared" si="11"/>
        <v>0</v>
      </c>
      <c r="N35" s="2">
        <f t="shared" si="12"/>
        <v>0</v>
      </c>
      <c r="O35" s="2">
        <f t="shared" si="13"/>
        <v>0</v>
      </c>
      <c r="P35" s="2">
        <f t="shared" si="14"/>
        <v>0</v>
      </c>
      <c r="Q35" s="2">
        <f t="shared" si="15"/>
        <v>0</v>
      </c>
      <c r="R35" s="2">
        <f t="shared" si="16"/>
        <v>0</v>
      </c>
      <c r="S35" s="2">
        <f t="shared" si="17"/>
        <v>0</v>
      </c>
      <c r="T35" s="2">
        <f t="shared" si="18"/>
        <v>0</v>
      </c>
      <c r="U35" s="2">
        <f t="shared" si="19"/>
        <v>0</v>
      </c>
      <c r="V35" s="2">
        <f t="shared" si="36"/>
        <v>0</v>
      </c>
      <c r="W35" s="2">
        <f t="shared" si="20"/>
        <v>0</v>
      </c>
      <c r="X35" s="23">
        <f t="shared" si="21"/>
        <v>0</v>
      </c>
      <c r="Y35" s="2">
        <f t="shared" si="22"/>
        <v>1982.952</v>
      </c>
      <c r="Z35" s="23">
        <f t="shared" si="23"/>
        <v>6889.9999999999991</v>
      </c>
      <c r="AA35" s="23">
        <f t="shared" si="24"/>
        <v>0</v>
      </c>
      <c r="AB35" s="23">
        <f t="shared" si="25"/>
        <v>0</v>
      </c>
      <c r="AC35" s="23">
        <f t="shared" si="26"/>
        <v>0</v>
      </c>
      <c r="AD35" s="23">
        <f t="shared" si="27"/>
        <v>0</v>
      </c>
      <c r="AE35" s="23">
        <f>DO23*$DP$19</f>
        <v>0</v>
      </c>
      <c r="AF35" s="23">
        <f t="shared" si="28"/>
        <v>0</v>
      </c>
      <c r="AG35" s="23">
        <f>DS23*$DT$19</f>
        <v>0</v>
      </c>
      <c r="AH35" s="23">
        <f t="shared" si="29"/>
        <v>0</v>
      </c>
      <c r="AI35" s="23">
        <f>DW23*$DX$19</f>
        <v>0</v>
      </c>
      <c r="AJ35" s="23">
        <f t="shared" si="30"/>
        <v>0</v>
      </c>
      <c r="AK35" s="23">
        <f t="shared" si="31"/>
        <v>0</v>
      </c>
      <c r="AL35" s="23">
        <f t="shared" si="32"/>
        <v>0</v>
      </c>
      <c r="AM35" s="23">
        <f>EE23*$EF$19</f>
        <v>0</v>
      </c>
      <c r="AN35" s="23">
        <f>EG23*$EH$19</f>
        <v>0</v>
      </c>
      <c r="AO35" s="34">
        <f t="shared" si="33"/>
        <v>51545.772911009139</v>
      </c>
      <c r="AP35" s="34">
        <f>AO35/'SUIVI RABAIS PRODUCTION ET C '!H9</f>
        <v>301.56071439190981</v>
      </c>
      <c r="DE35" s="31"/>
    </row>
    <row r="36" spans="2:109" x14ac:dyDescent="0.2">
      <c r="B36" s="5" t="s">
        <v>130</v>
      </c>
      <c r="C36" s="5">
        <f t="shared" ref="C36:S36" si="37">SUM(C31:C35)</f>
        <v>0</v>
      </c>
      <c r="D36" s="5">
        <f t="shared" si="37"/>
        <v>86229.938990358642</v>
      </c>
      <c r="E36" s="5">
        <f t="shared" si="37"/>
        <v>0</v>
      </c>
      <c r="F36" s="5">
        <f t="shared" si="37"/>
        <v>0</v>
      </c>
      <c r="G36" s="5">
        <f t="shared" si="37"/>
        <v>127134.16556468708</v>
      </c>
      <c r="H36" s="5">
        <f t="shared" si="37"/>
        <v>0</v>
      </c>
      <c r="I36" s="5">
        <f t="shared" si="37"/>
        <v>0</v>
      </c>
      <c r="J36" s="5">
        <f t="shared" si="37"/>
        <v>0</v>
      </c>
      <c r="K36" s="5">
        <f t="shared" si="37"/>
        <v>0</v>
      </c>
      <c r="L36" s="5">
        <f t="shared" si="37"/>
        <v>0</v>
      </c>
      <c r="M36" s="5">
        <f t="shared" si="37"/>
        <v>0</v>
      </c>
      <c r="N36" s="5">
        <f t="shared" si="37"/>
        <v>0</v>
      </c>
      <c r="O36" s="5">
        <f t="shared" si="37"/>
        <v>0</v>
      </c>
      <c r="P36" s="5">
        <f t="shared" si="37"/>
        <v>0</v>
      </c>
      <c r="Q36" s="5">
        <f t="shared" si="37"/>
        <v>0</v>
      </c>
      <c r="R36" s="5">
        <f t="shared" si="37"/>
        <v>0</v>
      </c>
      <c r="S36" s="5">
        <f t="shared" si="37"/>
        <v>0</v>
      </c>
      <c r="T36" s="5">
        <f t="shared" ref="T36:AO36" si="38">SUM(T31:T35)</f>
        <v>0</v>
      </c>
      <c r="U36" s="5">
        <f t="shared" si="38"/>
        <v>0</v>
      </c>
      <c r="V36" s="5">
        <f t="shared" si="38"/>
        <v>0</v>
      </c>
      <c r="W36" s="5">
        <f t="shared" si="38"/>
        <v>0</v>
      </c>
      <c r="X36" s="5">
        <f t="shared" si="38"/>
        <v>0</v>
      </c>
      <c r="Y36" s="5">
        <f t="shared" si="38"/>
        <v>9914.76</v>
      </c>
      <c r="Z36" s="5">
        <f t="shared" si="38"/>
        <v>34449.999999999993</v>
      </c>
      <c r="AA36" s="5">
        <f t="shared" si="38"/>
        <v>0</v>
      </c>
      <c r="AB36" s="5">
        <f t="shared" si="38"/>
        <v>0</v>
      </c>
      <c r="AC36" s="5">
        <f t="shared" si="38"/>
        <v>0</v>
      </c>
      <c r="AD36" s="5">
        <f t="shared" si="38"/>
        <v>0</v>
      </c>
      <c r="AE36" s="5">
        <f t="shared" si="38"/>
        <v>0</v>
      </c>
      <c r="AF36" s="5">
        <f t="shared" si="38"/>
        <v>0</v>
      </c>
      <c r="AG36" s="5">
        <f t="shared" si="38"/>
        <v>0</v>
      </c>
      <c r="AH36" s="5">
        <f t="shared" si="38"/>
        <v>0</v>
      </c>
      <c r="AI36" s="5">
        <f t="shared" si="38"/>
        <v>0</v>
      </c>
      <c r="AJ36" s="5">
        <f t="shared" si="38"/>
        <v>0</v>
      </c>
      <c r="AK36" s="5">
        <f t="shared" si="38"/>
        <v>0</v>
      </c>
      <c r="AL36" s="5">
        <f t="shared" si="38"/>
        <v>0</v>
      </c>
      <c r="AM36" s="5">
        <f t="shared" si="38"/>
        <v>0</v>
      </c>
      <c r="AN36" s="5">
        <f t="shared" si="38"/>
        <v>0</v>
      </c>
      <c r="AO36" s="57">
        <f t="shared" si="38"/>
        <v>257728.8645550457</v>
      </c>
    </row>
    <row r="37" spans="2:109" x14ac:dyDescent="0.2">
      <c r="G37">
        <f>SUM(E19,I19,M19,Q19,U19,Y19,BD19,BS19,CC19)</f>
        <v>9944.7015646870914</v>
      </c>
    </row>
    <row r="38" spans="2:109" x14ac:dyDescent="0.2">
      <c r="B38" s="69" t="s">
        <v>138</v>
      </c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</row>
    <row r="39" spans="2:109" ht="15" customHeight="1" x14ac:dyDescent="0.2">
      <c r="B39" s="297"/>
      <c r="C39" s="292" t="s">
        <v>139</v>
      </c>
      <c r="D39" s="293"/>
      <c r="E39" s="293"/>
      <c r="F39" s="294"/>
      <c r="G39" s="292" t="s">
        <v>140</v>
      </c>
      <c r="H39" s="293"/>
      <c r="I39" s="293"/>
      <c r="J39" s="294"/>
      <c r="K39" s="400" t="s">
        <v>141</v>
      </c>
      <c r="L39" s="401"/>
      <c r="M39" s="401"/>
      <c r="N39" s="402"/>
      <c r="O39" s="300" t="s">
        <v>34</v>
      </c>
      <c r="P39" s="301"/>
      <c r="Q39" s="301"/>
      <c r="R39" s="301"/>
      <c r="S39" s="301"/>
      <c r="T39" s="301"/>
      <c r="U39" s="301"/>
      <c r="V39" s="301"/>
      <c r="W39" s="301"/>
      <c r="X39" s="301"/>
      <c r="Y39" s="301"/>
      <c r="Z39" s="302"/>
      <c r="AA39" s="300" t="s">
        <v>133</v>
      </c>
      <c r="AB39" s="301"/>
      <c r="AC39" s="301"/>
      <c r="AD39" s="301"/>
      <c r="AE39" s="301"/>
      <c r="AF39" s="301"/>
      <c r="AG39" s="301"/>
      <c r="AH39" s="301"/>
      <c r="AI39" s="301"/>
      <c r="AJ39" s="301"/>
      <c r="AK39" s="301"/>
      <c r="AL39" s="301"/>
      <c r="AM39" s="301"/>
      <c r="AN39" s="301"/>
      <c r="AO39" s="301"/>
      <c r="AP39" s="301"/>
      <c r="AQ39" s="301"/>
      <c r="AR39" s="301"/>
      <c r="AS39" s="301"/>
      <c r="AT39" s="302"/>
      <c r="AU39" s="280" t="s">
        <v>134</v>
      </c>
      <c r="AV39" s="271" t="s">
        <v>135</v>
      </c>
    </row>
    <row r="40" spans="2:109" ht="45" customHeight="1" thickBot="1" x14ac:dyDescent="0.25">
      <c r="B40" s="298"/>
      <c r="C40" s="77" t="s">
        <v>142</v>
      </c>
      <c r="D40" s="77" t="s">
        <v>143</v>
      </c>
      <c r="E40" s="77" t="s">
        <v>144</v>
      </c>
      <c r="F40" s="77" t="s">
        <v>145</v>
      </c>
      <c r="G40" s="77" t="s">
        <v>146</v>
      </c>
      <c r="H40" s="77" t="s">
        <v>143</v>
      </c>
      <c r="I40" s="77" t="s">
        <v>144</v>
      </c>
      <c r="J40" s="77" t="s">
        <v>145</v>
      </c>
      <c r="K40" s="77" t="s">
        <v>147</v>
      </c>
      <c r="L40" s="77" t="s">
        <v>148</v>
      </c>
      <c r="M40" s="77" t="s">
        <v>149</v>
      </c>
      <c r="N40" s="77" t="s">
        <v>148</v>
      </c>
      <c r="O40" s="78" t="s">
        <v>150</v>
      </c>
      <c r="P40" s="78" t="s">
        <v>151</v>
      </c>
      <c r="Q40" s="78" t="s">
        <v>152</v>
      </c>
      <c r="R40" s="78" t="s">
        <v>151</v>
      </c>
      <c r="S40" s="78" t="s">
        <v>153</v>
      </c>
      <c r="T40" s="78" t="s">
        <v>151</v>
      </c>
      <c r="U40" s="78" t="s">
        <v>154</v>
      </c>
      <c r="V40" s="78" t="s">
        <v>151</v>
      </c>
      <c r="W40" s="78" t="s">
        <v>155</v>
      </c>
      <c r="X40" s="78" t="s">
        <v>151</v>
      </c>
      <c r="Y40" s="78" t="s">
        <v>156</v>
      </c>
      <c r="Z40" s="78" t="s">
        <v>151</v>
      </c>
      <c r="AA40" s="77" t="s">
        <v>157</v>
      </c>
      <c r="AB40" s="77" t="s">
        <v>151</v>
      </c>
      <c r="AC40" s="77" t="s">
        <v>158</v>
      </c>
      <c r="AD40" s="77" t="s">
        <v>151</v>
      </c>
      <c r="AE40" s="77" t="s">
        <v>159</v>
      </c>
      <c r="AF40" s="77" t="s">
        <v>151</v>
      </c>
      <c r="AG40" s="77" t="s">
        <v>160</v>
      </c>
      <c r="AH40" s="77" t="s">
        <v>151</v>
      </c>
      <c r="AI40" s="77" t="s">
        <v>161</v>
      </c>
      <c r="AJ40" s="77" t="s">
        <v>151</v>
      </c>
      <c r="AK40" s="77" t="s">
        <v>162</v>
      </c>
      <c r="AL40" s="77" t="s">
        <v>151</v>
      </c>
      <c r="AM40" s="77" t="s">
        <v>163</v>
      </c>
      <c r="AN40" s="77" t="s">
        <v>151</v>
      </c>
      <c r="AO40" s="77" t="s">
        <v>164</v>
      </c>
      <c r="AP40" s="77" t="s">
        <v>151</v>
      </c>
      <c r="AQ40" s="77" t="s">
        <v>165</v>
      </c>
      <c r="AR40" s="77" t="s">
        <v>151</v>
      </c>
      <c r="AS40" s="77" t="s">
        <v>166</v>
      </c>
      <c r="AT40" s="77" t="s">
        <v>151</v>
      </c>
      <c r="AU40" s="281"/>
      <c r="AV40" s="272"/>
    </row>
    <row r="41" spans="2:109" ht="15" customHeight="1" x14ac:dyDescent="0.2">
      <c r="B41" s="23" t="s">
        <v>74</v>
      </c>
      <c r="C41" s="2">
        <f>E19+I19+M19+Q19+U19+Y19+BD19+BS19+CC19</f>
        <v>9944.7015646870914</v>
      </c>
      <c r="D41" s="97">
        <f>C41*$I$49*$I$58</f>
        <v>66260.125853857986</v>
      </c>
      <c r="E41" s="2">
        <f>(C41*$I$51+C41*$I$53)*$I$58</f>
        <v>15488.304418339305</v>
      </c>
      <c r="F41" s="24">
        <f>SUM(D41:E41)</f>
        <v>81748.430272197293</v>
      </c>
      <c r="G41" s="116">
        <v>0</v>
      </c>
      <c r="H41" s="24">
        <f>G41*$I$50*$I$58</f>
        <v>0</v>
      </c>
      <c r="I41" s="24">
        <f>(G41*I52*+G41*I53)*$I$58</f>
        <v>0</v>
      </c>
      <c r="J41" s="24">
        <f>SUM(H41:I41)</f>
        <v>0</v>
      </c>
      <c r="K41" s="2">
        <f>CM19+CQ19</f>
        <v>0</v>
      </c>
      <c r="L41" s="32">
        <f>K41*$I$54</f>
        <v>0</v>
      </c>
      <c r="M41" s="23">
        <f>CU19</f>
        <v>0</v>
      </c>
      <c r="N41" s="32">
        <f>M41*$I$55</f>
        <v>0</v>
      </c>
      <c r="O41" s="2">
        <f>$C$65/1000*DC19</f>
        <v>12960</v>
      </c>
      <c r="P41" s="32">
        <f>O41*$I$50+O41*$I$52+O41*$I$53</f>
        <v>218.72777142857143</v>
      </c>
      <c r="Q41" s="32">
        <f>DE19*$D$65/1000</f>
        <v>25000</v>
      </c>
      <c r="R41" s="32">
        <f>Q41*$I$50+Q41*$I$52+Q41*$I$53</f>
        <v>421.92857142857144</v>
      </c>
      <c r="S41" s="32">
        <f>DG19*$E$65/1000</f>
        <v>0</v>
      </c>
      <c r="T41" s="32">
        <f>S41*$I$50+S41*$I$52+S41*$I$53</f>
        <v>0</v>
      </c>
      <c r="U41" s="32">
        <f>DI19*$F$65/1000</f>
        <v>0</v>
      </c>
      <c r="V41" s="32">
        <f>U41*$I$50+U41*$I$52+U41*$I$53</f>
        <v>0</v>
      </c>
      <c r="W41" s="32">
        <f>DK19*$G$65/1000</f>
        <v>0</v>
      </c>
      <c r="X41" s="32">
        <f>W41*$I$50+W41*$I$52+W41*$I$53</f>
        <v>0</v>
      </c>
      <c r="Y41" s="23">
        <f>DM19*$H$65/1000</f>
        <v>0</v>
      </c>
      <c r="Z41" s="79">
        <f>Y41*$I$50+Y41*$I$52+Y41*$I$53</f>
        <v>0</v>
      </c>
      <c r="AA41" s="23">
        <f>DO19*1000*$I$65/1000</f>
        <v>0</v>
      </c>
      <c r="AB41" s="23">
        <f>AA41*$I$50+AA41*$I$52+AA41*$I$53</f>
        <v>0</v>
      </c>
      <c r="AC41" s="23">
        <f>DQ19*$J$65</f>
        <v>0</v>
      </c>
      <c r="AD41" s="23">
        <f>AC41*$I$50+AC41*$I$52+AC41*$I$53</f>
        <v>0</v>
      </c>
      <c r="AE41" s="23">
        <f>DS19*$K$65</f>
        <v>0</v>
      </c>
      <c r="AF41" s="23">
        <f>AE41*$I$50+AE41*$I$52+AE41*$I$53</f>
        <v>0</v>
      </c>
      <c r="AG41" s="23">
        <f>DU19*$L$65</f>
        <v>0</v>
      </c>
      <c r="AH41" s="23">
        <f>AG41*$I$50+AG41*$I$52+AG41*$I$53</f>
        <v>0</v>
      </c>
      <c r="AI41" s="23">
        <f>DW19*$M$65</f>
        <v>0</v>
      </c>
      <c r="AJ41" s="23">
        <f>AI41*$I$50+AI41*$I$52+AI41*$I$53</f>
        <v>0</v>
      </c>
      <c r="AK41" s="23">
        <f>DY19*$N$65</f>
        <v>0</v>
      </c>
      <c r="AL41" s="23">
        <f>AK41*$I$50+AK41*$I$52+AK41*$I$53</f>
        <v>0</v>
      </c>
      <c r="AM41" s="23">
        <f>EA19*$O$65</f>
        <v>0</v>
      </c>
      <c r="AN41" s="23">
        <f>AM41*$I$50+AM41*$I$52+AM41*$I$53</f>
        <v>0</v>
      </c>
      <c r="AO41" s="23">
        <f>EC19*$P$65</f>
        <v>0</v>
      </c>
      <c r="AP41" s="23">
        <f>AO41*$I$50+AO41*$I$52+AO41*$I$53</f>
        <v>0</v>
      </c>
      <c r="AQ41" s="23">
        <f>EE19*$Q$65</f>
        <v>0</v>
      </c>
      <c r="AR41" s="23">
        <f>AQ41*$I$50+AQ41*$I$52+AQ41*$I$53</f>
        <v>0</v>
      </c>
      <c r="AS41" s="23">
        <f>EG19*$R$65</f>
        <v>0</v>
      </c>
      <c r="AT41" s="23">
        <f>AS41*$I$50+AS41*$I$52+AS41*$I$53</f>
        <v>0</v>
      </c>
      <c r="AU41" s="81">
        <f>F41+J41+L41+N41+P41+R41+T41+V41+X41+Z41+AB41+AD41+AF41+AH41+AJ41+AL41+AN41+AP41+AR41+AT41</f>
        <v>82389.086615054432</v>
      </c>
      <c r="AV41" s="80">
        <f>AU41/'SUIVI RABAIS PRODUCTION ET C '!D9</f>
        <v>336.76307629288544</v>
      </c>
      <c r="AX41" s="413" t="s">
        <v>167</v>
      </c>
      <c r="AY41" s="414"/>
      <c r="AZ41" s="415"/>
    </row>
    <row r="42" spans="2:109" ht="15" customHeight="1" x14ac:dyDescent="0.2">
      <c r="B42" s="23" t="s">
        <v>75</v>
      </c>
      <c r="C42" s="2">
        <f t="shared" ref="C42:C45" si="39">E20+I20+M20+Q20+U20+Y20+BD20+BS20+CC20</f>
        <v>9944.7015646870914</v>
      </c>
      <c r="D42" s="97">
        <f t="shared" ref="D42:D45" si="40">C42*$I$49*$I$58</f>
        <v>66260.125853857986</v>
      </c>
      <c r="E42" s="2">
        <f t="shared" ref="E42:E45" si="41">(C42*$I$51+C42*$I$53)*$I$58</f>
        <v>15488.304418339305</v>
      </c>
      <c r="F42" s="24">
        <f t="shared" ref="F42:F45" si="42">SUM(D42:E42)</f>
        <v>81748.430272197293</v>
      </c>
      <c r="G42" s="116">
        <v>0</v>
      </c>
      <c r="H42" s="24">
        <f t="shared" ref="H42:H45" si="43">G42*$I$50*$I$58</f>
        <v>0</v>
      </c>
      <c r="I42" s="24">
        <f t="shared" ref="I42:I45" si="44">(G42*I53*+G42*I54)*$I$58</f>
        <v>0</v>
      </c>
      <c r="J42" s="24">
        <f t="shared" ref="J42:J45" si="45">SUM(H42:I42)</f>
        <v>0</v>
      </c>
      <c r="K42" s="2">
        <f t="shared" ref="K42:K45" si="46">CM20+CQ20</f>
        <v>0</v>
      </c>
      <c r="L42" s="32">
        <f>K42*$I$54</f>
        <v>0</v>
      </c>
      <c r="M42" s="23">
        <f t="shared" ref="M42:M45" si="47">CU20</f>
        <v>0</v>
      </c>
      <c r="N42" s="32">
        <f t="shared" ref="N42:N45" si="48">M42*$I$55</f>
        <v>0</v>
      </c>
      <c r="O42" s="2">
        <f t="shared" ref="O42:O45" si="49">$C$65/1000*DC20</f>
        <v>12960</v>
      </c>
      <c r="P42" s="32">
        <f t="shared" ref="P42:P45" si="50">O42*$I$50+O42*$I$52+O42*$I$53</f>
        <v>218.72777142857143</v>
      </c>
      <c r="Q42" s="32">
        <f t="shared" ref="Q42:Q45" si="51">DE20*$D$65/1000</f>
        <v>25000</v>
      </c>
      <c r="R42" s="32">
        <f t="shared" ref="R42:R45" si="52">Q42*$I$50+Q42*$I$52+Q42*$I$53</f>
        <v>421.92857142857144</v>
      </c>
      <c r="S42" s="32">
        <f t="shared" ref="S42:S45" si="53">DG20*$E$65/1000</f>
        <v>0</v>
      </c>
      <c r="T42" s="32">
        <f t="shared" ref="T42:T45" si="54">S42*$I$50+S42*$I$52+S42*$I$53</f>
        <v>0</v>
      </c>
      <c r="U42" s="32">
        <f t="shared" ref="U42:U45" si="55">DI20*$F$65/1000</f>
        <v>0</v>
      </c>
      <c r="V42" s="32">
        <f t="shared" ref="V42:V45" si="56">U42*$I$50+U42*$I$52+U42*$I$53</f>
        <v>0</v>
      </c>
      <c r="W42" s="32">
        <f t="shared" ref="W42:W45" si="57">DK20*$G$65/1000</f>
        <v>0</v>
      </c>
      <c r="X42" s="32">
        <f t="shared" ref="X42:X45" si="58">W42*$I$50+W42*$I$52+W42*$I$53</f>
        <v>0</v>
      </c>
      <c r="Y42" s="23">
        <f t="shared" ref="Y42:Y45" si="59">DM20*$H$65/1000</f>
        <v>0</v>
      </c>
      <c r="Z42" s="79">
        <f t="shared" ref="Z42:Z45" si="60">Y42*$I$50+Y42*$I$52+Y42*$I$53</f>
        <v>0</v>
      </c>
      <c r="AA42" s="23">
        <f t="shared" ref="AA42:AA45" si="61">DO20*1000*$I$65/1000</f>
        <v>0</v>
      </c>
      <c r="AB42" s="23">
        <f t="shared" ref="AB42:AB45" si="62">AA42*$I$50+AA42*$I$52+AA42*$I$53</f>
        <v>0</v>
      </c>
      <c r="AC42" s="23">
        <f t="shared" ref="AC42:AC45" si="63">DQ20*$J$65</f>
        <v>0</v>
      </c>
      <c r="AD42" s="23">
        <f t="shared" ref="AD42:AD45" si="64">AC42*$I$50+AC42*$I$52+AC42*$I$53</f>
        <v>0</v>
      </c>
      <c r="AE42" s="23">
        <f t="shared" ref="AE42:AE45" si="65">DS20*$K$65</f>
        <v>0</v>
      </c>
      <c r="AF42" s="23">
        <f t="shared" ref="AF42:AF45" si="66">AE42*$I$50+AE42*$I$52+AE42*$I$53</f>
        <v>0</v>
      </c>
      <c r="AG42" s="23">
        <f t="shared" ref="AG42:AG45" si="67">DU20*$L$65</f>
        <v>0</v>
      </c>
      <c r="AH42" s="23">
        <f t="shared" ref="AH42:AH45" si="68">AG42*$I$50+AG42*$I$52+AG42*$I$53</f>
        <v>0</v>
      </c>
      <c r="AI42" s="23">
        <f t="shared" ref="AI42:AI45" si="69">DW20*$M$65</f>
        <v>0</v>
      </c>
      <c r="AJ42" s="23">
        <f t="shared" ref="AJ42:AJ45" si="70">AI42*$I$50+AI42*$I$52+AI42*$I$53</f>
        <v>0</v>
      </c>
      <c r="AK42" s="23">
        <f t="shared" ref="AK42:AK45" si="71">DY20*$N$65</f>
        <v>0</v>
      </c>
      <c r="AL42" s="23">
        <f t="shared" ref="AL42:AL45" si="72">AK42*$I$50+AK42*$I$52+AK42*$I$53</f>
        <v>0</v>
      </c>
      <c r="AM42" s="23">
        <f t="shared" ref="AM42:AM45" si="73">EA20*$O$65</f>
        <v>0</v>
      </c>
      <c r="AN42" s="23">
        <f t="shared" ref="AN42:AN45" si="74">AM42*$I$50+AM42*$I$52+AM42*$I$53</f>
        <v>0</v>
      </c>
      <c r="AO42" s="23">
        <f t="shared" ref="AO42:AO45" si="75">EC20*$P$65</f>
        <v>0</v>
      </c>
      <c r="AP42" s="23">
        <f t="shared" ref="AP42:AP45" si="76">AO42*$I$50+AO42*$I$52+AO42*$I$53</f>
        <v>0</v>
      </c>
      <c r="AQ42" s="23">
        <f t="shared" ref="AQ42:AQ45" si="77">EE20*$Q$65</f>
        <v>0</v>
      </c>
      <c r="AR42" s="23">
        <f t="shared" ref="AR42:AR45" si="78">AQ42*$I$50+AQ42*$I$52+AQ42*$I$53</f>
        <v>0</v>
      </c>
      <c r="AS42" s="23">
        <f t="shared" ref="AS42:AS45" si="79">EG20*$R$65</f>
        <v>0</v>
      </c>
      <c r="AT42" s="23">
        <f t="shared" ref="AT42:AT45" si="80">AS42*$I$50+AS42*$I$52+AS42*$I$53</f>
        <v>0</v>
      </c>
      <c r="AU42" s="81">
        <f t="shared" ref="AU42:AU45" si="81">F42+J42+L42+N42+P42+R42+T42+V42+X42+Z42+AB42+AD42+AF42+AH42+AJ42+AL42+AN42+AP42+AR42+AT42</f>
        <v>82389.086615054432</v>
      </c>
      <c r="AV42" s="80">
        <f>AU42/'SUIVI RABAIS PRODUCTION ET C '!E9</f>
        <v>409.30541316038767</v>
      </c>
      <c r="AX42" s="416"/>
      <c r="AY42" s="417"/>
      <c r="AZ42" s="418"/>
    </row>
    <row r="43" spans="2:109" ht="16" thickBot="1" x14ac:dyDescent="0.25">
      <c r="B43" s="23" t="s">
        <v>76</v>
      </c>
      <c r="C43" s="2">
        <f t="shared" si="39"/>
        <v>9944.7015646870914</v>
      </c>
      <c r="D43" s="97">
        <f t="shared" si="40"/>
        <v>66260.125853857986</v>
      </c>
      <c r="E43" s="2">
        <f t="shared" si="41"/>
        <v>15488.304418339305</v>
      </c>
      <c r="F43" s="24">
        <f t="shared" si="42"/>
        <v>81748.430272197293</v>
      </c>
      <c r="G43" s="116">
        <v>0</v>
      </c>
      <c r="H43" s="24">
        <f t="shared" si="43"/>
        <v>0</v>
      </c>
      <c r="I43" s="24">
        <f t="shared" si="44"/>
        <v>0</v>
      </c>
      <c r="J43" s="24">
        <f t="shared" si="45"/>
        <v>0</v>
      </c>
      <c r="K43" s="2">
        <f t="shared" si="46"/>
        <v>0</v>
      </c>
      <c r="L43" s="32">
        <f t="shared" ref="L43:L45" si="82">K43*$I$54</f>
        <v>0</v>
      </c>
      <c r="M43" s="23">
        <f t="shared" si="47"/>
        <v>0</v>
      </c>
      <c r="N43" s="32">
        <f t="shared" si="48"/>
        <v>0</v>
      </c>
      <c r="O43" s="2">
        <f t="shared" si="49"/>
        <v>12960</v>
      </c>
      <c r="P43" s="32">
        <f t="shared" si="50"/>
        <v>218.72777142857143</v>
      </c>
      <c r="Q43" s="32">
        <f t="shared" si="51"/>
        <v>25000</v>
      </c>
      <c r="R43" s="32">
        <f t="shared" si="52"/>
        <v>421.92857142857144</v>
      </c>
      <c r="S43" s="32">
        <f t="shared" si="53"/>
        <v>0</v>
      </c>
      <c r="T43" s="32">
        <f t="shared" si="54"/>
        <v>0</v>
      </c>
      <c r="U43" s="32">
        <f t="shared" si="55"/>
        <v>0</v>
      </c>
      <c r="V43" s="32">
        <f t="shared" si="56"/>
        <v>0</v>
      </c>
      <c r="W43" s="32">
        <f t="shared" si="57"/>
        <v>0</v>
      </c>
      <c r="X43" s="32">
        <f t="shared" si="58"/>
        <v>0</v>
      </c>
      <c r="Y43" s="23">
        <f t="shared" si="59"/>
        <v>0</v>
      </c>
      <c r="Z43" s="79">
        <f t="shared" si="60"/>
        <v>0</v>
      </c>
      <c r="AA43" s="23">
        <f t="shared" si="61"/>
        <v>0</v>
      </c>
      <c r="AB43" s="23">
        <f t="shared" si="62"/>
        <v>0</v>
      </c>
      <c r="AC43" s="23">
        <f t="shared" si="63"/>
        <v>0</v>
      </c>
      <c r="AD43" s="23">
        <f t="shared" si="64"/>
        <v>0</v>
      </c>
      <c r="AE43" s="23">
        <f t="shared" si="65"/>
        <v>0</v>
      </c>
      <c r="AF43" s="23">
        <f t="shared" si="66"/>
        <v>0</v>
      </c>
      <c r="AG43" s="23">
        <f t="shared" si="67"/>
        <v>0</v>
      </c>
      <c r="AH43" s="23">
        <f t="shared" si="68"/>
        <v>0</v>
      </c>
      <c r="AI43" s="23">
        <f t="shared" si="69"/>
        <v>0</v>
      </c>
      <c r="AJ43" s="23">
        <f t="shared" si="70"/>
        <v>0</v>
      </c>
      <c r="AK43" s="23">
        <f t="shared" si="71"/>
        <v>0</v>
      </c>
      <c r="AL43" s="23">
        <f t="shared" si="72"/>
        <v>0</v>
      </c>
      <c r="AM43" s="23">
        <f t="shared" si="73"/>
        <v>0</v>
      </c>
      <c r="AN43" s="23">
        <f t="shared" si="74"/>
        <v>0</v>
      </c>
      <c r="AO43" s="23">
        <f t="shared" si="75"/>
        <v>0</v>
      </c>
      <c r="AP43" s="23">
        <f t="shared" si="76"/>
        <v>0</v>
      </c>
      <c r="AQ43" s="23">
        <f t="shared" si="77"/>
        <v>0</v>
      </c>
      <c r="AR43" s="23">
        <f t="shared" si="78"/>
        <v>0</v>
      </c>
      <c r="AS43" s="23">
        <f t="shared" si="79"/>
        <v>0</v>
      </c>
      <c r="AT43" s="23">
        <f t="shared" si="80"/>
        <v>0</v>
      </c>
      <c r="AU43" s="81">
        <f t="shared" si="81"/>
        <v>82389.086615054432</v>
      </c>
      <c r="AV43" s="80">
        <f>AU43/'SUIVI RABAIS PRODUCTION ET C '!F9</f>
        <v>481.86388241346611</v>
      </c>
      <c r="AX43" s="416"/>
      <c r="AY43" s="417"/>
      <c r="AZ43" s="418"/>
    </row>
    <row r="44" spans="2:109" ht="16" thickBot="1" x14ac:dyDescent="0.25">
      <c r="B44" s="23" t="s">
        <v>77</v>
      </c>
      <c r="C44" s="2">
        <f t="shared" si="39"/>
        <v>9944.7015646870914</v>
      </c>
      <c r="D44" s="97">
        <f t="shared" si="40"/>
        <v>66260.125853857986</v>
      </c>
      <c r="E44" s="2">
        <f t="shared" si="41"/>
        <v>15488.304418339305</v>
      </c>
      <c r="F44" s="24">
        <f t="shared" si="42"/>
        <v>81748.430272197293</v>
      </c>
      <c r="G44" s="116">
        <v>0</v>
      </c>
      <c r="H44" s="24">
        <f t="shared" si="43"/>
        <v>0</v>
      </c>
      <c r="I44" s="24">
        <f t="shared" si="44"/>
        <v>0</v>
      </c>
      <c r="J44" s="24">
        <f t="shared" si="45"/>
        <v>0</v>
      </c>
      <c r="K44" s="2">
        <f t="shared" si="46"/>
        <v>0</v>
      </c>
      <c r="L44" s="32">
        <f t="shared" si="82"/>
        <v>0</v>
      </c>
      <c r="M44" s="23">
        <f t="shared" si="47"/>
        <v>0</v>
      </c>
      <c r="N44" s="32">
        <f t="shared" si="48"/>
        <v>0</v>
      </c>
      <c r="O44" s="2">
        <f t="shared" si="49"/>
        <v>12960</v>
      </c>
      <c r="P44" s="32">
        <f t="shared" si="50"/>
        <v>218.72777142857143</v>
      </c>
      <c r="Q44" s="32">
        <f t="shared" si="51"/>
        <v>25000</v>
      </c>
      <c r="R44" s="32">
        <f t="shared" si="52"/>
        <v>421.92857142857144</v>
      </c>
      <c r="S44" s="32">
        <f t="shared" si="53"/>
        <v>0</v>
      </c>
      <c r="T44" s="32">
        <f t="shared" si="54"/>
        <v>0</v>
      </c>
      <c r="U44" s="32">
        <f t="shared" si="55"/>
        <v>0</v>
      </c>
      <c r="V44" s="32">
        <f t="shared" si="56"/>
        <v>0</v>
      </c>
      <c r="W44" s="32">
        <f t="shared" si="57"/>
        <v>0</v>
      </c>
      <c r="X44" s="32">
        <f t="shared" si="58"/>
        <v>0</v>
      </c>
      <c r="Y44" s="23">
        <f t="shared" si="59"/>
        <v>0</v>
      </c>
      <c r="Z44" s="79">
        <f t="shared" si="60"/>
        <v>0</v>
      </c>
      <c r="AA44" s="23">
        <f t="shared" si="61"/>
        <v>0</v>
      </c>
      <c r="AB44" s="23">
        <f t="shared" si="62"/>
        <v>0</v>
      </c>
      <c r="AC44" s="23">
        <f t="shared" si="63"/>
        <v>0</v>
      </c>
      <c r="AD44" s="23">
        <f t="shared" si="64"/>
        <v>0</v>
      </c>
      <c r="AE44" s="23">
        <f t="shared" si="65"/>
        <v>0</v>
      </c>
      <c r="AF44" s="23">
        <f t="shared" si="66"/>
        <v>0</v>
      </c>
      <c r="AG44" s="23">
        <f t="shared" si="67"/>
        <v>0</v>
      </c>
      <c r="AH44" s="23">
        <f t="shared" si="68"/>
        <v>0</v>
      </c>
      <c r="AI44" s="23">
        <f t="shared" si="69"/>
        <v>0</v>
      </c>
      <c r="AJ44" s="23">
        <f t="shared" si="70"/>
        <v>0</v>
      </c>
      <c r="AK44" s="23">
        <f t="shared" si="71"/>
        <v>0</v>
      </c>
      <c r="AL44" s="23">
        <f t="shared" si="72"/>
        <v>0</v>
      </c>
      <c r="AM44" s="23">
        <f t="shared" si="73"/>
        <v>0</v>
      </c>
      <c r="AN44" s="23">
        <f t="shared" si="74"/>
        <v>0</v>
      </c>
      <c r="AO44" s="23">
        <f t="shared" si="75"/>
        <v>0</v>
      </c>
      <c r="AP44" s="23">
        <f t="shared" si="76"/>
        <v>0</v>
      </c>
      <c r="AQ44" s="23">
        <f t="shared" si="77"/>
        <v>0</v>
      </c>
      <c r="AR44" s="23">
        <f t="shared" si="78"/>
        <v>0</v>
      </c>
      <c r="AS44" s="23">
        <f t="shared" si="79"/>
        <v>0</v>
      </c>
      <c r="AT44" s="23">
        <f t="shared" si="80"/>
        <v>0</v>
      </c>
      <c r="AU44" s="81">
        <f>F44+J44+L44+N44+P44+R44+T44+V44+X44+Z44+AB44+AD44+AF44+AH44+AJ44+AL44+AN44+AP44+AR44+AT44</f>
        <v>82389.086615054432</v>
      </c>
      <c r="AV44" s="80">
        <f>AU44/'SUIVI RABAIS PRODUCTION ET C '!G9</f>
        <v>487.30754489296987</v>
      </c>
      <c r="AX44" s="82">
        <f>AU46+AO36</f>
        <v>669674.29763031786</v>
      </c>
      <c r="AY44" s="6" t="s">
        <v>168</v>
      </c>
      <c r="AZ44" s="35"/>
    </row>
    <row r="45" spans="2:109" x14ac:dyDescent="0.2">
      <c r="B45" s="23" t="s">
        <v>78</v>
      </c>
      <c r="C45" s="2">
        <f t="shared" si="39"/>
        <v>9944.7015646870914</v>
      </c>
      <c r="D45" s="97">
        <f t="shared" si="40"/>
        <v>66260.125853857986</v>
      </c>
      <c r="E45" s="2">
        <f t="shared" si="41"/>
        <v>15488.304418339305</v>
      </c>
      <c r="F45" s="24">
        <f t="shared" si="42"/>
        <v>81748.430272197293</v>
      </c>
      <c r="G45" s="116">
        <v>0</v>
      </c>
      <c r="H45" s="24">
        <f t="shared" si="43"/>
        <v>0</v>
      </c>
      <c r="I45" s="24">
        <f t="shared" si="44"/>
        <v>0</v>
      </c>
      <c r="J45" s="24">
        <f t="shared" si="45"/>
        <v>0</v>
      </c>
      <c r="K45" s="2">
        <f t="shared" si="46"/>
        <v>0</v>
      </c>
      <c r="L45" s="32">
        <f t="shared" si="82"/>
        <v>0</v>
      </c>
      <c r="M45" s="23">
        <f t="shared" si="47"/>
        <v>0</v>
      </c>
      <c r="N45" s="32">
        <f t="shared" si="48"/>
        <v>0</v>
      </c>
      <c r="O45" s="2">
        <f t="shared" si="49"/>
        <v>12960</v>
      </c>
      <c r="P45" s="32">
        <f t="shared" si="50"/>
        <v>218.72777142857143</v>
      </c>
      <c r="Q45" s="32">
        <f t="shared" si="51"/>
        <v>25000</v>
      </c>
      <c r="R45" s="32">
        <f t="shared" si="52"/>
        <v>421.92857142857144</v>
      </c>
      <c r="S45" s="32">
        <f t="shared" si="53"/>
        <v>0</v>
      </c>
      <c r="T45" s="32">
        <f t="shared" si="54"/>
        <v>0</v>
      </c>
      <c r="U45" s="32">
        <f t="shared" si="55"/>
        <v>0</v>
      </c>
      <c r="V45" s="32">
        <f t="shared" si="56"/>
        <v>0</v>
      </c>
      <c r="W45" s="32">
        <f t="shared" si="57"/>
        <v>0</v>
      </c>
      <c r="X45" s="32">
        <f t="shared" si="58"/>
        <v>0</v>
      </c>
      <c r="Y45" s="23">
        <f t="shared" si="59"/>
        <v>0</v>
      </c>
      <c r="Z45" s="79">
        <f t="shared" si="60"/>
        <v>0</v>
      </c>
      <c r="AA45" s="23">
        <f t="shared" si="61"/>
        <v>0</v>
      </c>
      <c r="AB45" s="23">
        <f t="shared" si="62"/>
        <v>0</v>
      </c>
      <c r="AC45" s="23">
        <f t="shared" si="63"/>
        <v>0</v>
      </c>
      <c r="AD45" s="23">
        <f t="shared" si="64"/>
        <v>0</v>
      </c>
      <c r="AE45" s="23">
        <f t="shared" si="65"/>
        <v>0</v>
      </c>
      <c r="AF45" s="23">
        <f t="shared" si="66"/>
        <v>0</v>
      </c>
      <c r="AG45" s="23">
        <f t="shared" si="67"/>
        <v>0</v>
      </c>
      <c r="AH45" s="23">
        <f t="shared" si="68"/>
        <v>0</v>
      </c>
      <c r="AI45" s="23">
        <f t="shared" si="69"/>
        <v>0</v>
      </c>
      <c r="AJ45" s="23">
        <f t="shared" si="70"/>
        <v>0</v>
      </c>
      <c r="AK45" s="23">
        <f t="shared" si="71"/>
        <v>0</v>
      </c>
      <c r="AL45" s="23">
        <f t="shared" si="72"/>
        <v>0</v>
      </c>
      <c r="AM45" s="23">
        <f t="shared" si="73"/>
        <v>0</v>
      </c>
      <c r="AN45" s="23">
        <f t="shared" si="74"/>
        <v>0</v>
      </c>
      <c r="AO45" s="23">
        <f t="shared" si="75"/>
        <v>0</v>
      </c>
      <c r="AP45" s="23">
        <f t="shared" si="76"/>
        <v>0</v>
      </c>
      <c r="AQ45" s="23">
        <f t="shared" si="77"/>
        <v>0</v>
      </c>
      <c r="AR45" s="23">
        <f t="shared" si="78"/>
        <v>0</v>
      </c>
      <c r="AS45" s="23">
        <f t="shared" si="79"/>
        <v>0</v>
      </c>
      <c r="AT45" s="23">
        <f t="shared" si="80"/>
        <v>0</v>
      </c>
      <c r="AU45" s="81">
        <f t="shared" si="81"/>
        <v>82389.086615054432</v>
      </c>
      <c r="AV45" s="80">
        <f>AU45/'SUIVI RABAIS PRODUCTION ET C '!H9</f>
        <v>482.00483598580962</v>
      </c>
      <c r="AX45" s="109">
        <f>AX44/1000</f>
        <v>669.67429763031782</v>
      </c>
      <c r="AY45" s="73" t="s">
        <v>169</v>
      </c>
    </row>
    <row r="46" spans="2:109" x14ac:dyDescent="0.2">
      <c r="B46" s="5" t="s">
        <v>130</v>
      </c>
      <c r="C46" s="72">
        <f>SUM(C41:C45)</f>
        <v>49723.507823435459</v>
      </c>
      <c r="D46" s="5">
        <f t="shared" ref="D46:AT46" si="83">SUM(D41:D45)</f>
        <v>331300.6292692899</v>
      </c>
      <c r="E46" s="5">
        <f t="shared" si="83"/>
        <v>77441.522091696519</v>
      </c>
      <c r="F46" s="25">
        <f t="shared" si="83"/>
        <v>408742.15136098646</v>
      </c>
      <c r="G46" s="25">
        <f t="shared" si="83"/>
        <v>0</v>
      </c>
      <c r="H46" s="25">
        <f t="shared" si="83"/>
        <v>0</v>
      </c>
      <c r="I46" s="25">
        <f t="shared" si="83"/>
        <v>0</v>
      </c>
      <c r="J46" s="5">
        <f t="shared" si="83"/>
        <v>0</v>
      </c>
      <c r="K46" s="5">
        <f t="shared" si="83"/>
        <v>0</v>
      </c>
      <c r="L46" s="25">
        <f t="shared" si="83"/>
        <v>0</v>
      </c>
      <c r="M46" s="5">
        <f t="shared" si="83"/>
        <v>0</v>
      </c>
      <c r="N46" s="25">
        <f t="shared" si="83"/>
        <v>0</v>
      </c>
      <c r="O46" s="5">
        <f t="shared" si="83"/>
        <v>64800</v>
      </c>
      <c r="P46" s="25">
        <f t="shared" si="83"/>
        <v>1093.6388571428572</v>
      </c>
      <c r="Q46" s="5">
        <f t="shared" si="83"/>
        <v>125000</v>
      </c>
      <c r="R46" s="5">
        <f t="shared" si="83"/>
        <v>2109.6428571428573</v>
      </c>
      <c r="S46" s="5">
        <f t="shared" si="83"/>
        <v>0</v>
      </c>
      <c r="T46" s="5">
        <f t="shared" si="83"/>
        <v>0</v>
      </c>
      <c r="U46" s="5">
        <f t="shared" si="83"/>
        <v>0</v>
      </c>
      <c r="V46" s="5">
        <f t="shared" si="83"/>
        <v>0</v>
      </c>
      <c r="W46" s="5">
        <f t="shared" si="83"/>
        <v>0</v>
      </c>
      <c r="X46" s="5">
        <f t="shared" si="83"/>
        <v>0</v>
      </c>
      <c r="Y46" s="5">
        <f t="shared" si="83"/>
        <v>0</v>
      </c>
      <c r="Z46" s="5">
        <f t="shared" si="83"/>
        <v>0</v>
      </c>
      <c r="AA46" s="5">
        <f t="shared" si="83"/>
        <v>0</v>
      </c>
      <c r="AB46" s="5">
        <f t="shared" si="83"/>
        <v>0</v>
      </c>
      <c r="AC46" s="5">
        <f t="shared" si="83"/>
        <v>0</v>
      </c>
      <c r="AD46" s="5">
        <f t="shared" si="83"/>
        <v>0</v>
      </c>
      <c r="AE46" s="5">
        <f t="shared" si="83"/>
        <v>0</v>
      </c>
      <c r="AF46" s="5">
        <f t="shared" si="83"/>
        <v>0</v>
      </c>
      <c r="AG46" s="5">
        <f t="shared" si="83"/>
        <v>0</v>
      </c>
      <c r="AH46" s="5">
        <f t="shared" si="83"/>
        <v>0</v>
      </c>
      <c r="AI46" s="5">
        <f t="shared" si="83"/>
        <v>0</v>
      </c>
      <c r="AJ46" s="5">
        <f t="shared" si="83"/>
        <v>0</v>
      </c>
      <c r="AK46" s="5">
        <f t="shared" si="83"/>
        <v>0</v>
      </c>
      <c r="AL46" s="5">
        <f t="shared" si="83"/>
        <v>0</v>
      </c>
      <c r="AM46" s="5">
        <f t="shared" si="83"/>
        <v>0</v>
      </c>
      <c r="AN46" s="5">
        <f t="shared" si="83"/>
        <v>0</v>
      </c>
      <c r="AO46" s="5">
        <f t="shared" si="83"/>
        <v>0</v>
      </c>
      <c r="AP46" s="5">
        <f t="shared" si="83"/>
        <v>0</v>
      </c>
      <c r="AQ46" s="5">
        <f t="shared" si="83"/>
        <v>0</v>
      </c>
      <c r="AR46" s="5">
        <f t="shared" si="83"/>
        <v>0</v>
      </c>
      <c r="AS46" s="5">
        <f t="shared" si="83"/>
        <v>0</v>
      </c>
      <c r="AT46" s="5">
        <f t="shared" si="83"/>
        <v>0</v>
      </c>
      <c r="AU46" s="33">
        <f>SUM(AU41:AU45)</f>
        <v>411945.43307527213</v>
      </c>
    </row>
    <row r="47" spans="2:109" x14ac:dyDescent="0.2">
      <c r="B47" s="26"/>
      <c r="C47" s="26"/>
      <c r="D47" s="26"/>
      <c r="E47" s="26"/>
      <c r="F47" s="27"/>
      <c r="G47" s="26"/>
      <c r="H47" s="26"/>
      <c r="I47" s="26"/>
      <c r="J47" s="26"/>
    </row>
    <row r="48" spans="2:109" x14ac:dyDescent="0.2">
      <c r="B48" s="69" t="s">
        <v>170</v>
      </c>
      <c r="C48" s="69"/>
      <c r="D48" s="69"/>
      <c r="E48" s="69"/>
      <c r="F48" s="69"/>
      <c r="G48" s="69"/>
      <c r="H48" s="69"/>
      <c r="I48" s="69"/>
    </row>
    <row r="49" spans="2:18" x14ac:dyDescent="0.2">
      <c r="B49" s="36" t="s">
        <v>171</v>
      </c>
      <c r="C49" s="37"/>
      <c r="D49" s="38"/>
      <c r="E49" s="38"/>
      <c r="F49" s="38"/>
      <c r="G49" s="38"/>
      <c r="H49" s="70"/>
      <c r="I49" s="95">
        <f>0.016*44/28</f>
        <v>2.514285714285714E-2</v>
      </c>
    </row>
    <row r="50" spans="2:18" x14ac:dyDescent="0.2">
      <c r="B50" s="39" t="s">
        <v>172</v>
      </c>
      <c r="C50" s="40"/>
      <c r="D50" s="41"/>
      <c r="E50" s="41"/>
      <c r="F50" s="41"/>
      <c r="G50" s="41"/>
      <c r="H50" s="42"/>
      <c r="I50" s="95">
        <f>0.006*44/28</f>
        <v>9.4285714285714285E-3</v>
      </c>
    </row>
    <row r="51" spans="2:18" x14ac:dyDescent="0.2">
      <c r="B51" s="39" t="s">
        <v>173</v>
      </c>
      <c r="C51" s="40"/>
      <c r="D51" s="41"/>
      <c r="E51" s="41"/>
      <c r="F51" s="41"/>
      <c r="G51" s="41"/>
      <c r="H51" s="42"/>
      <c r="I51" s="95">
        <f>0.01*0.11*44/28</f>
        <v>1.7285714285714287E-3</v>
      </c>
    </row>
    <row r="52" spans="2:18" x14ac:dyDescent="0.2">
      <c r="B52" s="39" t="s">
        <v>174</v>
      </c>
      <c r="C52" s="40"/>
      <c r="D52" s="41"/>
      <c r="E52" s="41"/>
      <c r="F52" s="41"/>
      <c r="G52" s="41"/>
      <c r="H52" s="42"/>
      <c r="I52" s="95">
        <f>0.01*0.21*44/28</f>
        <v>3.3E-3</v>
      </c>
    </row>
    <row r="53" spans="2:18" x14ac:dyDescent="0.2">
      <c r="B53" s="39" t="s">
        <v>175</v>
      </c>
      <c r="C53" s="40"/>
      <c r="D53" s="41"/>
      <c r="E53" s="41"/>
      <c r="F53" s="41"/>
      <c r="G53" s="41"/>
      <c r="H53" s="42"/>
      <c r="I53" s="95">
        <f>0.011*0.24*44/28</f>
        <v>4.1485714285714277E-3</v>
      </c>
    </row>
    <row r="54" spans="2:18" x14ac:dyDescent="0.2">
      <c r="B54" s="39" t="s">
        <v>176</v>
      </c>
      <c r="C54" s="40"/>
      <c r="D54" s="40"/>
      <c r="E54" s="40"/>
      <c r="F54" s="41"/>
      <c r="G54" s="41"/>
      <c r="H54" s="42"/>
      <c r="I54" s="95">
        <f>0.12*44/12</f>
        <v>0.43999999999999995</v>
      </c>
    </row>
    <row r="55" spans="2:18" x14ac:dyDescent="0.2">
      <c r="B55" s="43" t="s">
        <v>177</v>
      </c>
      <c r="C55" s="44"/>
      <c r="D55" s="44"/>
      <c r="E55" s="44"/>
      <c r="F55" s="71"/>
      <c r="G55" s="71"/>
      <c r="H55" s="45"/>
      <c r="I55" s="95">
        <f>0.13*44/12</f>
        <v>0.47666666666666674</v>
      </c>
    </row>
    <row r="57" spans="2:18" x14ac:dyDescent="0.2">
      <c r="B57" s="69" t="s">
        <v>178</v>
      </c>
      <c r="C57" s="62"/>
      <c r="D57" s="62"/>
      <c r="E57" s="62"/>
      <c r="F57" s="62"/>
      <c r="G57" s="62"/>
      <c r="H57" s="62"/>
      <c r="I57" s="62"/>
    </row>
    <row r="58" spans="2:18" x14ac:dyDescent="0.2">
      <c r="B58" s="74" t="s">
        <v>179</v>
      </c>
      <c r="C58" s="75"/>
      <c r="D58" s="75"/>
      <c r="E58" s="75"/>
      <c r="F58" s="75"/>
      <c r="G58" s="75"/>
      <c r="H58" s="75"/>
      <c r="I58" s="76">
        <v>265</v>
      </c>
    </row>
    <row r="60" spans="2:18" x14ac:dyDescent="0.2">
      <c r="B60" s="69" t="s">
        <v>180</v>
      </c>
      <c r="C60" s="69"/>
      <c r="D60" s="69"/>
      <c r="E60" s="69"/>
      <c r="F60" s="69"/>
      <c r="G60" s="69"/>
      <c r="H60" s="69"/>
      <c r="I60" s="69"/>
    </row>
    <row r="61" spans="2:18" x14ac:dyDescent="0.2">
      <c r="C61" s="277" t="s">
        <v>34</v>
      </c>
      <c r="D61" s="278"/>
      <c r="E61" s="278"/>
      <c r="F61" s="278"/>
      <c r="G61" s="278"/>
      <c r="H61" s="279"/>
      <c r="I61" s="277" t="s">
        <v>133</v>
      </c>
      <c r="J61" s="278"/>
      <c r="K61" s="278"/>
      <c r="L61" s="278"/>
      <c r="M61" s="278"/>
      <c r="N61" s="278"/>
      <c r="O61" s="278"/>
      <c r="P61" s="278"/>
      <c r="Q61" s="278"/>
      <c r="R61" s="279"/>
    </row>
    <row r="62" spans="2:18" x14ac:dyDescent="0.2">
      <c r="C62" s="268" t="str">
        <f>BQ5</f>
        <v>Bactériosol</v>
      </c>
      <c r="D62" s="268" t="str">
        <f>BT5</f>
        <v>Bactériolit</v>
      </c>
      <c r="E62" s="268">
        <f>BW5</f>
        <v>0</v>
      </c>
      <c r="F62" s="268">
        <f>BZ5</f>
        <v>0</v>
      </c>
      <c r="G62" s="268">
        <f>CC5</f>
        <v>0</v>
      </c>
      <c r="H62" s="268">
        <f>CF5</f>
        <v>0</v>
      </c>
      <c r="I62" s="273" t="s">
        <v>58</v>
      </c>
      <c r="J62" s="273" t="s">
        <v>59</v>
      </c>
      <c r="K62" s="273" t="s">
        <v>60</v>
      </c>
      <c r="L62" s="275" t="s">
        <v>61</v>
      </c>
      <c r="M62" s="275" t="s">
        <v>62</v>
      </c>
      <c r="N62" s="275" t="s">
        <v>63</v>
      </c>
      <c r="O62" s="275" t="s">
        <v>64</v>
      </c>
      <c r="P62" s="275" t="s">
        <v>65</v>
      </c>
      <c r="Q62" s="275" t="s">
        <v>66</v>
      </c>
      <c r="R62" s="275" t="s">
        <v>67</v>
      </c>
    </row>
    <row r="63" spans="2:18" x14ac:dyDescent="0.2">
      <c r="C63" s="269"/>
      <c r="D63" s="269"/>
      <c r="E63" s="269"/>
      <c r="F63" s="269"/>
      <c r="G63" s="269"/>
      <c r="H63" s="269"/>
      <c r="I63" s="274"/>
      <c r="J63" s="274"/>
      <c r="K63" s="274"/>
      <c r="L63" s="276"/>
      <c r="M63" s="276"/>
      <c r="N63" s="276"/>
      <c r="O63" s="276"/>
      <c r="P63" s="276"/>
      <c r="Q63" s="276"/>
      <c r="R63" s="276"/>
    </row>
    <row r="64" spans="2:18" ht="23" customHeight="1" x14ac:dyDescent="0.2">
      <c r="C64" s="270"/>
      <c r="D64" s="270"/>
      <c r="E64" s="270"/>
      <c r="F64" s="270"/>
      <c r="G64" s="270"/>
      <c r="H64" s="270"/>
      <c r="I64" s="274"/>
      <c r="J64" s="274"/>
      <c r="K64" s="274"/>
      <c r="L64" s="276"/>
      <c r="M64" s="276"/>
      <c r="N64" s="276"/>
      <c r="O64" s="276"/>
      <c r="P64" s="276"/>
      <c r="Q64" s="276"/>
      <c r="R64" s="276"/>
    </row>
    <row r="65" spans="2:27" x14ac:dyDescent="0.2">
      <c r="B65" s="47" t="s">
        <v>181</v>
      </c>
      <c r="C65" s="153">
        <f>BQ7</f>
        <v>3600</v>
      </c>
      <c r="D65" s="153">
        <f>BT7</f>
        <v>5000</v>
      </c>
      <c r="E65" s="153"/>
      <c r="F65" s="153"/>
      <c r="G65" s="153"/>
      <c r="H65" s="153"/>
      <c r="I65" s="1">
        <v>10.1</v>
      </c>
      <c r="J65" s="1">
        <v>13.84</v>
      </c>
      <c r="K65" s="1">
        <v>21.6</v>
      </c>
      <c r="L65" s="1">
        <v>5.09</v>
      </c>
      <c r="M65" s="96">
        <f>(13.07+13.5+14.63+15.38)/4</f>
        <v>14.145000000000001</v>
      </c>
      <c r="N65" s="1">
        <v>28.45</v>
      </c>
      <c r="O65" s="1">
        <v>6.9</v>
      </c>
      <c r="P65" s="1">
        <v>27.3</v>
      </c>
      <c r="Q65" s="1">
        <v>5.55</v>
      </c>
      <c r="R65" s="1">
        <v>15.23</v>
      </c>
    </row>
    <row r="69" spans="2:27" x14ac:dyDescent="0.2">
      <c r="U69" s="155"/>
      <c r="V69" s="155"/>
      <c r="W69" s="155"/>
      <c r="X69" s="155"/>
      <c r="Y69" s="155"/>
      <c r="Z69" s="155"/>
      <c r="AA69" s="155"/>
    </row>
    <row r="70" spans="2:27" x14ac:dyDescent="0.2">
      <c r="U70" s="155"/>
      <c r="V70" s="155"/>
      <c r="W70" s="155"/>
      <c r="X70" s="155"/>
      <c r="Y70" s="155"/>
      <c r="Z70" s="155"/>
      <c r="AA70" s="155"/>
    </row>
    <row r="71" spans="2:27" x14ac:dyDescent="0.2">
      <c r="U71" s="155"/>
      <c r="V71" s="155"/>
      <c r="W71" s="155"/>
      <c r="X71" s="155"/>
      <c r="Y71" s="155"/>
      <c r="Z71" s="155"/>
      <c r="AA71" s="155"/>
    </row>
    <row r="72" spans="2:27" x14ac:dyDescent="0.2">
      <c r="U72" s="155"/>
      <c r="V72" s="155"/>
      <c r="W72" s="155"/>
      <c r="X72" s="155"/>
      <c r="Y72" s="155"/>
      <c r="Z72" s="155"/>
      <c r="AA72" s="155"/>
    </row>
    <row r="73" spans="2:27" x14ac:dyDescent="0.2">
      <c r="E73" s="154"/>
      <c r="U73" s="155"/>
      <c r="V73" s="155"/>
      <c r="W73" s="155"/>
      <c r="X73" s="155"/>
      <c r="Y73" s="155"/>
      <c r="Z73" s="155"/>
      <c r="AA73" s="155"/>
    </row>
    <row r="74" spans="2:27" x14ac:dyDescent="0.2">
      <c r="L74" s="154"/>
      <c r="U74" s="155"/>
      <c r="V74" s="155"/>
      <c r="W74" s="155"/>
      <c r="X74" s="155"/>
      <c r="Y74" s="155"/>
      <c r="Z74" s="155"/>
      <c r="AA74" s="155"/>
    </row>
    <row r="75" spans="2:27" x14ac:dyDescent="0.2">
      <c r="E75" s="154"/>
      <c r="U75" s="155"/>
      <c r="V75" s="155"/>
      <c r="W75" s="155"/>
      <c r="X75" s="155"/>
      <c r="Y75" s="155"/>
      <c r="Z75" s="155"/>
      <c r="AA75" s="155"/>
    </row>
    <row r="76" spans="2:27" x14ac:dyDescent="0.2">
      <c r="U76" s="155"/>
      <c r="V76" s="155"/>
      <c r="W76" s="155"/>
      <c r="X76" s="155"/>
      <c r="Y76" s="155"/>
      <c r="Z76" s="155"/>
      <c r="AA76" s="155"/>
    </row>
    <row r="77" spans="2:27" x14ac:dyDescent="0.2">
      <c r="E77" s="154"/>
      <c r="U77" s="155"/>
      <c r="V77" s="155"/>
      <c r="W77" s="155"/>
      <c r="X77" s="155"/>
      <c r="Y77" s="155"/>
      <c r="Z77" s="155"/>
      <c r="AA77" s="155"/>
    </row>
    <row r="78" spans="2:27" x14ac:dyDescent="0.2">
      <c r="U78" s="155"/>
      <c r="V78" s="155"/>
      <c r="W78" s="155"/>
      <c r="X78" s="155"/>
      <c r="Y78" s="155"/>
      <c r="Z78" s="155"/>
      <c r="AA78" s="155"/>
    </row>
    <row r="79" spans="2:27" x14ac:dyDescent="0.2">
      <c r="U79" s="155"/>
      <c r="V79" s="155"/>
      <c r="W79" s="155"/>
      <c r="X79" s="155"/>
      <c r="Y79" s="155"/>
      <c r="Z79" s="155"/>
      <c r="AA79" s="155"/>
    </row>
    <row r="80" spans="2:27" x14ac:dyDescent="0.2">
      <c r="U80" s="155"/>
      <c r="V80" s="155"/>
      <c r="W80" s="155"/>
      <c r="X80" s="155"/>
      <c r="Y80" s="155"/>
      <c r="Z80" s="155"/>
      <c r="AA80" s="155"/>
    </row>
    <row r="81" spans="21:27" x14ac:dyDescent="0.2">
      <c r="U81" s="155"/>
      <c r="V81" s="155"/>
      <c r="W81" s="155"/>
      <c r="X81" s="155"/>
      <c r="Y81" s="155"/>
      <c r="Z81" s="155"/>
      <c r="AA81" s="155"/>
    </row>
    <row r="82" spans="21:27" x14ac:dyDescent="0.2">
      <c r="U82" s="155"/>
      <c r="V82" s="155"/>
      <c r="W82" s="155"/>
      <c r="X82" s="155"/>
      <c r="Y82" s="155"/>
      <c r="Z82" s="155"/>
      <c r="AA82" s="155"/>
    </row>
    <row r="83" spans="21:27" x14ac:dyDescent="0.2">
      <c r="U83" s="155"/>
      <c r="V83" s="155"/>
      <c r="W83" s="155"/>
      <c r="X83" s="155"/>
      <c r="Y83" s="155"/>
      <c r="Z83" s="155"/>
      <c r="AA83" s="155"/>
    </row>
    <row r="84" spans="21:27" x14ac:dyDescent="0.2">
      <c r="U84" s="155"/>
      <c r="V84" s="155"/>
      <c r="W84" s="155"/>
      <c r="X84" s="155"/>
      <c r="Y84" s="155"/>
      <c r="Z84" s="155"/>
      <c r="AA84" s="155"/>
    </row>
    <row r="85" spans="21:27" x14ac:dyDescent="0.2">
      <c r="U85" s="155"/>
      <c r="V85" s="155"/>
      <c r="W85" s="155"/>
      <c r="X85" s="155"/>
      <c r="Y85" s="155"/>
      <c r="Z85" s="155"/>
      <c r="AA85" s="155"/>
    </row>
    <row r="86" spans="21:27" x14ac:dyDescent="0.2">
      <c r="U86" s="155"/>
      <c r="V86" s="155"/>
      <c r="W86" s="155"/>
      <c r="X86" s="155"/>
      <c r="Y86" s="155"/>
      <c r="Z86" s="155"/>
      <c r="AA86" s="155"/>
    </row>
    <row r="87" spans="21:27" x14ac:dyDescent="0.2">
      <c r="U87" s="155"/>
      <c r="V87" s="155"/>
      <c r="W87" s="155"/>
      <c r="X87" s="155"/>
      <c r="Y87" s="155"/>
      <c r="Z87" s="155"/>
      <c r="AA87" s="155"/>
    </row>
  </sheetData>
  <mergeCells count="230">
    <mergeCell ref="DD19:DD23"/>
    <mergeCell ref="DF19:DF23"/>
    <mergeCell ref="DH19:DH23"/>
    <mergeCell ref="DJ19:DJ23"/>
    <mergeCell ref="DL19:DL23"/>
    <mergeCell ref="DN19:DN23"/>
    <mergeCell ref="B1:CH2"/>
    <mergeCell ref="BP3:BS3"/>
    <mergeCell ref="CJ3:CM3"/>
    <mergeCell ref="C4:AF4"/>
    <mergeCell ref="AG4:AU4"/>
    <mergeCell ref="AV4:AX4"/>
    <mergeCell ref="AY4:BA4"/>
    <mergeCell ref="BB4:BD4"/>
    <mergeCell ref="BE4:BP4"/>
    <mergeCell ref="BQ4:CH4"/>
    <mergeCell ref="CI4:DL4"/>
    <mergeCell ref="C5:E5"/>
    <mergeCell ref="F5:H5"/>
    <mergeCell ref="I5:K5"/>
    <mergeCell ref="L5:N5"/>
    <mergeCell ref="O5:Q5"/>
    <mergeCell ref="R5:T5"/>
    <mergeCell ref="U5:W5"/>
    <mergeCell ref="X5:Z5"/>
    <mergeCell ref="AA5:AC5"/>
    <mergeCell ref="BE5:BG5"/>
    <mergeCell ref="BH5:BJ5"/>
    <mergeCell ref="BK5:BM5"/>
    <mergeCell ref="BN5:BP5"/>
    <mergeCell ref="AD5:AF5"/>
    <mergeCell ref="AG5:AI5"/>
    <mergeCell ref="AM5:AO5"/>
    <mergeCell ref="AP5:AR5"/>
    <mergeCell ref="AS5:AU5"/>
    <mergeCell ref="AV5:AX5"/>
    <mergeCell ref="DA5:DC5"/>
    <mergeCell ref="DD5:DF5"/>
    <mergeCell ref="DG5:DI5"/>
    <mergeCell ref="DJ5:DL5"/>
    <mergeCell ref="B13:CX13"/>
    <mergeCell ref="B14:B18"/>
    <mergeCell ref="C14:BR14"/>
    <mergeCell ref="CK14:CL14"/>
    <mergeCell ref="CM14:DB14"/>
    <mergeCell ref="DC14:DN14"/>
    <mergeCell ref="CI5:CK5"/>
    <mergeCell ref="CL5:CN5"/>
    <mergeCell ref="CO5:CQ5"/>
    <mergeCell ref="CR5:CT5"/>
    <mergeCell ref="CU5:CW5"/>
    <mergeCell ref="CX5:CZ5"/>
    <mergeCell ref="BQ5:BS5"/>
    <mergeCell ref="BT5:BV5"/>
    <mergeCell ref="BW5:BY5"/>
    <mergeCell ref="BZ5:CB5"/>
    <mergeCell ref="CC5:CE5"/>
    <mergeCell ref="CF5:CH5"/>
    <mergeCell ref="AY5:BA5"/>
    <mergeCell ref="BB5:BD5"/>
    <mergeCell ref="DO14:EH14"/>
    <mergeCell ref="C15:AP15"/>
    <mergeCell ref="AQ15:BP15"/>
    <mergeCell ref="BQ15:CJ15"/>
    <mergeCell ref="CK15:CL17"/>
    <mergeCell ref="CM15:CP17"/>
    <mergeCell ref="CQ15:CT17"/>
    <mergeCell ref="CU15:CX17"/>
    <mergeCell ref="CY15:DB17"/>
    <mergeCell ref="DC15:DD17"/>
    <mergeCell ref="EC15:ED17"/>
    <mergeCell ref="EE15:EF17"/>
    <mergeCell ref="EG15:EH17"/>
    <mergeCell ref="C16:Z16"/>
    <mergeCell ref="AA16:AH16"/>
    <mergeCell ref="AI16:AP16"/>
    <mergeCell ref="AQ16:AW16"/>
    <mergeCell ref="AX16:BA16"/>
    <mergeCell ref="BB16:BH16"/>
    <mergeCell ref="BI16:BL16"/>
    <mergeCell ref="DQ15:DR17"/>
    <mergeCell ref="DS15:DT17"/>
    <mergeCell ref="DU15:DV17"/>
    <mergeCell ref="DW15:DX17"/>
    <mergeCell ref="DY15:DZ17"/>
    <mergeCell ref="EA15:EB17"/>
    <mergeCell ref="DE15:DF17"/>
    <mergeCell ref="DG15:DH17"/>
    <mergeCell ref="DI15:DJ17"/>
    <mergeCell ref="DK15:DL17"/>
    <mergeCell ref="DM15:DN17"/>
    <mergeCell ref="DO15:DP17"/>
    <mergeCell ref="AM17:AP17"/>
    <mergeCell ref="AQ17:AQ18"/>
    <mergeCell ref="AR17:AT17"/>
    <mergeCell ref="AU17:AW17"/>
    <mergeCell ref="BM16:BP16"/>
    <mergeCell ref="BQ16:BZ16"/>
    <mergeCell ref="CA16:CJ16"/>
    <mergeCell ref="CB17:CD17"/>
    <mergeCell ref="CE17:CG17"/>
    <mergeCell ref="CH17:CJ17"/>
    <mergeCell ref="C17:F17"/>
    <mergeCell ref="G17:J17"/>
    <mergeCell ref="K17:N17"/>
    <mergeCell ref="O17:R17"/>
    <mergeCell ref="S17:V17"/>
    <mergeCell ref="W17:Z17"/>
    <mergeCell ref="AA17:AD17"/>
    <mergeCell ref="BX17:BZ17"/>
    <mergeCell ref="CA17:CA18"/>
    <mergeCell ref="BR17:BT17"/>
    <mergeCell ref="BU17:BW17"/>
    <mergeCell ref="F19:F23"/>
    <mergeCell ref="J19:J23"/>
    <mergeCell ref="N19:N23"/>
    <mergeCell ref="R19:R23"/>
    <mergeCell ref="V19:V23"/>
    <mergeCell ref="BJ17:BL17"/>
    <mergeCell ref="BM17:BM18"/>
    <mergeCell ref="BN17:BP17"/>
    <mergeCell ref="BQ17:BQ18"/>
    <mergeCell ref="AX17:AX18"/>
    <mergeCell ref="AY17:BA17"/>
    <mergeCell ref="BB17:BB18"/>
    <mergeCell ref="BC17:BE17"/>
    <mergeCell ref="BF17:BH17"/>
    <mergeCell ref="BI17:BI18"/>
    <mergeCell ref="AE17:AH17"/>
    <mergeCell ref="AI17:AL17"/>
    <mergeCell ref="AW19:AW23"/>
    <mergeCell ref="BA19:BA23"/>
    <mergeCell ref="BE19:BE23"/>
    <mergeCell ref="BH19:BH23"/>
    <mergeCell ref="BL19:BL23"/>
    <mergeCell ref="BP19:BP23"/>
    <mergeCell ref="Z19:Z23"/>
    <mergeCell ref="AL19:AL23"/>
    <mergeCell ref="AP19:AP23"/>
    <mergeCell ref="AT19:AT23"/>
    <mergeCell ref="CT19:CT23"/>
    <mergeCell ref="CX19:CX23"/>
    <mergeCell ref="DB19:DB23"/>
    <mergeCell ref="BT19:BT23"/>
    <mergeCell ref="BW19:BW23"/>
    <mergeCell ref="BZ19:BZ23"/>
    <mergeCell ref="CD19:CD23"/>
    <mergeCell ref="CG19:CG23"/>
    <mergeCell ref="CJ19:CJ23"/>
    <mergeCell ref="ED19:ED23"/>
    <mergeCell ref="EF19:EF23"/>
    <mergeCell ref="EH19:EH23"/>
    <mergeCell ref="B27:B30"/>
    <mergeCell ref="U27:X27"/>
    <mergeCell ref="Y27:AD27"/>
    <mergeCell ref="AE27:AN27"/>
    <mergeCell ref="AO27:AO30"/>
    <mergeCell ref="AP27:AP30"/>
    <mergeCell ref="C28:L28"/>
    <mergeCell ref="DR19:DR23"/>
    <mergeCell ref="DT19:DT23"/>
    <mergeCell ref="DV19:DV23"/>
    <mergeCell ref="DX19:DX23"/>
    <mergeCell ref="DZ19:DZ23"/>
    <mergeCell ref="EB19:EB23"/>
    <mergeCell ref="AF28:AF30"/>
    <mergeCell ref="AG28:AG30"/>
    <mergeCell ref="AH28:AH30"/>
    <mergeCell ref="DP19:DP23"/>
    <mergeCell ref="CL19:CL23"/>
    <mergeCell ref="CP19:CP23"/>
    <mergeCell ref="AD19:AD23"/>
    <mergeCell ref="AH19:AH23"/>
    <mergeCell ref="B39:B40"/>
    <mergeCell ref="C39:F39"/>
    <mergeCell ref="G39:J39"/>
    <mergeCell ref="K39:N39"/>
    <mergeCell ref="O39:Z39"/>
    <mergeCell ref="C29:H29"/>
    <mergeCell ref="I29:J29"/>
    <mergeCell ref="K29:L29"/>
    <mergeCell ref="M29:M30"/>
    <mergeCell ref="N29:N30"/>
    <mergeCell ref="T28:T30"/>
    <mergeCell ref="U28:U30"/>
    <mergeCell ref="V28:V30"/>
    <mergeCell ref="AJ28:AJ30"/>
    <mergeCell ref="AK28:AK30"/>
    <mergeCell ref="AL28:AL30"/>
    <mergeCell ref="W28:W30"/>
    <mergeCell ref="O29:O30"/>
    <mergeCell ref="P29:P30"/>
    <mergeCell ref="Q29:Q30"/>
    <mergeCell ref="R29:R30"/>
    <mergeCell ref="AA39:AT39"/>
    <mergeCell ref="AM28:AM30"/>
    <mergeCell ref="AN28:AN30"/>
    <mergeCell ref="AD28:AD30"/>
    <mergeCell ref="AE28:AE30"/>
    <mergeCell ref="AI28:AI30"/>
    <mergeCell ref="X28:X30"/>
    <mergeCell ref="Y28:Y30"/>
    <mergeCell ref="Z28:Z30"/>
    <mergeCell ref="AA28:AA30"/>
    <mergeCell ref="AB28:AB30"/>
    <mergeCell ref="AC28:AC30"/>
    <mergeCell ref="S29:S30"/>
    <mergeCell ref="M28:Q28"/>
    <mergeCell ref="R28:S28"/>
    <mergeCell ref="AX41:AZ43"/>
    <mergeCell ref="C62:C64"/>
    <mergeCell ref="D62:D64"/>
    <mergeCell ref="E62:E64"/>
    <mergeCell ref="F62:F64"/>
    <mergeCell ref="G62:G64"/>
    <mergeCell ref="H62:H64"/>
    <mergeCell ref="AU39:AU40"/>
    <mergeCell ref="AV39:AV40"/>
    <mergeCell ref="C61:H61"/>
    <mergeCell ref="I61:R61"/>
    <mergeCell ref="O62:O64"/>
    <mergeCell ref="P62:P64"/>
    <mergeCell ref="Q62:Q64"/>
    <mergeCell ref="R62:R64"/>
    <mergeCell ref="I62:I64"/>
    <mergeCell ref="J62:J64"/>
    <mergeCell ref="K62:K64"/>
    <mergeCell ref="L62:L64"/>
    <mergeCell ref="M62:M64"/>
    <mergeCell ref="N62:N64"/>
  </mergeCells>
  <pageMargins left="0.25" right="0.25" top="0.75" bottom="0.75" header="0.3" footer="0.3"/>
  <pageSetup paperSize="9" fitToWidth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AB65"/>
  <sheetViews>
    <sheetView zoomScale="70" zoomScaleNormal="70" workbookViewId="0">
      <selection activeCell="R20" sqref="R20"/>
    </sheetView>
  </sheetViews>
  <sheetFormatPr baseColWidth="10" defaultColWidth="11.5" defaultRowHeight="15" x14ac:dyDescent="0.2"/>
  <cols>
    <col min="3" max="3" width="14.83203125" customWidth="1"/>
    <col min="4" max="4" width="17.33203125" customWidth="1"/>
    <col min="5" max="5" width="17" customWidth="1"/>
    <col min="6" max="6" width="19.6640625" customWidth="1"/>
    <col min="7" max="7" width="21.1640625" customWidth="1"/>
    <col min="8" max="8" width="7.6640625" customWidth="1"/>
    <col min="9" max="9" width="12.33203125" customWidth="1"/>
    <col min="10" max="11" width="19.33203125" customWidth="1"/>
    <col min="12" max="12" width="12" customWidth="1"/>
    <col min="13" max="13" width="11.5" customWidth="1"/>
    <col min="15" max="15" width="12.5" customWidth="1"/>
    <col min="17" max="17" width="18.5" customWidth="1"/>
    <col min="18" max="18" width="16" bestFit="1" customWidth="1"/>
    <col min="21" max="21" width="18" bestFit="1" customWidth="1"/>
    <col min="27" max="71" width="11.6640625" customWidth="1"/>
  </cols>
  <sheetData>
    <row r="1" spans="2:21" ht="15" customHeight="1" x14ac:dyDescent="0.2">
      <c r="B1" s="404" t="s">
        <v>213</v>
      </c>
      <c r="C1" s="404"/>
      <c r="D1" s="404"/>
      <c r="E1" s="404"/>
      <c r="F1" s="404"/>
      <c r="G1" s="404"/>
      <c r="H1" s="404"/>
      <c r="I1" s="404"/>
      <c r="J1" s="404"/>
      <c r="K1" s="404"/>
    </row>
    <row r="2" spans="2:21" ht="15" customHeight="1" x14ac:dyDescent="0.2">
      <c r="B2" s="404"/>
      <c r="C2" s="404"/>
      <c r="D2" s="404"/>
      <c r="E2" s="404"/>
      <c r="F2" s="404"/>
      <c r="G2" s="404"/>
      <c r="H2" s="404"/>
      <c r="I2" s="404"/>
      <c r="J2" s="404"/>
      <c r="K2" s="404"/>
    </row>
    <row r="4" spans="2:21" ht="15" customHeight="1" x14ac:dyDescent="0.2">
      <c r="B4" s="119" t="s">
        <v>214</v>
      </c>
    </row>
    <row r="5" spans="2:21" x14ac:dyDescent="0.2">
      <c r="B5" t="s">
        <v>215</v>
      </c>
    </row>
    <row r="6" spans="2:21" x14ac:dyDescent="0.2">
      <c r="B6" s="449" t="s">
        <v>216</v>
      </c>
      <c r="C6" s="449"/>
      <c r="D6" s="449"/>
      <c r="E6" s="449"/>
    </row>
    <row r="7" spans="2:21" x14ac:dyDescent="0.2">
      <c r="B7" s="120"/>
      <c r="C7" s="120"/>
      <c r="D7" s="120"/>
      <c r="E7" s="120"/>
    </row>
    <row r="8" spans="2:21" ht="16" thickBot="1" x14ac:dyDescent="0.25">
      <c r="B8" s="6" t="s">
        <v>217</v>
      </c>
    </row>
    <row r="9" spans="2:21" ht="16" thickBot="1" x14ac:dyDescent="0.25">
      <c r="C9" s="121" t="s">
        <v>218</v>
      </c>
      <c r="D9" s="122"/>
      <c r="E9" s="92" t="s">
        <v>182</v>
      </c>
      <c r="F9" s="121" t="s">
        <v>219</v>
      </c>
      <c r="G9" s="123" t="str">
        <f>IF(E9="O","N",IF(E9= "N", "O", "saisir O ou N dans la zone dédiée références spécifiques"))</f>
        <v>O</v>
      </c>
      <c r="H9" s="120"/>
      <c r="I9" s="120"/>
    </row>
    <row r="10" spans="2:21" x14ac:dyDescent="0.2">
      <c r="B10" s="6"/>
      <c r="C10" s="120"/>
      <c r="E10" s="6"/>
      <c r="F10" s="120"/>
      <c r="G10" s="120"/>
      <c r="H10" s="120"/>
      <c r="I10" s="120"/>
    </row>
    <row r="11" spans="2:21" ht="59.25" customHeight="1" thickBot="1" x14ac:dyDescent="0.25">
      <c r="E11" s="4" t="s">
        <v>189</v>
      </c>
      <c r="F11" s="124" t="str">
        <f>IF(E9="O", "IFT herbicide exploitation", "IFT herbicide référence régionale")</f>
        <v>IFT herbicide référence régionale</v>
      </c>
      <c r="G11" s="125" t="str">
        <f>IF(E9="O", "IFT hors herbicide exploitation", "IFT hors herbicide référence régionale")</f>
        <v>IFT hors herbicide référence régionale</v>
      </c>
      <c r="H11" s="4"/>
      <c r="I11" s="4" t="s">
        <v>189</v>
      </c>
      <c r="J11" s="124" t="s">
        <v>220</v>
      </c>
      <c r="K11" s="125" t="s">
        <v>221</v>
      </c>
      <c r="S11" s="151"/>
    </row>
    <row r="12" spans="2:21" ht="16" thickBot="1" x14ac:dyDescent="0.25">
      <c r="E12" s="2" t="s">
        <v>74</v>
      </c>
      <c r="F12" s="93">
        <v>1.39</v>
      </c>
      <c r="G12" s="93">
        <v>0.87</v>
      </c>
      <c r="I12" s="2" t="s">
        <v>182</v>
      </c>
      <c r="J12" s="481">
        <v>0.78</v>
      </c>
      <c r="K12" s="93">
        <v>0.17</v>
      </c>
      <c r="L12" s="162"/>
      <c r="M12" s="444" t="s">
        <v>222</v>
      </c>
      <c r="N12" s="445"/>
      <c r="O12" s="445"/>
      <c r="P12" s="484">
        <f>IF(AND(F17=0,J17=0),"/",IF(AND(J17&lt;&gt;0,F17=0),1,(J17-F17)/F17))</f>
        <v>-0.20945945945945965</v>
      </c>
      <c r="Q12" s="127"/>
      <c r="R12" s="162"/>
      <c r="S12" s="161"/>
    </row>
    <row r="13" spans="2:21" ht="16" thickBot="1" x14ac:dyDescent="0.25">
      <c r="E13" s="2" t="s">
        <v>75</v>
      </c>
      <c r="F13" s="93">
        <v>1.01</v>
      </c>
      <c r="G13" s="93">
        <v>0.47</v>
      </c>
      <c r="I13" s="2" t="s">
        <v>183</v>
      </c>
      <c r="J13" s="481">
        <v>0.78</v>
      </c>
      <c r="K13" s="93">
        <v>0.17</v>
      </c>
      <c r="M13" s="128" t="str">
        <f>IF(P12="/","Ni rabais ni bonus",IF(AND(E9="O", P12&lt;=-0.1),"les co-bénéfices basés sur les herbicides sont validés", IF(AND(E9="N",P12&lt;= -0.2), "les co-bénéfices basés sur les herbicides sont validés", "les co-bénéfices basés sur les herbicides ne sont pas validés")))</f>
        <v>les co-bénéfices basés sur les herbicides sont validés</v>
      </c>
      <c r="N13" s="129"/>
      <c r="O13" s="129"/>
      <c r="P13" s="129"/>
      <c r="Q13" s="130"/>
    </row>
    <row r="14" spans="2:21" ht="16" thickBot="1" x14ac:dyDescent="0.25">
      <c r="E14" s="2" t="s">
        <v>76</v>
      </c>
      <c r="F14" s="93">
        <v>1.02</v>
      </c>
      <c r="G14" s="93">
        <v>0.28999999999999998</v>
      </c>
      <c r="I14" s="2" t="s">
        <v>184</v>
      </c>
      <c r="J14" s="481">
        <v>0.78</v>
      </c>
      <c r="K14" s="93">
        <v>0.17</v>
      </c>
      <c r="U14" s="161"/>
    </row>
    <row r="15" spans="2:21" ht="16" thickBot="1" x14ac:dyDescent="0.25">
      <c r="E15" s="2" t="s">
        <v>77</v>
      </c>
      <c r="F15" s="93">
        <v>0.86</v>
      </c>
      <c r="G15" s="93">
        <v>0.26</v>
      </c>
      <c r="I15" s="2" t="s">
        <v>185</v>
      </c>
      <c r="J15" s="481">
        <v>0.78</v>
      </c>
      <c r="K15" s="93">
        <v>0.17</v>
      </c>
      <c r="M15" s="446" t="s">
        <v>223</v>
      </c>
      <c r="N15" s="447"/>
      <c r="O15" s="447"/>
      <c r="P15" s="483">
        <f>IF(AND(G17=0,K17=0),"/",IF(AND(K17&lt;&gt;0,G17=0),1,(K17-G17)/G17))</f>
        <v>-0.5</v>
      </c>
      <c r="Q15" s="131"/>
    </row>
    <row r="16" spans="2:21" ht="16" thickBot="1" x14ac:dyDescent="0.25">
      <c r="E16" s="2" t="s">
        <v>78</v>
      </c>
      <c r="F16" s="93">
        <v>0.93</v>
      </c>
      <c r="G16" s="93">
        <v>0.25</v>
      </c>
      <c r="I16" s="2" t="s">
        <v>186</v>
      </c>
      <c r="J16" s="481">
        <v>0.78</v>
      </c>
      <c r="K16" s="93">
        <v>0.17</v>
      </c>
      <c r="M16" s="132" t="str">
        <f>IF(P15="/","Ni rabais ni bonus",IF(AND(E9="O",P15&lt;=-0.2),"les co-bénéfices basés sur les non-herbicides sont validés",IF(AND(E9="N",P15&lt;=-0.5),"les co-bénéfices basés sur les non-herbicides sont validés","les co-bénéfices basés sur les non-herbicides ne sont pas validés")))</f>
        <v>les co-bénéfices basés sur les non-herbicides sont validés</v>
      </c>
      <c r="N16" s="126"/>
      <c r="O16" s="126"/>
      <c r="P16" s="126"/>
      <c r="Q16" s="127"/>
    </row>
    <row r="17" spans="2:28" ht="66" customHeight="1" thickBot="1" x14ac:dyDescent="0.25">
      <c r="E17" s="133" t="s">
        <v>224</v>
      </c>
      <c r="F17" s="480">
        <f>IFERROR(TRIMMEAN(F12:F16,0.5),0)</f>
        <v>0.9866666666666668</v>
      </c>
      <c r="G17" s="57">
        <f>IFERROR(TRIMMEAN(G12:G16,0.5),0)</f>
        <v>0.34</v>
      </c>
      <c r="I17" s="133" t="s">
        <v>225</v>
      </c>
      <c r="J17" s="57">
        <f>IFERROR(TRIMMEAN(J12:J16,0.5),0)</f>
        <v>0.77999999999999992</v>
      </c>
      <c r="K17" s="57">
        <f>IFERROR(TRIMMEAN(K12:K16,0.5),0)</f>
        <v>0.17</v>
      </c>
    </row>
    <row r="18" spans="2:28" ht="16" thickBot="1" x14ac:dyDescent="0.25">
      <c r="E18" s="134"/>
      <c r="F18" s="26"/>
      <c r="G18" s="26"/>
      <c r="I18" s="134"/>
      <c r="J18" s="26"/>
      <c r="K18" s="26"/>
      <c r="M18" s="135" t="s">
        <v>226</v>
      </c>
      <c r="N18" s="136"/>
      <c r="O18" s="136"/>
      <c r="P18" s="136"/>
      <c r="Q18" s="136"/>
      <c r="R18" s="137">
        <f>IF(P12&lt;0,ROUNDDOWN(-(-P12-(IF(E9="O",0.2,0.5)))/0.05,0),0)</f>
        <v>5</v>
      </c>
      <c r="S18" s="154"/>
    </row>
    <row r="19" spans="2:28" ht="25" thickBot="1" x14ac:dyDescent="0.25">
      <c r="B19" s="119" t="s">
        <v>227</v>
      </c>
      <c r="M19" s="138" t="s">
        <v>228</v>
      </c>
      <c r="N19" s="139"/>
      <c r="O19" s="139"/>
      <c r="P19" s="139"/>
      <c r="Q19" s="139"/>
      <c r="R19" s="137">
        <f>IF(P15&lt;0,ROUNDDOWN(-(-P15-(IF(E9="O",0.2,0.5)))/0.05,0),0)</f>
        <v>0</v>
      </c>
    </row>
    <row r="20" spans="2:28" ht="31.5" customHeight="1" thickBot="1" x14ac:dyDescent="0.25">
      <c r="B20" s="119"/>
      <c r="E20" s="4" t="s">
        <v>189</v>
      </c>
      <c r="F20" s="140" t="s">
        <v>229</v>
      </c>
      <c r="I20" s="4" t="s">
        <v>189</v>
      </c>
      <c r="J20" s="140" t="s">
        <v>229</v>
      </c>
      <c r="K20" s="141"/>
    </row>
    <row r="21" spans="2:28" ht="15.75" customHeight="1" thickBot="1" x14ac:dyDescent="0.25">
      <c r="B21" s="119"/>
      <c r="E21" s="2" t="s">
        <v>74</v>
      </c>
      <c r="F21" s="93">
        <v>0</v>
      </c>
      <c r="I21" s="2" t="s">
        <v>182</v>
      </c>
      <c r="J21" s="93">
        <v>0</v>
      </c>
      <c r="K21" s="4"/>
      <c r="L21" s="450" t="s">
        <v>230</v>
      </c>
      <c r="M21" s="451"/>
      <c r="N21" s="451"/>
      <c r="O21" s="452"/>
      <c r="P21" s="165" t="str">
        <f>IF(AND(F26=0,J26=0),"/",-(F26-J26)/F26)</f>
        <v>/</v>
      </c>
      <c r="Q21" s="142"/>
    </row>
    <row r="22" spans="2:28" ht="15.75" customHeight="1" thickBot="1" x14ac:dyDescent="0.25">
      <c r="B22" s="119"/>
      <c r="E22" s="2" t="s">
        <v>75</v>
      </c>
      <c r="F22" s="93">
        <v>0</v>
      </c>
      <c r="I22" s="2" t="s">
        <v>183</v>
      </c>
      <c r="J22" s="93">
        <v>0</v>
      </c>
      <c r="K22" s="4"/>
      <c r="L22" s="128" t="str">
        <f>IF(P21="/","Ni rabais ni bonus",IF((F26-J26)/F26&gt;=0.3,"le co-bénéfice préservation de la ressource en eau est effectif","le co-bénéfice préservation de la ressource en eau n'est pas effectif"))</f>
        <v>Ni rabais ni bonus</v>
      </c>
      <c r="M22" s="129"/>
      <c r="N22" s="129"/>
      <c r="O22" s="129"/>
      <c r="P22" s="129"/>
      <c r="Q22" s="130"/>
    </row>
    <row r="23" spans="2:28" ht="15.75" customHeight="1" x14ac:dyDescent="0.2">
      <c r="B23" s="119"/>
      <c r="E23" s="2" t="s">
        <v>76</v>
      </c>
      <c r="F23" s="93">
        <v>0</v>
      </c>
      <c r="I23" s="2" t="s">
        <v>184</v>
      </c>
      <c r="J23" s="93">
        <v>0</v>
      </c>
      <c r="K23" s="4"/>
      <c r="L23" s="143"/>
      <c r="M23" s="143"/>
      <c r="N23" s="143"/>
      <c r="O23" s="143"/>
      <c r="P23" s="143"/>
    </row>
    <row r="24" spans="2:28" ht="15.75" customHeight="1" x14ac:dyDescent="0.2">
      <c r="B24" s="119"/>
      <c r="E24" s="2" t="s">
        <v>77</v>
      </c>
      <c r="F24" s="93">
        <v>0</v>
      </c>
      <c r="I24" s="2" t="s">
        <v>185</v>
      </c>
      <c r="J24" s="93">
        <v>0</v>
      </c>
      <c r="K24" s="4"/>
      <c r="Q24" s="3"/>
    </row>
    <row r="25" spans="2:28" ht="15.75" customHeight="1" thickBot="1" x14ac:dyDescent="0.25">
      <c r="B25" s="119"/>
      <c r="E25" s="2" t="s">
        <v>78</v>
      </c>
      <c r="F25" s="93">
        <v>0</v>
      </c>
      <c r="I25" s="2" t="s">
        <v>186</v>
      </c>
      <c r="J25" s="93">
        <v>0</v>
      </c>
      <c r="K25" s="4"/>
      <c r="M25" s="144"/>
      <c r="N25" s="144"/>
      <c r="O25" s="144"/>
    </row>
    <row r="26" spans="2:28" ht="44.25" customHeight="1" thickBot="1" x14ac:dyDescent="0.25">
      <c r="B26" s="119"/>
      <c r="E26" s="145" t="s">
        <v>231</v>
      </c>
      <c r="F26" s="57">
        <f>SUM(F21:F25)</f>
        <v>0</v>
      </c>
      <c r="I26" s="145" t="s">
        <v>231</v>
      </c>
      <c r="J26" s="57">
        <f>SUM(J21:J25)</f>
        <v>0</v>
      </c>
      <c r="K26" s="26"/>
      <c r="L26" s="453" t="s">
        <v>232</v>
      </c>
      <c r="M26" s="454"/>
      <c r="N26" s="454"/>
      <c r="O26" s="455"/>
      <c r="P26" s="146">
        <f>IF(P21&lt;0,ROUNDDOWN((-P21-0.3)/0.1,0),0)</f>
        <v>0</v>
      </c>
    </row>
    <row r="28" spans="2:28" ht="24" x14ac:dyDescent="0.2">
      <c r="B28" s="119" t="s">
        <v>233</v>
      </c>
    </row>
    <row r="29" spans="2:28" x14ac:dyDescent="0.2">
      <c r="B29" s="91"/>
      <c r="C29" s="91"/>
      <c r="D29" s="91"/>
      <c r="E29" s="91"/>
      <c r="F29" s="91"/>
      <c r="G29" s="91"/>
      <c r="H29" s="91"/>
      <c r="I29" s="91"/>
      <c r="J29" s="91"/>
      <c r="K29" s="91"/>
      <c r="L29" s="91"/>
      <c r="P29" s="91"/>
      <c r="Q29" s="91"/>
      <c r="R29" s="91"/>
      <c r="S29" s="91"/>
      <c r="T29" s="91"/>
      <c r="U29" s="91"/>
      <c r="V29" s="91"/>
      <c r="W29" s="91"/>
      <c r="X29" s="91"/>
      <c r="Y29" s="91"/>
    </row>
    <row r="30" spans="2:28" x14ac:dyDescent="0.2">
      <c r="B30" s="91"/>
      <c r="C30" s="91"/>
      <c r="D30" s="448" t="s">
        <v>234</v>
      </c>
      <c r="E30" s="448"/>
      <c r="F30" s="448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91"/>
      <c r="T30" s="91"/>
      <c r="U30" s="91"/>
      <c r="V30" s="91"/>
      <c r="W30" s="91"/>
      <c r="X30" s="91"/>
      <c r="Y30" s="91"/>
      <c r="Z30" s="91"/>
    </row>
    <row r="31" spans="2:28" x14ac:dyDescent="0.2">
      <c r="B31" s="91"/>
      <c r="C31" s="91"/>
      <c r="D31" s="91"/>
      <c r="E31" s="91"/>
      <c r="F31" s="91"/>
      <c r="G31" s="91"/>
      <c r="H31" s="91"/>
      <c r="I31" s="91"/>
      <c r="J31" s="91"/>
      <c r="K31" s="91"/>
      <c r="L31" s="147"/>
      <c r="M31" s="147"/>
      <c r="N31" s="147"/>
      <c r="O31" s="147"/>
      <c r="P31" s="147"/>
      <c r="Q31" s="150"/>
      <c r="R31" s="148"/>
      <c r="S31" s="91"/>
      <c r="T31" s="91"/>
      <c r="U31" s="91"/>
      <c r="V31" s="91"/>
      <c r="W31" s="91"/>
      <c r="X31" s="91"/>
      <c r="Y31" s="91"/>
      <c r="Z31" s="91"/>
      <c r="AA31" s="91"/>
      <c r="AB31" s="91"/>
    </row>
    <row r="32" spans="2:28" x14ac:dyDescent="0.2">
      <c r="B32" s="91"/>
      <c r="C32" s="91"/>
      <c r="D32" s="91"/>
      <c r="E32" s="91"/>
      <c r="F32" s="91"/>
      <c r="G32" s="91"/>
      <c r="H32" s="91"/>
      <c r="I32" s="91"/>
      <c r="J32" s="91"/>
      <c r="K32" s="91"/>
      <c r="L32" s="147"/>
      <c r="M32" s="147"/>
      <c r="N32" s="147"/>
      <c r="O32" s="147"/>
      <c r="P32" s="147"/>
      <c r="Q32" s="150"/>
      <c r="R32" s="148"/>
      <c r="S32" s="91"/>
      <c r="T32" s="91"/>
      <c r="U32" s="91"/>
      <c r="V32" s="91"/>
      <c r="W32" s="91"/>
      <c r="X32" s="91"/>
      <c r="Y32" s="91"/>
      <c r="Z32" s="91"/>
      <c r="AA32" s="91"/>
      <c r="AB32" s="91"/>
    </row>
    <row r="33" spans="2:28" x14ac:dyDescent="0.2">
      <c r="B33" s="91"/>
      <c r="C33" s="91"/>
      <c r="D33" s="91"/>
      <c r="E33" s="91"/>
      <c r="F33" s="91"/>
      <c r="G33" s="91"/>
      <c r="H33" s="91"/>
      <c r="I33" s="91"/>
      <c r="J33" s="91"/>
      <c r="K33" s="91"/>
      <c r="L33" s="147"/>
      <c r="M33" s="147"/>
      <c r="N33" s="147"/>
      <c r="O33" s="147"/>
      <c r="P33" s="147"/>
      <c r="Q33" s="150"/>
      <c r="R33" s="148"/>
      <c r="S33" s="149"/>
      <c r="T33" s="91"/>
      <c r="U33" s="91"/>
      <c r="V33" s="91"/>
      <c r="W33" s="91"/>
      <c r="X33" s="91"/>
      <c r="Y33" s="91"/>
      <c r="Z33" s="91"/>
      <c r="AA33" s="91"/>
      <c r="AB33" s="91"/>
    </row>
    <row r="34" spans="2:28" x14ac:dyDescent="0.2">
      <c r="B34" s="91"/>
      <c r="C34" s="91"/>
      <c r="D34" s="91"/>
      <c r="E34" s="91"/>
      <c r="F34" s="91"/>
      <c r="G34" s="91"/>
      <c r="H34" s="91"/>
      <c r="I34" s="91"/>
      <c r="J34" s="91"/>
      <c r="K34" s="91"/>
      <c r="L34" s="147"/>
      <c r="M34" s="147"/>
      <c r="N34" s="147"/>
      <c r="O34" s="147"/>
      <c r="P34" s="147"/>
      <c r="Q34" s="150"/>
      <c r="R34" s="148"/>
      <c r="S34" s="149"/>
      <c r="T34" s="91"/>
      <c r="U34" s="91"/>
      <c r="V34" s="91"/>
      <c r="W34" s="91"/>
      <c r="X34" s="91"/>
      <c r="Y34" s="91"/>
      <c r="Z34" s="91"/>
      <c r="AA34" s="91"/>
      <c r="AB34" s="91"/>
    </row>
    <row r="35" spans="2:28" x14ac:dyDescent="0.2">
      <c r="B35" s="91"/>
      <c r="C35" s="91"/>
      <c r="D35" s="91"/>
      <c r="E35" s="91"/>
      <c r="F35" s="91"/>
      <c r="G35" s="91"/>
      <c r="H35" s="91"/>
      <c r="I35" s="91"/>
      <c r="J35" s="91"/>
      <c r="K35" s="91"/>
      <c r="L35" s="147"/>
      <c r="M35" s="147"/>
      <c r="N35" s="147"/>
      <c r="O35" s="147"/>
      <c r="P35" s="147"/>
      <c r="Q35" s="150"/>
      <c r="R35" s="148"/>
      <c r="S35" s="149"/>
      <c r="T35" s="91"/>
      <c r="U35" s="91"/>
      <c r="V35" s="91"/>
      <c r="W35" s="91"/>
      <c r="X35" s="91"/>
      <c r="Y35" s="91"/>
      <c r="Z35" s="91"/>
      <c r="AA35" s="91"/>
      <c r="AB35" s="91"/>
    </row>
    <row r="36" spans="2:28" x14ac:dyDescent="0.2">
      <c r="B36" s="91"/>
      <c r="C36" s="91"/>
      <c r="D36" s="91"/>
      <c r="E36" s="91"/>
      <c r="F36" s="91"/>
      <c r="G36" s="91"/>
      <c r="H36" s="91"/>
      <c r="I36" s="91"/>
      <c r="J36" s="91"/>
      <c r="K36" s="91"/>
      <c r="L36" s="147"/>
      <c r="M36" s="147"/>
      <c r="N36" s="147"/>
      <c r="O36" s="147"/>
      <c r="P36" s="147"/>
      <c r="Q36" s="150"/>
      <c r="R36" s="148"/>
      <c r="S36" s="149"/>
      <c r="T36" s="91"/>
      <c r="U36" s="91"/>
      <c r="V36" s="91"/>
      <c r="W36" s="91"/>
      <c r="X36" s="91"/>
      <c r="Y36" s="91"/>
      <c r="Z36" s="91"/>
      <c r="AA36" s="91"/>
      <c r="AB36" s="91"/>
    </row>
    <row r="37" spans="2:28" x14ac:dyDescent="0.2">
      <c r="B37" s="91"/>
      <c r="C37" s="91"/>
      <c r="D37" s="91"/>
      <c r="E37" s="91"/>
      <c r="F37" s="91"/>
      <c r="G37" s="91"/>
      <c r="H37" s="91"/>
      <c r="I37" s="91"/>
      <c r="J37" s="91"/>
      <c r="K37" s="91"/>
      <c r="L37" s="147"/>
      <c r="M37" s="147"/>
      <c r="N37" s="147"/>
      <c r="O37" s="147"/>
      <c r="P37" s="147"/>
      <c r="Q37" s="150"/>
      <c r="R37" s="148"/>
      <c r="S37" s="149"/>
      <c r="T37" s="91"/>
      <c r="U37" s="91"/>
      <c r="V37" s="91"/>
      <c r="W37" s="91"/>
      <c r="X37" s="91"/>
      <c r="Y37" s="91"/>
      <c r="Z37" s="91"/>
      <c r="AA37" s="91"/>
      <c r="AB37" s="91"/>
    </row>
    <row r="38" spans="2:28" x14ac:dyDescent="0.2">
      <c r="B38" s="91"/>
      <c r="C38" s="91"/>
      <c r="D38" s="91"/>
      <c r="E38" s="91"/>
      <c r="F38" s="91"/>
      <c r="G38" s="91"/>
      <c r="H38" s="91"/>
      <c r="I38" s="91"/>
      <c r="J38" s="91"/>
      <c r="K38" s="91"/>
      <c r="L38" s="91"/>
      <c r="M38" s="91"/>
      <c r="N38" s="91"/>
      <c r="O38" s="91"/>
      <c r="P38" s="91"/>
      <c r="Q38" s="91"/>
      <c r="R38" s="91"/>
      <c r="S38" s="91"/>
      <c r="T38" s="91"/>
      <c r="U38" s="91"/>
      <c r="V38" s="91"/>
      <c r="W38" s="91"/>
      <c r="X38" s="91"/>
      <c r="Y38" s="91"/>
      <c r="Z38" s="91"/>
    </row>
    <row r="39" spans="2:28" x14ac:dyDescent="0.2">
      <c r="B39" s="91"/>
      <c r="C39" s="91"/>
      <c r="D39" s="91"/>
      <c r="E39" s="91"/>
      <c r="F39" s="91"/>
      <c r="G39" s="91"/>
      <c r="H39" s="91"/>
      <c r="I39" s="91"/>
      <c r="J39" s="91"/>
      <c r="K39" s="91"/>
      <c r="L39" s="91"/>
      <c r="M39" s="147"/>
      <c r="N39" s="147"/>
      <c r="O39" s="147"/>
      <c r="P39" s="147"/>
      <c r="Q39" s="91"/>
      <c r="R39" s="91"/>
      <c r="S39" s="91"/>
      <c r="U39" s="91"/>
      <c r="V39" s="91"/>
      <c r="W39" s="91"/>
      <c r="X39" s="91"/>
      <c r="Y39" s="91"/>
      <c r="Z39" s="91"/>
    </row>
    <row r="40" spans="2:28" x14ac:dyDescent="0.2">
      <c r="B40" s="91"/>
      <c r="C40" s="91"/>
      <c r="D40" s="91"/>
      <c r="E40" s="91"/>
      <c r="F40" s="91"/>
      <c r="G40" s="91"/>
      <c r="H40" s="91"/>
      <c r="I40" s="91"/>
      <c r="J40" s="91"/>
      <c r="K40" s="91"/>
      <c r="L40" s="147"/>
      <c r="M40" s="147"/>
      <c r="N40" s="147"/>
      <c r="O40" s="150"/>
      <c r="P40" s="150"/>
      <c r="Q40" s="150"/>
      <c r="R40" s="150"/>
      <c r="S40" s="150"/>
      <c r="T40" s="91"/>
      <c r="U40" s="91"/>
      <c r="V40" s="91"/>
      <c r="W40" s="91"/>
      <c r="X40" s="91"/>
      <c r="Y40" s="91"/>
      <c r="Z40" s="91"/>
    </row>
    <row r="41" spans="2:28" x14ac:dyDescent="0.2">
      <c r="B41" s="91"/>
      <c r="C41" s="91"/>
      <c r="D41" s="91"/>
      <c r="E41" s="91"/>
      <c r="F41" s="91"/>
      <c r="G41" s="91"/>
      <c r="H41" s="91"/>
      <c r="I41" s="91"/>
      <c r="J41" s="91"/>
      <c r="K41" s="91"/>
      <c r="L41" s="147"/>
      <c r="M41" s="147"/>
      <c r="N41" s="147"/>
      <c r="O41" s="150"/>
      <c r="P41" s="150"/>
      <c r="Q41" s="150"/>
      <c r="R41" s="150"/>
      <c r="S41" s="150"/>
      <c r="T41" s="91"/>
      <c r="U41" s="91"/>
      <c r="V41" s="91"/>
      <c r="W41" s="91"/>
      <c r="X41" s="91"/>
      <c r="Y41" s="91"/>
      <c r="Z41" s="91"/>
    </row>
    <row r="42" spans="2:28" x14ac:dyDescent="0.2">
      <c r="B42" s="91"/>
      <c r="C42" s="91"/>
      <c r="D42" s="91"/>
      <c r="E42" s="91"/>
      <c r="F42" s="91"/>
      <c r="G42" s="91"/>
      <c r="H42" s="91"/>
      <c r="I42" s="91"/>
      <c r="J42" s="91"/>
      <c r="K42" s="91"/>
      <c r="L42" s="147"/>
      <c r="M42" s="147"/>
      <c r="N42" s="147"/>
      <c r="O42" s="150"/>
      <c r="P42" s="150"/>
      <c r="Q42" s="150"/>
      <c r="R42" s="150"/>
      <c r="S42" s="150"/>
      <c r="T42" s="91"/>
      <c r="U42" s="91"/>
      <c r="V42" s="91"/>
      <c r="W42" s="91"/>
      <c r="X42" s="91"/>
      <c r="Y42" s="91"/>
    </row>
    <row r="43" spans="2:28" x14ac:dyDescent="0.2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147"/>
      <c r="M43" s="147"/>
      <c r="N43" s="147"/>
      <c r="O43" s="150"/>
      <c r="P43" s="150"/>
      <c r="Q43" s="150"/>
      <c r="R43" s="150"/>
      <c r="S43" s="150"/>
      <c r="T43" s="91"/>
      <c r="U43" s="91"/>
      <c r="V43" s="91"/>
      <c r="W43" s="91"/>
      <c r="X43" s="91"/>
      <c r="Y43" s="91"/>
    </row>
    <row r="44" spans="2:28" x14ac:dyDescent="0.2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147"/>
      <c r="M44" s="147"/>
      <c r="N44" s="147"/>
      <c r="O44" s="150"/>
      <c r="P44" s="150"/>
      <c r="Q44" s="150"/>
      <c r="R44" s="150"/>
      <c r="S44" s="150"/>
      <c r="T44" s="91"/>
      <c r="U44" s="91"/>
      <c r="V44" s="91"/>
      <c r="W44" s="91"/>
      <c r="X44" s="91"/>
      <c r="Y44" s="91"/>
    </row>
    <row r="45" spans="2:28" x14ac:dyDescent="0.2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147"/>
      <c r="M45" s="147"/>
      <c r="N45" s="147"/>
      <c r="O45" s="150"/>
      <c r="P45" s="150"/>
      <c r="Q45" s="150"/>
      <c r="R45" s="150"/>
      <c r="S45" s="150"/>
      <c r="T45" s="91"/>
      <c r="U45" s="91"/>
      <c r="V45" s="91"/>
      <c r="W45" s="91"/>
      <c r="X45" s="91"/>
      <c r="Y45" s="91"/>
    </row>
    <row r="46" spans="2:28" x14ac:dyDescent="0.2">
      <c r="B46" s="91"/>
      <c r="C46" s="91"/>
      <c r="D46" s="91"/>
      <c r="E46" s="91"/>
      <c r="F46" s="91"/>
      <c r="G46" s="91"/>
      <c r="H46" s="91"/>
      <c r="I46" s="91"/>
      <c r="J46" s="91"/>
      <c r="K46" s="91"/>
      <c r="L46" s="147"/>
      <c r="M46" s="147"/>
      <c r="N46" s="147"/>
      <c r="O46" s="150"/>
      <c r="P46" s="150"/>
      <c r="Q46" s="150"/>
      <c r="R46" s="150"/>
      <c r="S46" s="150"/>
      <c r="T46" s="91"/>
      <c r="U46" s="91"/>
      <c r="V46" s="91"/>
      <c r="W46" s="91"/>
      <c r="X46" s="91"/>
      <c r="Y46" s="91"/>
    </row>
    <row r="47" spans="2:28" x14ac:dyDescent="0.2">
      <c r="B47" s="91"/>
      <c r="C47" s="91"/>
      <c r="D47" s="91"/>
      <c r="E47" s="91"/>
      <c r="F47" s="91"/>
      <c r="G47" s="91"/>
      <c r="H47" s="91"/>
      <c r="I47" s="91"/>
      <c r="J47" s="91"/>
      <c r="K47" s="91"/>
      <c r="L47" s="91"/>
      <c r="M47" s="91"/>
      <c r="N47" s="91"/>
      <c r="O47" s="150"/>
      <c r="P47" s="150"/>
      <c r="Q47" s="150"/>
      <c r="R47" s="150"/>
      <c r="S47" s="150"/>
      <c r="T47" s="91"/>
      <c r="U47" s="91"/>
      <c r="V47" s="91"/>
      <c r="W47" s="91"/>
      <c r="X47" s="91"/>
      <c r="Y47" s="91"/>
    </row>
    <row r="48" spans="2:28" x14ac:dyDescent="0.2">
      <c r="B48" s="91"/>
      <c r="C48" s="91"/>
      <c r="D48" s="91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150"/>
      <c r="P48" s="150"/>
      <c r="Q48" s="150"/>
      <c r="R48" s="150"/>
      <c r="S48" s="150"/>
      <c r="T48" s="91"/>
      <c r="U48" s="91"/>
      <c r="V48" s="91"/>
      <c r="W48" s="91"/>
      <c r="X48" s="91"/>
      <c r="Y48" s="91"/>
    </row>
    <row r="49" spans="2:25" x14ac:dyDescent="0.2">
      <c r="B49" s="91"/>
      <c r="C49" s="91"/>
      <c r="D49" s="91"/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150"/>
      <c r="P49" s="150"/>
      <c r="Q49" s="150"/>
      <c r="R49" s="150"/>
      <c r="S49" s="150"/>
      <c r="T49" s="91"/>
      <c r="U49" s="91"/>
      <c r="V49" s="91"/>
      <c r="W49" s="91"/>
      <c r="X49" s="91"/>
      <c r="Y49" s="91"/>
    </row>
    <row r="50" spans="2:25" x14ac:dyDescent="0.2">
      <c r="B50" s="91"/>
      <c r="C50" s="91"/>
      <c r="D50" s="91"/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150"/>
      <c r="P50" s="150"/>
      <c r="Q50" s="150"/>
      <c r="R50" s="150"/>
      <c r="S50" s="150"/>
      <c r="T50" s="91"/>
      <c r="U50" s="91"/>
      <c r="V50" s="91"/>
      <c r="W50" s="91"/>
      <c r="X50" s="91"/>
      <c r="Y50" s="91"/>
    </row>
    <row r="51" spans="2:25" x14ac:dyDescent="0.2"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150"/>
      <c r="P51" s="150"/>
      <c r="Q51" s="150"/>
      <c r="R51" s="150"/>
      <c r="S51" s="150"/>
      <c r="T51" s="91"/>
      <c r="U51" s="91"/>
      <c r="V51" s="91"/>
      <c r="W51" s="91"/>
      <c r="X51" s="91"/>
      <c r="Y51" s="91"/>
    </row>
    <row r="52" spans="2:25" x14ac:dyDescent="0.2">
      <c r="B52" s="91"/>
      <c r="C52" s="91"/>
      <c r="D52" s="91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150"/>
      <c r="P52" s="150"/>
      <c r="Q52" s="150"/>
      <c r="R52" s="150"/>
      <c r="S52" s="150"/>
      <c r="T52" s="91"/>
      <c r="U52" s="91"/>
      <c r="V52" s="91"/>
      <c r="W52" s="91"/>
      <c r="X52" s="91"/>
      <c r="Y52" s="91"/>
    </row>
    <row r="53" spans="2:25" x14ac:dyDescent="0.2">
      <c r="B53" s="91"/>
      <c r="C53" s="91"/>
      <c r="D53" s="91"/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150"/>
      <c r="P53" s="150"/>
      <c r="Q53" s="150"/>
      <c r="R53" s="150"/>
      <c r="S53" s="150"/>
      <c r="T53" s="91"/>
      <c r="U53" s="91"/>
      <c r="V53" s="91"/>
      <c r="W53" s="91"/>
      <c r="X53" s="91"/>
      <c r="Y53" s="91"/>
    </row>
    <row r="54" spans="2:25" x14ac:dyDescent="0.2">
      <c r="B54" s="91"/>
      <c r="C54" s="91"/>
      <c r="D54" s="91"/>
      <c r="E54" s="91"/>
      <c r="F54" s="91"/>
      <c r="G54" s="91"/>
      <c r="H54" s="91"/>
      <c r="I54" s="91"/>
      <c r="J54" s="91"/>
      <c r="K54" s="91"/>
      <c r="L54" s="91"/>
      <c r="M54" s="91"/>
      <c r="N54" s="91"/>
      <c r="O54" s="91"/>
      <c r="P54" s="91"/>
      <c r="Q54" s="91"/>
      <c r="R54" s="91"/>
      <c r="S54" s="91"/>
      <c r="T54" s="91"/>
      <c r="U54" s="91"/>
      <c r="V54" s="91"/>
      <c r="W54" s="91"/>
      <c r="X54" s="91"/>
      <c r="Y54" s="91"/>
    </row>
    <row r="55" spans="2:25" x14ac:dyDescent="0.2">
      <c r="B55" s="91"/>
      <c r="C55" s="91"/>
      <c r="D55" s="91"/>
      <c r="E55" s="91"/>
      <c r="F55" s="91"/>
      <c r="G55" s="91"/>
      <c r="H55" s="91"/>
      <c r="I55" s="91"/>
      <c r="J55" s="91"/>
      <c r="K55" s="91"/>
      <c r="L55" s="91"/>
      <c r="M55" s="91"/>
      <c r="N55" s="91"/>
      <c r="O55" s="91"/>
      <c r="P55" s="91"/>
      <c r="Q55" s="91"/>
      <c r="R55" s="91"/>
      <c r="S55" s="91"/>
      <c r="T55" s="91"/>
      <c r="U55" s="91"/>
      <c r="V55" s="91"/>
      <c r="W55" s="91"/>
      <c r="X55" s="91"/>
      <c r="Y55" s="91"/>
    </row>
    <row r="56" spans="2:25" x14ac:dyDescent="0.2">
      <c r="B56" s="91"/>
      <c r="C56" s="91"/>
      <c r="D56" s="91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</row>
    <row r="57" spans="2:25" x14ac:dyDescent="0.2">
      <c r="B57" s="91"/>
      <c r="C57" s="91"/>
      <c r="D57" s="91"/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  <c r="T57" s="91"/>
      <c r="U57" s="91"/>
      <c r="V57" s="91"/>
      <c r="W57" s="91"/>
      <c r="X57" s="91"/>
      <c r="Y57" s="91"/>
    </row>
    <row r="58" spans="2:25" x14ac:dyDescent="0.2">
      <c r="B58" s="91"/>
      <c r="C58" s="91"/>
      <c r="D58" s="91"/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</row>
    <row r="59" spans="2:25" x14ac:dyDescent="0.2">
      <c r="B59" s="91"/>
      <c r="C59" s="91"/>
      <c r="D59" s="91"/>
      <c r="E59" s="91"/>
      <c r="F59" s="91"/>
      <c r="G59" s="91"/>
      <c r="H59" s="91"/>
      <c r="I59" s="91"/>
      <c r="J59" s="91"/>
      <c r="K59" s="91"/>
      <c r="L59" s="91"/>
      <c r="M59" s="91"/>
      <c r="N59" s="91"/>
      <c r="O59" s="91"/>
      <c r="P59" s="91"/>
      <c r="Q59" s="91"/>
      <c r="R59" s="91"/>
      <c r="S59" s="91"/>
      <c r="T59" s="91"/>
      <c r="U59" s="91"/>
      <c r="V59" s="91"/>
      <c r="W59" s="91"/>
      <c r="X59" s="91"/>
      <c r="Y59" s="91"/>
    </row>
    <row r="60" spans="2:25" x14ac:dyDescent="0.2">
      <c r="B60" s="91"/>
      <c r="C60" s="91"/>
      <c r="D60" s="91"/>
      <c r="E60" s="91"/>
      <c r="F60" s="91"/>
      <c r="G60" s="91"/>
      <c r="H60" s="91"/>
      <c r="I60" s="91"/>
      <c r="J60" s="91"/>
      <c r="K60" s="91"/>
      <c r="L60" s="91"/>
      <c r="M60" s="91"/>
      <c r="N60" s="91"/>
      <c r="O60" s="91"/>
      <c r="P60" s="91"/>
      <c r="Q60" s="91"/>
      <c r="R60" s="91"/>
      <c r="S60" s="91"/>
      <c r="T60" s="91"/>
      <c r="U60" s="91"/>
      <c r="V60" s="91"/>
      <c r="W60" s="91"/>
      <c r="X60" s="91"/>
      <c r="Y60" s="91"/>
    </row>
    <row r="61" spans="2:25" x14ac:dyDescent="0.2">
      <c r="B61" s="91"/>
      <c r="C61" s="91"/>
      <c r="D61" s="91"/>
      <c r="E61" s="91"/>
      <c r="F61" s="91"/>
      <c r="G61" s="91"/>
      <c r="H61" s="91"/>
      <c r="I61" s="91"/>
      <c r="J61" s="91"/>
      <c r="K61" s="91"/>
      <c r="L61" s="91"/>
      <c r="M61" s="91"/>
      <c r="N61" s="91"/>
      <c r="O61" s="91"/>
      <c r="P61" s="91"/>
      <c r="Q61" s="91"/>
      <c r="R61" s="91"/>
      <c r="S61" s="91"/>
      <c r="T61" s="91"/>
      <c r="U61" s="91"/>
      <c r="V61" s="91"/>
      <c r="W61" s="91"/>
      <c r="X61" s="91"/>
      <c r="Y61" s="91"/>
    </row>
    <row r="62" spans="2:25" x14ac:dyDescent="0.2">
      <c r="B62" s="91"/>
      <c r="C62" s="91"/>
      <c r="D62" s="91"/>
      <c r="E62" s="91"/>
      <c r="F62" s="91"/>
      <c r="G62" s="91"/>
      <c r="H62" s="91"/>
      <c r="I62" s="91"/>
      <c r="J62" s="91"/>
      <c r="K62" s="91"/>
      <c r="L62" s="91"/>
      <c r="M62" s="91"/>
      <c r="N62" s="91"/>
      <c r="O62" s="91"/>
      <c r="P62" s="91"/>
      <c r="Q62" s="91"/>
      <c r="R62" s="91"/>
      <c r="S62" s="91"/>
      <c r="T62" s="91"/>
      <c r="U62" s="91"/>
      <c r="V62" s="91"/>
      <c r="W62" s="91"/>
      <c r="X62" s="91"/>
      <c r="Y62" s="91"/>
    </row>
    <row r="63" spans="2:25" x14ac:dyDescent="0.2">
      <c r="B63" s="91"/>
      <c r="C63" s="91"/>
      <c r="D63" s="91"/>
      <c r="E63" s="91"/>
      <c r="F63" s="91"/>
      <c r="G63" s="91"/>
      <c r="H63" s="91"/>
      <c r="I63" s="91"/>
      <c r="J63" s="91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  <c r="X63" s="91"/>
      <c r="Y63" s="91"/>
    </row>
    <row r="64" spans="2:25" x14ac:dyDescent="0.2">
      <c r="B64" s="91"/>
      <c r="C64" s="91"/>
      <c r="D64" s="91"/>
      <c r="E64" s="91"/>
      <c r="F64" s="91"/>
      <c r="G64" s="91"/>
      <c r="H64" s="91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1"/>
      <c r="X64" s="91"/>
      <c r="Y64" s="91"/>
    </row>
    <row r="65" spans="2:25" x14ac:dyDescent="0.2">
      <c r="B65" s="91"/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91"/>
      <c r="X65" s="91"/>
      <c r="Y65" s="91"/>
    </row>
  </sheetData>
  <mergeCells count="7">
    <mergeCell ref="B1:K2"/>
    <mergeCell ref="M12:O12"/>
    <mergeCell ref="M15:O15"/>
    <mergeCell ref="D30:F30"/>
    <mergeCell ref="B6:E6"/>
    <mergeCell ref="L21:O21"/>
    <mergeCell ref="L26:O26"/>
  </mergeCells>
  <conditionalFormatting sqref="P26">
    <cfRule type="expression" dxfId="0" priority="1">
      <formula>"&gt;=1"</formula>
    </cfRule>
  </conditionalFormatting>
  <hyperlinks>
    <hyperlink ref="B6" r:id="rId1" xr:uid="{00000000-0004-0000-0500-000000000000}"/>
  </hyperlinks>
  <pageMargins left="0.7" right="0.7" top="0.75" bottom="0.75" header="0.3" footer="0.3"/>
  <pageSetup paperSize="9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Q75"/>
  <sheetViews>
    <sheetView zoomScale="90" zoomScaleNormal="90" workbookViewId="0">
      <selection activeCell="Y21" sqref="Y21:Z21"/>
    </sheetView>
  </sheetViews>
  <sheetFormatPr baseColWidth="10" defaultColWidth="11.5" defaultRowHeight="15" x14ac:dyDescent="0.2"/>
  <cols>
    <col min="2" max="17" width="16.6640625" customWidth="1"/>
    <col min="18" max="18" width="28.83203125" bestFit="1" customWidth="1"/>
    <col min="19" max="40" width="16.6640625" customWidth="1"/>
    <col min="41" max="42" width="28.5" customWidth="1"/>
    <col min="43" max="44" width="16.6640625" customWidth="1"/>
  </cols>
  <sheetData>
    <row r="1" spans="1:25" ht="15" customHeight="1" x14ac:dyDescent="0.4">
      <c r="B1" s="404" t="s">
        <v>187</v>
      </c>
      <c r="C1" s="404"/>
      <c r="D1" s="404"/>
      <c r="E1" s="404"/>
      <c r="F1" s="404"/>
      <c r="G1" s="404"/>
      <c r="H1" s="404"/>
      <c r="I1" s="404"/>
      <c r="J1" s="404"/>
      <c r="K1" s="404"/>
      <c r="L1" s="11"/>
    </row>
    <row r="2" spans="1:25" ht="15" customHeight="1" x14ac:dyDescent="0.4"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11"/>
    </row>
    <row r="3" spans="1:25" x14ac:dyDescent="0.2">
      <c r="A3" s="56"/>
      <c r="B3" s="56"/>
      <c r="C3" s="56"/>
      <c r="D3" s="56"/>
      <c r="E3" s="56"/>
      <c r="F3" s="56"/>
      <c r="G3" s="56"/>
      <c r="I3" s="56"/>
      <c r="R3" s="4"/>
      <c r="Y3" s="56"/>
    </row>
    <row r="4" spans="1:25" x14ac:dyDescent="0.2">
      <c r="B4" s="4"/>
      <c r="F4" s="16"/>
    </row>
    <row r="5" spans="1:25" ht="24" customHeight="1" x14ac:dyDescent="0.2">
      <c r="B5" s="459" t="s">
        <v>245</v>
      </c>
      <c r="C5" s="460"/>
      <c r="D5" s="460"/>
      <c r="E5" s="460"/>
      <c r="F5" s="460"/>
      <c r="G5" s="460"/>
      <c r="H5" s="460"/>
      <c r="I5" s="460"/>
      <c r="J5" s="460"/>
      <c r="K5" s="460"/>
      <c r="L5" s="460"/>
      <c r="M5" s="460"/>
      <c r="N5" s="460"/>
      <c r="O5" s="460"/>
      <c r="P5" s="460"/>
      <c r="Q5" s="460"/>
      <c r="R5" s="460"/>
      <c r="S5" s="460"/>
      <c r="T5" s="460"/>
      <c r="U5" s="460"/>
      <c r="V5" s="460"/>
      <c r="W5" s="460"/>
      <c r="X5" s="460"/>
    </row>
    <row r="7" spans="1:25" x14ac:dyDescent="0.2">
      <c r="B7" s="84" t="s">
        <v>252</v>
      </c>
      <c r="C7" s="85"/>
      <c r="D7" s="85"/>
      <c r="E7" s="85"/>
      <c r="F7" s="85"/>
      <c r="G7" s="85"/>
      <c r="H7" s="85"/>
      <c r="M7" s="177" t="s">
        <v>251</v>
      </c>
      <c r="N7" s="178"/>
      <c r="O7" s="178"/>
      <c r="P7" s="178"/>
      <c r="Q7" s="178"/>
      <c r="R7" s="178"/>
      <c r="S7" s="178"/>
    </row>
    <row r="8" spans="1:25" ht="25.5" customHeight="1" x14ac:dyDescent="0.2">
      <c r="C8" s="12" t="s">
        <v>189</v>
      </c>
      <c r="D8" s="2" t="s">
        <v>74</v>
      </c>
      <c r="E8" s="2" t="s">
        <v>75</v>
      </c>
      <c r="F8" s="2" t="s">
        <v>76</v>
      </c>
      <c r="G8" s="2" t="s">
        <v>77</v>
      </c>
      <c r="H8" s="2" t="s">
        <v>78</v>
      </c>
      <c r="N8" s="12" t="s">
        <v>189</v>
      </c>
      <c r="O8" s="2" t="s">
        <v>182</v>
      </c>
      <c r="P8" s="2" t="s">
        <v>183</v>
      </c>
      <c r="Q8" s="2" t="s">
        <v>184</v>
      </c>
      <c r="R8" s="2" t="s">
        <v>185</v>
      </c>
      <c r="S8" s="2" t="s">
        <v>186</v>
      </c>
    </row>
    <row r="9" spans="1:25" ht="69" customHeight="1" x14ac:dyDescent="0.2">
      <c r="C9" s="55" t="s">
        <v>190</v>
      </c>
      <c r="D9" s="94">
        <v>244.65</v>
      </c>
      <c r="E9" s="94">
        <v>201.29</v>
      </c>
      <c r="F9" s="94">
        <v>170.98</v>
      </c>
      <c r="G9" s="94">
        <v>169.07000000000002</v>
      </c>
      <c r="H9" s="94">
        <v>170.92999999999998</v>
      </c>
      <c r="N9" s="12" t="s">
        <v>190</v>
      </c>
      <c r="O9" s="94">
        <v>170.93</v>
      </c>
      <c r="P9" s="94">
        <v>170.93</v>
      </c>
      <c r="Q9" s="94">
        <v>170.93</v>
      </c>
      <c r="R9" s="94">
        <v>170.93</v>
      </c>
      <c r="S9" s="94">
        <v>170.92999999999998</v>
      </c>
    </row>
    <row r="10" spans="1:25" ht="69" customHeight="1" x14ac:dyDescent="0.2">
      <c r="C10" s="55" t="s">
        <v>191</v>
      </c>
      <c r="D10" s="94">
        <v>0</v>
      </c>
      <c r="E10" s="94">
        <v>0</v>
      </c>
      <c r="F10" s="94">
        <v>0</v>
      </c>
      <c r="G10" s="94">
        <v>0</v>
      </c>
      <c r="H10" s="94">
        <v>0</v>
      </c>
      <c r="N10" s="12" t="s">
        <v>191</v>
      </c>
      <c r="O10" s="94">
        <v>0</v>
      </c>
      <c r="P10" s="94">
        <v>0</v>
      </c>
      <c r="Q10" s="94">
        <v>0</v>
      </c>
      <c r="R10" s="94">
        <v>0</v>
      </c>
      <c r="S10" s="94">
        <v>0</v>
      </c>
    </row>
    <row r="11" spans="1:25" ht="29.25" customHeight="1" x14ac:dyDescent="0.2"/>
    <row r="12" spans="1:25" ht="29.25" customHeight="1" x14ac:dyDescent="0.2"/>
    <row r="13" spans="1:25" ht="28.5" customHeight="1" x14ac:dyDescent="0.2">
      <c r="B13" s="459" t="s">
        <v>247</v>
      </c>
      <c r="C13" s="460"/>
      <c r="D13" s="460"/>
      <c r="E13" s="460"/>
      <c r="F13" s="460"/>
      <c r="G13" s="460"/>
      <c r="H13" s="460"/>
      <c r="I13" s="460"/>
      <c r="J13" s="460"/>
      <c r="K13" s="460"/>
      <c r="L13" s="460"/>
      <c r="M13" s="460"/>
      <c r="N13" s="460"/>
      <c r="O13" s="460"/>
      <c r="P13" s="460"/>
      <c r="Q13" s="460"/>
      <c r="R13" s="460"/>
      <c r="S13" s="460"/>
      <c r="T13" s="460"/>
      <c r="U13" s="460"/>
      <c r="V13" s="460"/>
      <c r="W13" s="460"/>
      <c r="X13" s="460"/>
    </row>
    <row r="14" spans="1:25" ht="23.25" customHeight="1" x14ac:dyDescent="0.2"/>
    <row r="15" spans="1:25" ht="25.5" customHeight="1" x14ac:dyDescent="0.2">
      <c r="C15" s="12" t="s">
        <v>189</v>
      </c>
      <c r="D15" s="2" t="s">
        <v>74</v>
      </c>
      <c r="E15" s="2" t="s">
        <v>75</v>
      </c>
      <c r="F15" s="2" t="s">
        <v>76</v>
      </c>
      <c r="G15" s="2" t="s">
        <v>77</v>
      </c>
      <c r="H15" s="2" t="s">
        <v>78</v>
      </c>
      <c r="N15" s="12" t="s">
        <v>189</v>
      </c>
      <c r="O15" s="2" t="s">
        <v>182</v>
      </c>
      <c r="P15" s="2" t="s">
        <v>183</v>
      </c>
      <c r="Q15" s="2" t="s">
        <v>184</v>
      </c>
      <c r="R15" s="2" t="s">
        <v>185</v>
      </c>
      <c r="S15" s="2" t="s">
        <v>186</v>
      </c>
    </row>
    <row r="16" spans="1:25" ht="69" customHeight="1" x14ac:dyDescent="0.2">
      <c r="C16" s="55" t="s">
        <v>192</v>
      </c>
      <c r="D16" s="94">
        <v>192</v>
      </c>
      <c r="E16" s="94">
        <v>192</v>
      </c>
      <c r="F16" s="94">
        <v>192</v>
      </c>
      <c r="G16" s="94">
        <v>192</v>
      </c>
      <c r="H16" s="94">
        <v>192</v>
      </c>
      <c r="N16" s="12" t="s">
        <v>192</v>
      </c>
      <c r="O16" s="94">
        <v>192</v>
      </c>
      <c r="P16" s="94">
        <v>192</v>
      </c>
      <c r="Q16" s="94">
        <v>192</v>
      </c>
      <c r="R16" s="94">
        <v>192</v>
      </c>
      <c r="S16" s="94">
        <v>192</v>
      </c>
    </row>
    <row r="17" spans="2:42" ht="69" customHeight="1" thickBot="1" x14ac:dyDescent="0.25">
      <c r="C17" s="55" t="s">
        <v>193</v>
      </c>
      <c r="D17" s="94">
        <v>1150000</v>
      </c>
      <c r="E17" s="94">
        <v>1150000</v>
      </c>
      <c r="F17" s="94">
        <v>1150000</v>
      </c>
      <c r="G17" s="94">
        <v>1150000</v>
      </c>
      <c r="H17" s="94">
        <v>1150000</v>
      </c>
      <c r="N17" s="55" t="s">
        <v>193</v>
      </c>
      <c r="O17" s="94">
        <v>1150000</v>
      </c>
      <c r="P17" s="94">
        <v>1150000</v>
      </c>
      <c r="Q17" s="94">
        <v>1150000</v>
      </c>
      <c r="R17" s="94">
        <v>1150000</v>
      </c>
      <c r="S17" s="94">
        <v>1150000</v>
      </c>
    </row>
    <row r="18" spans="2:42" ht="69" customHeight="1" thickBot="1" x14ac:dyDescent="0.25">
      <c r="C18" s="55" t="s">
        <v>194</v>
      </c>
      <c r="D18" s="194"/>
      <c r="E18" s="194"/>
      <c r="F18" s="194"/>
      <c r="G18" s="194"/>
      <c r="H18" s="194"/>
      <c r="I18" s="193" t="s">
        <v>235</v>
      </c>
      <c r="N18" s="55" t="s">
        <v>194</v>
      </c>
      <c r="O18" s="94"/>
      <c r="P18" s="94"/>
      <c r="Q18" s="94"/>
      <c r="R18" s="94"/>
      <c r="S18" s="94"/>
      <c r="T18" s="193" t="s">
        <v>199</v>
      </c>
      <c r="U18" s="193" t="s">
        <v>200</v>
      </c>
      <c r="V18" s="193" t="s">
        <v>200</v>
      </c>
      <c r="W18" s="184" t="s">
        <v>237</v>
      </c>
    </row>
    <row r="19" spans="2:42" ht="69" customHeight="1" thickTop="1" thickBot="1" x14ac:dyDescent="0.25">
      <c r="C19" s="12" t="s">
        <v>195</v>
      </c>
      <c r="D19" s="221"/>
      <c r="E19" s="221"/>
      <c r="F19" s="221"/>
      <c r="G19" s="221"/>
      <c r="H19" s="221"/>
      <c r="I19" s="192"/>
      <c r="M19" s="152"/>
      <c r="N19" s="12" t="s">
        <v>195</v>
      </c>
      <c r="O19" s="221"/>
      <c r="P19" s="221"/>
      <c r="Q19" s="221"/>
      <c r="R19" s="221"/>
      <c r="S19" s="221"/>
      <c r="T19" s="189"/>
      <c r="U19" s="190"/>
      <c r="V19" s="191"/>
      <c r="W19" s="191"/>
      <c r="Y19" s="474" t="s">
        <v>239</v>
      </c>
      <c r="Z19" s="475"/>
      <c r="AO19" s="458" t="s">
        <v>243</v>
      </c>
      <c r="AP19" s="458"/>
    </row>
    <row r="20" spans="2:42" ht="69" customHeight="1" thickTop="1" thickBot="1" x14ac:dyDescent="0.25">
      <c r="C20" s="12" t="s">
        <v>236</v>
      </c>
      <c r="D20" s="221"/>
      <c r="E20" s="221"/>
      <c r="F20" s="221"/>
      <c r="G20" s="221"/>
      <c r="H20" s="221"/>
      <c r="I20" s="192"/>
      <c r="M20" s="152"/>
      <c r="N20" s="12" t="s">
        <v>236</v>
      </c>
      <c r="O20" s="221"/>
      <c r="P20" s="221"/>
      <c r="Q20" s="221"/>
      <c r="R20" s="221"/>
      <c r="S20" s="221"/>
      <c r="T20" s="192"/>
      <c r="U20" s="190"/>
      <c r="V20" s="191"/>
      <c r="W20" s="191"/>
      <c r="Y20" s="159" t="s">
        <v>238</v>
      </c>
      <c r="Z20" s="159" t="s">
        <v>196</v>
      </c>
      <c r="AO20" s="172" t="s">
        <v>238</v>
      </c>
      <c r="AP20" s="172" t="s">
        <v>196</v>
      </c>
    </row>
    <row r="21" spans="2:42" ht="69" customHeight="1" thickTop="1" thickBot="1" x14ac:dyDescent="0.25">
      <c r="B21" s="4"/>
      <c r="C21" s="12" t="s">
        <v>241</v>
      </c>
      <c r="D21" s="221"/>
      <c r="E21" s="221"/>
      <c r="F21" s="221"/>
      <c r="G21" s="221"/>
      <c r="H21" s="221"/>
      <c r="I21" s="192"/>
      <c r="M21" s="152"/>
      <c r="N21" s="12" t="s">
        <v>241</v>
      </c>
      <c r="O21" s="221"/>
      <c r="P21" s="221"/>
      <c r="Q21" s="221"/>
      <c r="R21" s="221"/>
      <c r="S21" s="221"/>
      <c r="T21" s="189"/>
      <c r="U21" s="190"/>
      <c r="V21" s="191"/>
      <c r="W21" s="191"/>
      <c r="Y21" s="180"/>
      <c r="Z21" s="179"/>
      <c r="AO21" s="173" t="str">
        <f>IF(AP21&lt;0,"Rabais",IF(AP21&gt;0,"Bonus","Ni rabais ni bonus"))</f>
        <v>Ni rabais ni bonus</v>
      </c>
      <c r="AP21" s="174">
        <f>IF(AND(ISNUMBER(AP47), ISNUMBER(Z21)),AVERAGE(Z21,AP47),SUM(Z21,AP47))</f>
        <v>0</v>
      </c>
    </row>
    <row r="22" spans="2:42" x14ac:dyDescent="0.2">
      <c r="B22" s="4"/>
      <c r="F22" s="16"/>
    </row>
    <row r="23" spans="2:42" x14ac:dyDescent="0.2">
      <c r="B23" s="4"/>
      <c r="F23" s="16"/>
      <c r="AL23" s="154"/>
    </row>
    <row r="24" spans="2:42" x14ac:dyDescent="0.2">
      <c r="B24" s="4"/>
      <c r="F24" s="16"/>
      <c r="U24" s="56"/>
      <c r="AL24" s="154"/>
    </row>
    <row r="25" spans="2:42" x14ac:dyDescent="0.2">
      <c r="B25" s="4"/>
      <c r="F25" s="16"/>
      <c r="AL25" s="154"/>
    </row>
    <row r="27" spans="2:42" ht="31.5" customHeight="1" thickBot="1" x14ac:dyDescent="0.25">
      <c r="B27" s="459" t="s">
        <v>246</v>
      </c>
      <c r="C27" s="460"/>
      <c r="D27" s="460"/>
      <c r="E27" s="460"/>
      <c r="F27" s="460"/>
      <c r="G27" s="460"/>
      <c r="H27" s="460"/>
      <c r="I27" s="460"/>
      <c r="J27" s="460"/>
      <c r="K27" s="460"/>
      <c r="L27" s="460"/>
      <c r="M27" s="460"/>
      <c r="N27" s="460"/>
      <c r="O27" s="460"/>
      <c r="P27" s="460"/>
      <c r="Q27" s="460"/>
      <c r="R27" s="460"/>
      <c r="S27" s="460"/>
      <c r="T27" s="460"/>
      <c r="U27" s="460"/>
      <c r="V27" s="460"/>
      <c r="W27" s="460"/>
      <c r="X27" s="460"/>
    </row>
    <row r="28" spans="2:42" x14ac:dyDescent="0.2">
      <c r="B28" s="247" t="s">
        <v>197</v>
      </c>
      <c r="C28" s="48" t="s">
        <v>74</v>
      </c>
      <c r="D28" s="49" t="s">
        <v>74</v>
      </c>
      <c r="E28" s="50" t="s">
        <v>74</v>
      </c>
      <c r="F28" s="48" t="s">
        <v>75</v>
      </c>
      <c r="G28" s="49" t="s">
        <v>75</v>
      </c>
      <c r="H28" s="50" t="s">
        <v>75</v>
      </c>
      <c r="I28" s="48" t="s">
        <v>76</v>
      </c>
      <c r="J28" s="49" t="s">
        <v>76</v>
      </c>
      <c r="K28" s="50" t="s">
        <v>76</v>
      </c>
      <c r="L28" s="48" t="s">
        <v>77</v>
      </c>
      <c r="M28" s="49" t="s">
        <v>77</v>
      </c>
      <c r="N28" s="50" t="s">
        <v>77</v>
      </c>
      <c r="O28" s="48" t="s">
        <v>78</v>
      </c>
      <c r="P28" s="49" t="s">
        <v>78</v>
      </c>
      <c r="Q28" s="50" t="s">
        <v>78</v>
      </c>
      <c r="R28" s="461" t="s">
        <v>198</v>
      </c>
      <c r="S28" s="4"/>
      <c r="T28" s="48" t="s">
        <v>182</v>
      </c>
      <c r="U28" s="49" t="s">
        <v>182</v>
      </c>
      <c r="V28" s="50" t="s">
        <v>182</v>
      </c>
      <c r="W28" s="48" t="s">
        <v>183</v>
      </c>
      <c r="X28" s="49" t="s">
        <v>183</v>
      </c>
      <c r="Y28" s="50" t="s">
        <v>183</v>
      </c>
      <c r="Z28" s="48" t="s">
        <v>184</v>
      </c>
      <c r="AA28" s="49" t="s">
        <v>184</v>
      </c>
      <c r="AB28" s="50" t="s">
        <v>184</v>
      </c>
      <c r="AC28" s="48" t="s">
        <v>185</v>
      </c>
      <c r="AD28" s="49" t="s">
        <v>185</v>
      </c>
      <c r="AE28" s="50" t="s">
        <v>185</v>
      </c>
      <c r="AF28" s="48" t="s">
        <v>186</v>
      </c>
      <c r="AG28" s="49" t="s">
        <v>186</v>
      </c>
      <c r="AH28" s="50" t="s">
        <v>186</v>
      </c>
      <c r="AI28" s="464" t="s">
        <v>199</v>
      </c>
      <c r="AJ28" s="249"/>
      <c r="AK28" s="467" t="s">
        <v>200</v>
      </c>
      <c r="AL28" s="469" t="s">
        <v>200</v>
      </c>
      <c r="AM28" s="472" t="s">
        <v>237</v>
      </c>
      <c r="AN28" s="158"/>
      <c r="AO28" s="158"/>
      <c r="AP28" s="158"/>
    </row>
    <row r="29" spans="2:42" x14ac:dyDescent="0.2">
      <c r="B29" s="183"/>
      <c r="C29" s="198" t="s">
        <v>190</v>
      </c>
      <c r="D29" s="68" t="s">
        <v>201</v>
      </c>
      <c r="E29" s="199" t="s">
        <v>202</v>
      </c>
      <c r="F29" s="198" t="s">
        <v>190</v>
      </c>
      <c r="G29" s="68" t="s">
        <v>201</v>
      </c>
      <c r="H29" s="199" t="s">
        <v>202</v>
      </c>
      <c r="I29" s="198" t="s">
        <v>190</v>
      </c>
      <c r="J29" s="68" t="s">
        <v>201</v>
      </c>
      <c r="K29" s="199" t="s">
        <v>202</v>
      </c>
      <c r="L29" s="198" t="s">
        <v>190</v>
      </c>
      <c r="M29" s="68" t="s">
        <v>201</v>
      </c>
      <c r="N29" s="199" t="s">
        <v>202</v>
      </c>
      <c r="O29" s="198" t="s">
        <v>190</v>
      </c>
      <c r="P29" s="68" t="s">
        <v>201</v>
      </c>
      <c r="Q29" s="199" t="s">
        <v>202</v>
      </c>
      <c r="R29" s="462"/>
      <c r="S29" s="46"/>
      <c r="T29" s="51" t="s">
        <v>190</v>
      </c>
      <c r="U29" s="47" t="s">
        <v>201</v>
      </c>
      <c r="V29" s="52" t="s">
        <v>202</v>
      </c>
      <c r="W29" s="51" t="s">
        <v>190</v>
      </c>
      <c r="X29" s="47" t="s">
        <v>201</v>
      </c>
      <c r="Y29" s="52" t="s">
        <v>202</v>
      </c>
      <c r="Z29" s="51" t="s">
        <v>190</v>
      </c>
      <c r="AA29" s="47" t="s">
        <v>201</v>
      </c>
      <c r="AB29" s="52" t="s">
        <v>202</v>
      </c>
      <c r="AC29" s="51" t="s">
        <v>190</v>
      </c>
      <c r="AD29" s="47" t="s">
        <v>201</v>
      </c>
      <c r="AE29" s="52" t="s">
        <v>202</v>
      </c>
      <c r="AF29" s="51" t="s">
        <v>190</v>
      </c>
      <c r="AG29" s="47" t="s">
        <v>201</v>
      </c>
      <c r="AH29" s="52" t="s">
        <v>202</v>
      </c>
      <c r="AI29" s="465"/>
      <c r="AJ29" s="250"/>
      <c r="AK29" s="468"/>
      <c r="AL29" s="470"/>
      <c r="AM29" s="473"/>
      <c r="AN29" s="158"/>
      <c r="AO29" s="158"/>
      <c r="AP29" s="158"/>
    </row>
    <row r="30" spans="2:42" ht="16" thickBot="1" x14ac:dyDescent="0.25">
      <c r="B30" s="183" t="s">
        <v>203</v>
      </c>
      <c r="C30" s="200"/>
      <c r="D30" s="2"/>
      <c r="E30" s="223"/>
      <c r="F30" s="200"/>
      <c r="G30" s="2"/>
      <c r="H30" s="223"/>
      <c r="I30" s="200"/>
      <c r="J30" s="2"/>
      <c r="K30" s="223"/>
      <c r="L30" s="200"/>
      <c r="M30" s="2"/>
      <c r="N30" s="223"/>
      <c r="O30" s="200"/>
      <c r="P30" s="2"/>
      <c r="Q30" s="223"/>
      <c r="R30" s="463"/>
      <c r="T30" s="53"/>
      <c r="U30" s="1"/>
      <c r="V30" s="54"/>
      <c r="W30" s="53"/>
      <c r="X30" s="1"/>
      <c r="Y30" s="54"/>
      <c r="Z30" s="53"/>
      <c r="AA30" s="1"/>
      <c r="AB30" s="54"/>
      <c r="AC30" s="53"/>
      <c r="AD30" s="1"/>
      <c r="AE30" s="54"/>
      <c r="AF30" s="53"/>
      <c r="AG30" s="1"/>
      <c r="AH30" s="54"/>
      <c r="AI30" s="466"/>
      <c r="AJ30" s="250"/>
      <c r="AK30" s="468"/>
      <c r="AL30" s="471"/>
      <c r="AM30" s="473"/>
      <c r="AN30" s="158"/>
      <c r="AO30" s="158"/>
      <c r="AP30" s="158"/>
    </row>
    <row r="31" spans="2:42" ht="16" thickBot="1" x14ac:dyDescent="0.25">
      <c r="B31" s="117" t="s">
        <v>253</v>
      </c>
      <c r="C31" s="224">
        <v>43.66</v>
      </c>
      <c r="D31" s="94">
        <v>0</v>
      </c>
      <c r="E31" s="252">
        <v>6.5</v>
      </c>
      <c r="F31" s="253">
        <v>20.39</v>
      </c>
      <c r="G31" s="254">
        <v>0</v>
      </c>
      <c r="H31" s="252">
        <v>6.5</v>
      </c>
      <c r="I31" s="253">
        <v>0</v>
      </c>
      <c r="J31" s="254">
        <v>0</v>
      </c>
      <c r="K31" s="252">
        <v>6.5</v>
      </c>
      <c r="L31" s="253">
        <v>0</v>
      </c>
      <c r="M31" s="254">
        <v>0</v>
      </c>
      <c r="N31" s="252">
        <v>6.5</v>
      </c>
      <c r="O31" s="253">
        <v>0</v>
      </c>
      <c r="P31" s="254">
        <v>0</v>
      </c>
      <c r="Q31" s="252">
        <v>6.5</v>
      </c>
      <c r="R31" s="251">
        <f>SUM(E31,H31,K31,N31,Q31)/S31</f>
        <v>6.5</v>
      </c>
      <c r="S31" s="157">
        <f>COUNTIF(E31,"&gt;0")+COUNTIF(H31,"&gt;0")+COUNTIF(K31,"&gt;0")+COUNTIF(N31,"&gt;0")+COUNTIF(Q31,"&gt;0")</f>
        <v>5</v>
      </c>
      <c r="T31" s="258">
        <v>0</v>
      </c>
      <c r="U31" s="258">
        <v>0</v>
      </c>
      <c r="V31" s="258">
        <v>0</v>
      </c>
      <c r="W31" s="258">
        <v>0</v>
      </c>
      <c r="X31" s="258">
        <v>0</v>
      </c>
      <c r="Y31" s="258">
        <v>0</v>
      </c>
      <c r="Z31" s="258">
        <v>0</v>
      </c>
      <c r="AA31" s="258">
        <v>0</v>
      </c>
      <c r="AB31" s="258">
        <v>0</v>
      </c>
      <c r="AC31" s="258">
        <v>0</v>
      </c>
      <c r="AD31" s="258">
        <v>0</v>
      </c>
      <c r="AE31" s="258">
        <v>0</v>
      </c>
      <c r="AF31" s="258">
        <v>0</v>
      </c>
      <c r="AG31" s="258">
        <v>0</v>
      </c>
      <c r="AH31" s="258">
        <v>0</v>
      </c>
      <c r="AI31" s="251"/>
      <c r="AJ31" s="157">
        <f>COUNTIF(V31,"&gt;0")+COUNTIF(Y31,"&gt;0")+COUNTIF(AB31,"&gt;0")+COUNTIF(AE31,"&gt;0")+COUNTIF(AH31,"&gt;0")</f>
        <v>0</v>
      </c>
      <c r="AK31" s="87">
        <f t="shared" ref="AK31:AK47" si="0">IF(AI31="N/A","N/A",IF(R31-AI31&lt;&gt;0,ABS((R31-AI31)/R31)-0.2,IF(AND(R31=0,AI31=0),"N/A",IF(AI31&lt;0,"N/A","N/A"))))</f>
        <v>0.8</v>
      </c>
      <c r="AL31" s="87" t="str">
        <f t="shared" ref="AL31:AL47" si="1">IF(AI31="N/A","N/A",IF((ABS((R31-AI31)/R31))-0.2&gt;0,IF(R31&gt;AI31,"rabais","+"),IF(R31=0,"0","ni rabais ni bonus")))</f>
        <v>rabais</v>
      </c>
      <c r="AM31" s="88">
        <f>IFERROR(IF(AI31="N/A","N/A",IF(AL31="ni rabais ni bonus",0,AK31*IF(AL31="+",1,-1))),0)</f>
        <v>-0.8</v>
      </c>
      <c r="AN31" s="152"/>
      <c r="AO31" s="152"/>
      <c r="AP31" s="152"/>
    </row>
    <row r="32" spans="2:42" ht="16" thickBot="1" x14ac:dyDescent="0.25">
      <c r="B32" s="117" t="s">
        <v>296</v>
      </c>
      <c r="C32" s="224">
        <v>18.48</v>
      </c>
      <c r="D32" s="94">
        <v>0</v>
      </c>
      <c r="E32" s="252">
        <v>3</v>
      </c>
      <c r="F32" s="253">
        <v>0</v>
      </c>
      <c r="G32" s="254">
        <v>0</v>
      </c>
      <c r="H32" s="252">
        <v>3</v>
      </c>
      <c r="I32" s="253">
        <v>0</v>
      </c>
      <c r="J32" s="254">
        <v>0</v>
      </c>
      <c r="K32" s="252">
        <v>3</v>
      </c>
      <c r="L32" s="253">
        <v>0</v>
      </c>
      <c r="M32" s="254">
        <v>0</v>
      </c>
      <c r="N32" s="252">
        <v>3</v>
      </c>
      <c r="O32" s="253">
        <v>0</v>
      </c>
      <c r="P32" s="254">
        <v>0</v>
      </c>
      <c r="Q32" s="252">
        <v>3</v>
      </c>
      <c r="R32" s="251">
        <f t="shared" ref="R32:R47" si="2">SUM(E32,H32,K32,N32,Q32)/S32</f>
        <v>3</v>
      </c>
      <c r="S32" s="157">
        <f t="shared" ref="S32:S47" si="3">COUNTIF(E32,"&gt;0")+COUNTIF(H32,"&gt;0")+COUNTIF(K32,"&gt;0")+COUNTIF(N32,"&gt;0")+COUNTIF(Q32,"&gt;0")</f>
        <v>5</v>
      </c>
      <c r="T32" s="258">
        <v>0</v>
      </c>
      <c r="U32" s="258">
        <v>0</v>
      </c>
      <c r="V32" s="258">
        <v>0</v>
      </c>
      <c r="W32" s="258">
        <v>0</v>
      </c>
      <c r="X32" s="258">
        <v>0</v>
      </c>
      <c r="Y32" s="258">
        <v>0</v>
      </c>
      <c r="Z32" s="258">
        <v>0</v>
      </c>
      <c r="AA32" s="258">
        <v>0</v>
      </c>
      <c r="AB32" s="258">
        <v>0</v>
      </c>
      <c r="AC32" s="258">
        <v>0</v>
      </c>
      <c r="AD32" s="258">
        <v>0</v>
      </c>
      <c r="AE32" s="258">
        <v>0</v>
      </c>
      <c r="AF32" s="258">
        <v>0</v>
      </c>
      <c r="AG32" s="258">
        <v>0</v>
      </c>
      <c r="AH32" s="258">
        <v>0</v>
      </c>
      <c r="AI32" s="251"/>
      <c r="AJ32" s="157">
        <f t="shared" ref="AJ32:AJ47" si="4">COUNTIF(V32,"&gt;0")+COUNTIF(Y32,"&gt;0")+COUNTIF(AB32,"&gt;0")+COUNTIF(AE32,"&gt;0")+COUNTIF(AH32,"&gt;0")</f>
        <v>0</v>
      </c>
      <c r="AK32" s="87">
        <f t="shared" si="0"/>
        <v>0.8</v>
      </c>
      <c r="AL32" s="87" t="str">
        <f t="shared" si="1"/>
        <v>rabais</v>
      </c>
      <c r="AM32" s="88">
        <f t="shared" ref="AM32:AM47" si="5">IFERROR(IF(AI32="N/A","N/A",IF(AL32="ni rabais ni bonus",0,AK32*IF(AL32="+",1,-1))),0)</f>
        <v>-0.8</v>
      </c>
      <c r="AN32" s="152"/>
      <c r="AO32" s="152"/>
      <c r="AP32" s="152"/>
    </row>
    <row r="33" spans="2:43" ht="16" thickBot="1" x14ac:dyDescent="0.25">
      <c r="B33" s="117" t="s">
        <v>297</v>
      </c>
      <c r="C33" s="224">
        <v>0.11</v>
      </c>
      <c r="D33" s="94">
        <v>0</v>
      </c>
      <c r="E33" s="252">
        <v>0</v>
      </c>
      <c r="F33" s="253">
        <v>0</v>
      </c>
      <c r="G33" s="254">
        <v>0</v>
      </c>
      <c r="H33" s="252">
        <v>0</v>
      </c>
      <c r="I33" s="253">
        <v>0</v>
      </c>
      <c r="J33" s="254">
        <v>0</v>
      </c>
      <c r="K33" s="252">
        <v>0</v>
      </c>
      <c r="L33" s="253">
        <v>0</v>
      </c>
      <c r="M33" s="254">
        <v>0</v>
      </c>
      <c r="N33" s="252">
        <v>0</v>
      </c>
      <c r="O33" s="253">
        <v>0</v>
      </c>
      <c r="P33" s="254">
        <v>0</v>
      </c>
      <c r="Q33" s="252">
        <v>0</v>
      </c>
      <c r="R33" s="251"/>
      <c r="S33" s="157">
        <f t="shared" si="3"/>
        <v>0</v>
      </c>
      <c r="T33" s="258">
        <v>0</v>
      </c>
      <c r="U33" s="258">
        <v>0</v>
      </c>
      <c r="V33" s="258">
        <v>0</v>
      </c>
      <c r="W33" s="258">
        <v>0</v>
      </c>
      <c r="X33" s="258">
        <v>0</v>
      </c>
      <c r="Y33" s="258">
        <v>0</v>
      </c>
      <c r="Z33" s="258">
        <v>0</v>
      </c>
      <c r="AA33" s="258">
        <v>0</v>
      </c>
      <c r="AB33" s="258">
        <v>0</v>
      </c>
      <c r="AC33" s="258">
        <v>0</v>
      </c>
      <c r="AD33" s="258">
        <v>0</v>
      </c>
      <c r="AE33" s="258">
        <v>0</v>
      </c>
      <c r="AF33" s="258">
        <v>0</v>
      </c>
      <c r="AG33" s="258">
        <v>0</v>
      </c>
      <c r="AH33" s="258">
        <v>0</v>
      </c>
      <c r="AI33" s="251"/>
      <c r="AJ33" s="157">
        <f t="shared" si="4"/>
        <v>0</v>
      </c>
      <c r="AK33" s="87"/>
      <c r="AL33" s="87"/>
      <c r="AM33" s="88">
        <f t="shared" si="5"/>
        <v>0</v>
      </c>
      <c r="AN33" s="152"/>
      <c r="AO33" s="152"/>
      <c r="AP33" s="152"/>
    </row>
    <row r="34" spans="2:43" ht="16" thickBot="1" x14ac:dyDescent="0.25">
      <c r="B34" s="117" t="s">
        <v>298</v>
      </c>
      <c r="C34" s="224">
        <v>58.78</v>
      </c>
      <c r="D34" s="94">
        <v>0</v>
      </c>
      <c r="E34" s="252">
        <v>8.5</v>
      </c>
      <c r="F34" s="253">
        <v>0</v>
      </c>
      <c r="G34" s="254">
        <v>0</v>
      </c>
      <c r="H34" s="252">
        <v>8.5</v>
      </c>
      <c r="I34" s="253">
        <v>0</v>
      </c>
      <c r="J34" s="254">
        <v>0</v>
      </c>
      <c r="K34" s="252">
        <v>8.5</v>
      </c>
      <c r="L34" s="253">
        <v>0</v>
      </c>
      <c r="M34" s="254">
        <v>0</v>
      </c>
      <c r="N34" s="252">
        <v>8.5</v>
      </c>
      <c r="O34" s="253">
        <v>0</v>
      </c>
      <c r="P34" s="254">
        <v>0</v>
      </c>
      <c r="Q34" s="252">
        <v>8.5</v>
      </c>
      <c r="R34" s="251">
        <f t="shared" si="2"/>
        <v>8.5</v>
      </c>
      <c r="S34" s="157">
        <f t="shared" si="3"/>
        <v>5</v>
      </c>
      <c r="T34" s="258">
        <v>0</v>
      </c>
      <c r="U34" s="258">
        <v>0</v>
      </c>
      <c r="V34" s="258">
        <v>0</v>
      </c>
      <c r="W34" s="258">
        <v>0</v>
      </c>
      <c r="X34" s="258">
        <v>0</v>
      </c>
      <c r="Y34" s="258">
        <v>0</v>
      </c>
      <c r="Z34" s="258">
        <v>0</v>
      </c>
      <c r="AA34" s="258">
        <v>0</v>
      </c>
      <c r="AB34" s="258">
        <v>0</v>
      </c>
      <c r="AC34" s="258">
        <v>0</v>
      </c>
      <c r="AD34" s="258">
        <v>0</v>
      </c>
      <c r="AE34" s="258">
        <v>0</v>
      </c>
      <c r="AF34" s="258">
        <v>0</v>
      </c>
      <c r="AG34" s="258">
        <v>0</v>
      </c>
      <c r="AH34" s="258">
        <v>0</v>
      </c>
      <c r="AI34" s="251"/>
      <c r="AJ34" s="157">
        <f t="shared" si="4"/>
        <v>0</v>
      </c>
      <c r="AK34" s="87">
        <f t="shared" si="0"/>
        <v>0.8</v>
      </c>
      <c r="AL34" s="87" t="str">
        <f t="shared" si="1"/>
        <v>rabais</v>
      </c>
      <c r="AM34" s="88">
        <f t="shared" si="5"/>
        <v>-0.8</v>
      </c>
      <c r="AN34" s="152"/>
      <c r="AO34" s="152"/>
      <c r="AP34" s="152"/>
    </row>
    <row r="35" spans="2:43" ht="16" thickBot="1" x14ac:dyDescent="0.25">
      <c r="B35" s="117" t="s">
        <v>293</v>
      </c>
      <c r="C35" s="224">
        <v>30.07</v>
      </c>
      <c r="D35" s="94">
        <v>0</v>
      </c>
      <c r="E35" s="252">
        <v>10</v>
      </c>
      <c r="F35" s="253">
        <v>65.62</v>
      </c>
      <c r="G35" s="254">
        <v>0</v>
      </c>
      <c r="H35" s="252">
        <v>10</v>
      </c>
      <c r="I35" s="253">
        <v>72.33</v>
      </c>
      <c r="J35" s="254">
        <v>0</v>
      </c>
      <c r="K35" s="252">
        <v>10</v>
      </c>
      <c r="L35" s="253">
        <v>58.93</v>
      </c>
      <c r="M35" s="254">
        <v>0</v>
      </c>
      <c r="N35" s="252">
        <v>10</v>
      </c>
      <c r="O35" s="253">
        <v>66.52</v>
      </c>
      <c r="P35" s="254">
        <v>0</v>
      </c>
      <c r="Q35" s="252">
        <v>10</v>
      </c>
      <c r="R35" s="251">
        <f t="shared" si="2"/>
        <v>10</v>
      </c>
      <c r="S35" s="157">
        <f t="shared" si="3"/>
        <v>5</v>
      </c>
      <c r="T35" s="258">
        <v>66.52</v>
      </c>
      <c r="U35" s="258">
        <v>0</v>
      </c>
      <c r="V35" s="258">
        <v>10</v>
      </c>
      <c r="W35" s="258">
        <v>66.52</v>
      </c>
      <c r="X35" s="258">
        <v>0</v>
      </c>
      <c r="Y35" s="258">
        <v>10</v>
      </c>
      <c r="Z35" s="258">
        <v>66.52</v>
      </c>
      <c r="AA35" s="258">
        <v>0</v>
      </c>
      <c r="AB35" s="258">
        <v>10</v>
      </c>
      <c r="AC35" s="258">
        <v>66.52</v>
      </c>
      <c r="AD35" s="258">
        <v>10</v>
      </c>
      <c r="AE35" s="258">
        <v>0</v>
      </c>
      <c r="AF35" s="258">
        <v>66.52</v>
      </c>
      <c r="AG35" s="258">
        <v>0</v>
      </c>
      <c r="AH35" s="258">
        <v>10</v>
      </c>
      <c r="AI35" s="251">
        <f t="shared" ref="AI33:AI47" si="6">SUM(V35,Y35,AB35,AE35,AH35)/AJ35</f>
        <v>10</v>
      </c>
      <c r="AJ35" s="157">
        <f t="shared" si="4"/>
        <v>4</v>
      </c>
      <c r="AK35" s="87" t="str">
        <f t="shared" si="0"/>
        <v>N/A</v>
      </c>
      <c r="AL35" s="87" t="str">
        <f t="shared" si="1"/>
        <v>ni rabais ni bonus</v>
      </c>
      <c r="AM35" s="88">
        <f t="shared" si="5"/>
        <v>0</v>
      </c>
      <c r="AN35" s="152"/>
      <c r="AO35" s="152"/>
      <c r="AP35" s="152"/>
    </row>
    <row r="36" spans="2:43" ht="16" thickBot="1" x14ac:dyDescent="0.25">
      <c r="B36" s="117" t="s">
        <v>254</v>
      </c>
      <c r="C36" s="224">
        <v>21.27</v>
      </c>
      <c r="D36" s="94">
        <v>0</v>
      </c>
      <c r="E36" s="252">
        <v>7</v>
      </c>
      <c r="F36" s="253">
        <v>25.07</v>
      </c>
      <c r="G36" s="254">
        <v>0</v>
      </c>
      <c r="H36" s="252">
        <v>7</v>
      </c>
      <c r="I36" s="253">
        <v>21.72</v>
      </c>
      <c r="J36" s="254">
        <v>0</v>
      </c>
      <c r="K36" s="252">
        <v>7</v>
      </c>
      <c r="L36" s="253">
        <v>19.88</v>
      </c>
      <c r="M36" s="254">
        <v>0</v>
      </c>
      <c r="N36" s="252">
        <v>7</v>
      </c>
      <c r="O36" s="253">
        <v>18</v>
      </c>
      <c r="P36" s="254">
        <v>0</v>
      </c>
      <c r="Q36" s="252">
        <v>7</v>
      </c>
      <c r="R36" s="251">
        <f t="shared" si="2"/>
        <v>7</v>
      </c>
      <c r="S36" s="157">
        <f t="shared" si="3"/>
        <v>5</v>
      </c>
      <c r="T36" s="258">
        <v>18</v>
      </c>
      <c r="U36" s="258">
        <v>0</v>
      </c>
      <c r="V36" s="258">
        <v>7</v>
      </c>
      <c r="W36" s="258">
        <v>18</v>
      </c>
      <c r="X36" s="258">
        <v>0</v>
      </c>
      <c r="Y36" s="258">
        <v>7</v>
      </c>
      <c r="Z36" s="258">
        <v>18</v>
      </c>
      <c r="AA36" s="258">
        <v>0</v>
      </c>
      <c r="AB36" s="258">
        <v>7</v>
      </c>
      <c r="AC36" s="258">
        <v>18</v>
      </c>
      <c r="AD36" s="258">
        <v>7</v>
      </c>
      <c r="AE36" s="258">
        <v>0</v>
      </c>
      <c r="AF36" s="258">
        <v>18</v>
      </c>
      <c r="AG36" s="258">
        <v>0</v>
      </c>
      <c r="AH36" s="258">
        <v>7</v>
      </c>
      <c r="AI36" s="251">
        <f t="shared" si="6"/>
        <v>7</v>
      </c>
      <c r="AJ36" s="157">
        <f t="shared" si="4"/>
        <v>4</v>
      </c>
      <c r="AK36" s="87" t="str">
        <f t="shared" si="0"/>
        <v>N/A</v>
      </c>
      <c r="AL36" s="87" t="str">
        <f t="shared" si="1"/>
        <v>ni rabais ni bonus</v>
      </c>
      <c r="AM36" s="88">
        <f t="shared" si="5"/>
        <v>0</v>
      </c>
      <c r="AN36" s="152"/>
      <c r="AO36" s="152"/>
      <c r="AP36" s="152"/>
    </row>
    <row r="37" spans="2:43" ht="16" thickBot="1" x14ac:dyDescent="0.25">
      <c r="B37" s="117" t="s">
        <v>295</v>
      </c>
      <c r="C37" s="224">
        <v>26.66</v>
      </c>
      <c r="D37" s="94">
        <v>0</v>
      </c>
      <c r="E37" s="252">
        <v>6</v>
      </c>
      <c r="F37" s="253">
        <v>11.18</v>
      </c>
      <c r="G37" s="254">
        <v>0</v>
      </c>
      <c r="H37" s="252">
        <v>6</v>
      </c>
      <c r="I37" s="253">
        <v>14.95</v>
      </c>
      <c r="J37" s="254">
        <v>0</v>
      </c>
      <c r="K37" s="252">
        <v>6</v>
      </c>
      <c r="L37" s="253">
        <v>11.18</v>
      </c>
      <c r="M37" s="254">
        <v>0</v>
      </c>
      <c r="N37" s="252">
        <v>6</v>
      </c>
      <c r="O37" s="253">
        <v>16.28</v>
      </c>
      <c r="P37" s="254">
        <v>0</v>
      </c>
      <c r="Q37" s="252">
        <v>6</v>
      </c>
      <c r="R37" s="251">
        <f t="shared" si="2"/>
        <v>6</v>
      </c>
      <c r="S37" s="157">
        <f t="shared" si="3"/>
        <v>5</v>
      </c>
      <c r="T37" s="258">
        <v>16.28</v>
      </c>
      <c r="U37" s="258">
        <v>0</v>
      </c>
      <c r="V37" s="258">
        <v>6</v>
      </c>
      <c r="W37" s="258">
        <v>16.28</v>
      </c>
      <c r="X37" s="258">
        <v>0</v>
      </c>
      <c r="Y37" s="258">
        <v>6</v>
      </c>
      <c r="Z37" s="258">
        <v>16.28</v>
      </c>
      <c r="AA37" s="258">
        <v>0</v>
      </c>
      <c r="AB37" s="258">
        <v>6</v>
      </c>
      <c r="AC37" s="258">
        <v>16.28</v>
      </c>
      <c r="AD37" s="258">
        <v>6</v>
      </c>
      <c r="AE37" s="258">
        <v>0</v>
      </c>
      <c r="AF37" s="258">
        <v>16.28</v>
      </c>
      <c r="AG37" s="258">
        <v>0</v>
      </c>
      <c r="AH37" s="258">
        <v>6</v>
      </c>
      <c r="AI37" s="251">
        <f t="shared" si="6"/>
        <v>6</v>
      </c>
      <c r="AJ37" s="157">
        <f t="shared" si="4"/>
        <v>4</v>
      </c>
      <c r="AK37" s="87" t="str">
        <f t="shared" si="0"/>
        <v>N/A</v>
      </c>
      <c r="AL37" s="87" t="str">
        <f t="shared" si="1"/>
        <v>ni rabais ni bonus</v>
      </c>
      <c r="AM37" s="88">
        <f t="shared" si="5"/>
        <v>0</v>
      </c>
      <c r="AN37" s="152"/>
      <c r="AO37" s="152"/>
      <c r="AP37" s="152"/>
    </row>
    <row r="38" spans="2:43" ht="16" thickBot="1" x14ac:dyDescent="0.25">
      <c r="B38" s="117" t="s">
        <v>294</v>
      </c>
      <c r="C38" s="224">
        <v>23.95</v>
      </c>
      <c r="D38" s="94">
        <v>0</v>
      </c>
      <c r="E38" s="252">
        <v>7</v>
      </c>
      <c r="F38" s="253">
        <v>52.8</v>
      </c>
      <c r="G38" s="254">
        <v>0</v>
      </c>
      <c r="H38" s="252">
        <v>7</v>
      </c>
      <c r="I38" s="253">
        <v>48.76</v>
      </c>
      <c r="J38" s="254">
        <v>0</v>
      </c>
      <c r="K38" s="252">
        <v>7</v>
      </c>
      <c r="L38" s="253">
        <v>63.87</v>
      </c>
      <c r="M38" s="254">
        <v>0</v>
      </c>
      <c r="N38" s="252">
        <v>7</v>
      </c>
      <c r="O38" s="253">
        <v>52.77</v>
      </c>
      <c r="P38" s="254">
        <v>0</v>
      </c>
      <c r="Q38" s="252">
        <v>7</v>
      </c>
      <c r="R38" s="251">
        <f t="shared" si="2"/>
        <v>7</v>
      </c>
      <c r="S38" s="157">
        <f t="shared" si="3"/>
        <v>5</v>
      </c>
      <c r="T38" s="258">
        <v>52.77</v>
      </c>
      <c r="U38" s="258">
        <v>0</v>
      </c>
      <c r="V38" s="258">
        <v>7</v>
      </c>
      <c r="W38" s="258">
        <v>52.77</v>
      </c>
      <c r="X38" s="258">
        <v>0</v>
      </c>
      <c r="Y38" s="258">
        <v>7</v>
      </c>
      <c r="Z38" s="258">
        <v>52.77</v>
      </c>
      <c r="AA38" s="258">
        <v>0</v>
      </c>
      <c r="AB38" s="258">
        <v>7</v>
      </c>
      <c r="AC38" s="258">
        <v>52.77</v>
      </c>
      <c r="AD38" s="258">
        <v>7</v>
      </c>
      <c r="AE38" s="258">
        <v>0</v>
      </c>
      <c r="AF38" s="258">
        <v>52.77</v>
      </c>
      <c r="AG38" s="258">
        <v>0</v>
      </c>
      <c r="AH38" s="258">
        <v>7</v>
      </c>
      <c r="AI38" s="251">
        <f t="shared" si="6"/>
        <v>7</v>
      </c>
      <c r="AJ38" s="157">
        <f t="shared" si="4"/>
        <v>4</v>
      </c>
      <c r="AK38" s="87" t="str">
        <f t="shared" si="0"/>
        <v>N/A</v>
      </c>
      <c r="AL38" s="87" t="str">
        <f t="shared" si="1"/>
        <v>ni rabais ni bonus</v>
      </c>
      <c r="AM38" s="88">
        <f t="shared" si="5"/>
        <v>0</v>
      </c>
      <c r="AN38" s="152"/>
      <c r="AO38" s="152"/>
      <c r="AP38" s="152"/>
    </row>
    <row r="39" spans="2:43" ht="16" thickBot="1" x14ac:dyDescent="0.25">
      <c r="B39" s="117" t="s">
        <v>255</v>
      </c>
      <c r="C39" s="224">
        <v>0</v>
      </c>
      <c r="D39" s="94">
        <v>0</v>
      </c>
      <c r="E39" s="252">
        <v>2.4</v>
      </c>
      <c r="F39" s="253">
        <v>5.03</v>
      </c>
      <c r="G39" s="254">
        <v>0</v>
      </c>
      <c r="H39" s="252">
        <v>2.4</v>
      </c>
      <c r="I39" s="253">
        <v>0</v>
      </c>
      <c r="J39" s="254">
        <v>0</v>
      </c>
      <c r="K39" s="252">
        <v>2.4</v>
      </c>
      <c r="L39" s="253">
        <v>0</v>
      </c>
      <c r="M39" s="254">
        <v>0</v>
      </c>
      <c r="N39" s="252">
        <v>2.4</v>
      </c>
      <c r="O39" s="253">
        <v>0</v>
      </c>
      <c r="P39" s="254">
        <v>0</v>
      </c>
      <c r="Q39" s="252">
        <v>2.4</v>
      </c>
      <c r="R39" s="251">
        <f t="shared" si="2"/>
        <v>2.4</v>
      </c>
      <c r="S39" s="157">
        <f t="shared" si="3"/>
        <v>5</v>
      </c>
      <c r="T39" s="258">
        <v>0</v>
      </c>
      <c r="U39" s="258">
        <v>0</v>
      </c>
      <c r="V39" s="258">
        <v>2.4</v>
      </c>
      <c r="W39" s="258">
        <v>0</v>
      </c>
      <c r="X39" s="258">
        <v>0</v>
      </c>
      <c r="Y39" s="258">
        <v>2.4</v>
      </c>
      <c r="Z39" s="258">
        <v>0</v>
      </c>
      <c r="AA39" s="258">
        <v>0</v>
      </c>
      <c r="AB39" s="258">
        <v>2.4</v>
      </c>
      <c r="AC39" s="258">
        <v>0</v>
      </c>
      <c r="AD39" s="258">
        <v>2.4</v>
      </c>
      <c r="AE39" s="258">
        <v>0</v>
      </c>
      <c r="AF39" s="258">
        <v>0</v>
      </c>
      <c r="AG39" s="258">
        <v>0</v>
      </c>
      <c r="AH39" s="258">
        <v>2.4</v>
      </c>
      <c r="AI39" s="251">
        <f t="shared" si="6"/>
        <v>2.4</v>
      </c>
      <c r="AJ39" s="157">
        <f t="shared" si="4"/>
        <v>4</v>
      </c>
      <c r="AK39" s="87" t="str">
        <f t="shared" si="0"/>
        <v>N/A</v>
      </c>
      <c r="AL39" s="87" t="str">
        <f t="shared" si="1"/>
        <v>ni rabais ni bonus</v>
      </c>
      <c r="AM39" s="88">
        <f t="shared" si="5"/>
        <v>0</v>
      </c>
      <c r="AN39" s="152"/>
      <c r="AO39" s="152"/>
      <c r="AP39" s="152"/>
    </row>
    <row r="40" spans="2:43" ht="16" thickBot="1" x14ac:dyDescent="0.25">
      <c r="B40" s="117" t="s">
        <v>256</v>
      </c>
      <c r="C40" s="224">
        <v>21.67</v>
      </c>
      <c r="D40" s="94">
        <v>0</v>
      </c>
      <c r="E40" s="252">
        <v>5.4</v>
      </c>
      <c r="F40" s="253">
        <v>21.2</v>
      </c>
      <c r="G40" s="254">
        <v>0</v>
      </c>
      <c r="H40" s="252">
        <v>5.4</v>
      </c>
      <c r="I40" s="253">
        <v>13.22</v>
      </c>
      <c r="J40" s="254">
        <v>0</v>
      </c>
      <c r="K40" s="252">
        <v>5.4</v>
      </c>
      <c r="L40" s="253">
        <v>15.21</v>
      </c>
      <c r="M40" s="254">
        <v>0</v>
      </c>
      <c r="N40" s="252">
        <v>5.4</v>
      </c>
      <c r="O40" s="253">
        <v>17.36</v>
      </c>
      <c r="P40" s="254">
        <v>0</v>
      </c>
      <c r="Q40" s="252">
        <v>5.4</v>
      </c>
      <c r="R40" s="251">
        <f t="shared" si="2"/>
        <v>5.4</v>
      </c>
      <c r="S40" s="157">
        <f t="shared" si="3"/>
        <v>5</v>
      </c>
      <c r="T40" s="258">
        <v>17.36</v>
      </c>
      <c r="U40" s="258">
        <v>0</v>
      </c>
      <c r="V40" s="258">
        <v>5.4</v>
      </c>
      <c r="W40" s="258">
        <v>17.36</v>
      </c>
      <c r="X40" s="258">
        <v>0</v>
      </c>
      <c r="Y40" s="258">
        <v>5.4</v>
      </c>
      <c r="Z40" s="258">
        <v>17.36</v>
      </c>
      <c r="AA40" s="258">
        <v>0</v>
      </c>
      <c r="AB40" s="258">
        <v>5.4</v>
      </c>
      <c r="AC40" s="258">
        <v>17.36</v>
      </c>
      <c r="AD40" s="258">
        <v>5.4</v>
      </c>
      <c r="AE40" s="258">
        <v>0</v>
      </c>
      <c r="AF40" s="258">
        <v>17.36</v>
      </c>
      <c r="AG40" s="258">
        <v>0</v>
      </c>
      <c r="AH40" s="258">
        <v>5.4</v>
      </c>
      <c r="AI40" s="251">
        <f t="shared" si="6"/>
        <v>5.4</v>
      </c>
      <c r="AJ40" s="157">
        <f t="shared" si="4"/>
        <v>4</v>
      </c>
      <c r="AK40" s="87" t="str">
        <f t="shared" si="0"/>
        <v>N/A</v>
      </c>
      <c r="AL40" s="87" t="str">
        <f t="shared" si="1"/>
        <v>ni rabais ni bonus</v>
      </c>
      <c r="AM40" s="88">
        <f t="shared" si="5"/>
        <v>0</v>
      </c>
      <c r="AN40" s="152"/>
      <c r="AO40" s="152"/>
      <c r="AP40" s="152"/>
    </row>
    <row r="41" spans="2:43" ht="16" thickBot="1" x14ac:dyDescent="0.25">
      <c r="B41" s="117">
        <v>0</v>
      </c>
      <c r="C41" s="224">
        <v>0</v>
      </c>
      <c r="D41" s="94">
        <v>0</v>
      </c>
      <c r="E41" s="252">
        <v>0</v>
      </c>
      <c r="F41" s="253">
        <v>0</v>
      </c>
      <c r="G41" s="254">
        <v>0</v>
      </c>
      <c r="H41" s="252">
        <v>0</v>
      </c>
      <c r="I41" s="253">
        <v>0</v>
      </c>
      <c r="J41" s="254">
        <v>0</v>
      </c>
      <c r="K41" s="252">
        <v>0</v>
      </c>
      <c r="L41" s="253">
        <v>0</v>
      </c>
      <c r="M41" s="254">
        <v>0</v>
      </c>
      <c r="N41" s="252">
        <v>0</v>
      </c>
      <c r="O41" s="253">
        <v>0</v>
      </c>
      <c r="P41" s="254">
        <v>0</v>
      </c>
      <c r="Q41" s="252">
        <v>0</v>
      </c>
      <c r="R41" s="251"/>
      <c r="S41" s="157">
        <f t="shared" si="3"/>
        <v>0</v>
      </c>
      <c r="T41" s="258">
        <v>0</v>
      </c>
      <c r="U41" s="258">
        <v>0</v>
      </c>
      <c r="V41" s="258">
        <v>0</v>
      </c>
      <c r="W41" s="258">
        <v>0</v>
      </c>
      <c r="X41" s="258">
        <v>0</v>
      </c>
      <c r="Y41" s="258">
        <v>0</v>
      </c>
      <c r="Z41" s="258">
        <v>0</v>
      </c>
      <c r="AA41" s="258">
        <v>0</v>
      </c>
      <c r="AB41" s="258">
        <v>0</v>
      </c>
      <c r="AC41" s="258">
        <v>0</v>
      </c>
      <c r="AD41" s="258">
        <v>0</v>
      </c>
      <c r="AE41" s="258">
        <v>0</v>
      </c>
      <c r="AF41" s="258">
        <v>0</v>
      </c>
      <c r="AG41" s="258">
        <v>0</v>
      </c>
      <c r="AH41" s="258">
        <v>0</v>
      </c>
      <c r="AI41" s="251"/>
      <c r="AJ41" s="157">
        <f t="shared" si="4"/>
        <v>0</v>
      </c>
      <c r="AK41" s="87" t="str">
        <f t="shared" si="0"/>
        <v>N/A</v>
      </c>
      <c r="AL41" s="87" t="e">
        <f t="shared" si="1"/>
        <v>#DIV/0!</v>
      </c>
      <c r="AM41" s="88">
        <f t="shared" si="5"/>
        <v>0</v>
      </c>
      <c r="AN41" s="152"/>
      <c r="AO41" s="152"/>
      <c r="AP41" s="152"/>
    </row>
    <row r="42" spans="2:43" ht="16" thickBot="1" x14ac:dyDescent="0.25">
      <c r="B42" s="117">
        <v>0</v>
      </c>
      <c r="C42" s="224">
        <v>0</v>
      </c>
      <c r="D42" s="94">
        <v>0</v>
      </c>
      <c r="E42" s="252">
        <v>0</v>
      </c>
      <c r="F42" s="253">
        <v>0</v>
      </c>
      <c r="G42" s="254">
        <v>0</v>
      </c>
      <c r="H42" s="252">
        <v>0</v>
      </c>
      <c r="I42" s="253">
        <v>0</v>
      </c>
      <c r="J42" s="254">
        <v>0</v>
      </c>
      <c r="K42" s="252">
        <v>0</v>
      </c>
      <c r="L42" s="253">
        <v>0</v>
      </c>
      <c r="M42" s="254">
        <v>0</v>
      </c>
      <c r="N42" s="252">
        <v>0</v>
      </c>
      <c r="O42" s="253">
        <v>0</v>
      </c>
      <c r="P42" s="254">
        <v>0</v>
      </c>
      <c r="Q42" s="252">
        <v>0</v>
      </c>
      <c r="R42" s="251"/>
      <c r="S42" s="157">
        <f t="shared" si="3"/>
        <v>0</v>
      </c>
      <c r="T42" s="258">
        <v>0</v>
      </c>
      <c r="U42" s="258">
        <v>0</v>
      </c>
      <c r="V42" s="258">
        <v>0</v>
      </c>
      <c r="W42" s="258">
        <v>0</v>
      </c>
      <c r="X42" s="258">
        <v>0</v>
      </c>
      <c r="Y42" s="258">
        <v>0</v>
      </c>
      <c r="Z42" s="258">
        <v>0</v>
      </c>
      <c r="AA42" s="258">
        <v>0</v>
      </c>
      <c r="AB42" s="258">
        <v>0</v>
      </c>
      <c r="AC42" s="258">
        <v>0</v>
      </c>
      <c r="AD42" s="258">
        <v>0</v>
      </c>
      <c r="AE42" s="258">
        <v>0</v>
      </c>
      <c r="AF42" s="258">
        <v>0</v>
      </c>
      <c r="AG42" s="258">
        <v>0</v>
      </c>
      <c r="AH42" s="258">
        <v>0</v>
      </c>
      <c r="AI42" s="251"/>
      <c r="AJ42" s="157">
        <f t="shared" si="4"/>
        <v>0</v>
      </c>
      <c r="AK42" s="87" t="str">
        <f t="shared" si="0"/>
        <v>N/A</v>
      </c>
      <c r="AL42" s="87" t="e">
        <f t="shared" si="1"/>
        <v>#DIV/0!</v>
      </c>
      <c r="AM42" s="88">
        <f t="shared" si="5"/>
        <v>0</v>
      </c>
      <c r="AN42" s="152"/>
      <c r="AO42" s="152"/>
      <c r="AP42" s="152"/>
    </row>
    <row r="43" spans="2:43" ht="16" thickBot="1" x14ac:dyDescent="0.25">
      <c r="B43" s="117">
        <v>0</v>
      </c>
      <c r="C43" s="224">
        <v>0</v>
      </c>
      <c r="D43" s="94">
        <v>0</v>
      </c>
      <c r="E43" s="252">
        <v>0</v>
      </c>
      <c r="F43" s="253">
        <v>0</v>
      </c>
      <c r="G43" s="254">
        <v>0</v>
      </c>
      <c r="H43" s="252">
        <v>0</v>
      </c>
      <c r="I43" s="253">
        <v>0</v>
      </c>
      <c r="J43" s="254">
        <v>0</v>
      </c>
      <c r="K43" s="252">
        <v>0</v>
      </c>
      <c r="L43" s="253">
        <v>0</v>
      </c>
      <c r="M43" s="254">
        <v>0</v>
      </c>
      <c r="N43" s="252">
        <v>0</v>
      </c>
      <c r="O43" s="253">
        <v>0</v>
      </c>
      <c r="P43" s="254">
        <v>0</v>
      </c>
      <c r="Q43" s="252">
        <v>0</v>
      </c>
      <c r="R43" s="251"/>
      <c r="S43" s="157">
        <f t="shared" si="3"/>
        <v>0</v>
      </c>
      <c r="T43" s="258">
        <v>0</v>
      </c>
      <c r="U43" s="258">
        <v>0</v>
      </c>
      <c r="V43" s="258">
        <v>0</v>
      </c>
      <c r="W43" s="258">
        <v>0</v>
      </c>
      <c r="X43" s="258">
        <v>0</v>
      </c>
      <c r="Y43" s="258">
        <v>0</v>
      </c>
      <c r="Z43" s="258">
        <v>0</v>
      </c>
      <c r="AA43" s="258">
        <v>0</v>
      </c>
      <c r="AB43" s="258">
        <v>0</v>
      </c>
      <c r="AC43" s="258">
        <v>0</v>
      </c>
      <c r="AD43" s="258">
        <v>0</v>
      </c>
      <c r="AE43" s="258">
        <v>0</v>
      </c>
      <c r="AF43" s="258">
        <v>0</v>
      </c>
      <c r="AG43" s="258">
        <v>0</v>
      </c>
      <c r="AH43" s="258">
        <v>0</v>
      </c>
      <c r="AI43" s="251"/>
      <c r="AJ43" s="157">
        <f t="shared" si="4"/>
        <v>0</v>
      </c>
      <c r="AK43" s="87" t="str">
        <f t="shared" si="0"/>
        <v>N/A</v>
      </c>
      <c r="AL43" s="87" t="e">
        <f t="shared" si="1"/>
        <v>#DIV/0!</v>
      </c>
      <c r="AM43" s="88">
        <f t="shared" si="5"/>
        <v>0</v>
      </c>
      <c r="AN43" s="152"/>
      <c r="AO43" s="152"/>
      <c r="AP43" s="152"/>
    </row>
    <row r="44" spans="2:43" ht="16" thickBot="1" x14ac:dyDescent="0.25">
      <c r="B44" s="117">
        <v>0</v>
      </c>
      <c r="C44" s="224">
        <v>0</v>
      </c>
      <c r="D44" s="94">
        <v>0</v>
      </c>
      <c r="E44" s="252">
        <v>0</v>
      </c>
      <c r="F44" s="253">
        <v>0</v>
      </c>
      <c r="G44" s="254">
        <v>0</v>
      </c>
      <c r="H44" s="252">
        <v>0</v>
      </c>
      <c r="I44" s="253">
        <v>0</v>
      </c>
      <c r="J44" s="254">
        <v>0</v>
      </c>
      <c r="K44" s="252">
        <v>0</v>
      </c>
      <c r="L44" s="253">
        <v>0</v>
      </c>
      <c r="M44" s="254">
        <v>0</v>
      </c>
      <c r="N44" s="252">
        <v>0</v>
      </c>
      <c r="O44" s="253">
        <v>0</v>
      </c>
      <c r="P44" s="254">
        <v>0</v>
      </c>
      <c r="Q44" s="252">
        <v>0</v>
      </c>
      <c r="R44" s="251"/>
      <c r="S44" s="157">
        <f t="shared" si="3"/>
        <v>0</v>
      </c>
      <c r="T44" s="258">
        <v>0</v>
      </c>
      <c r="U44" s="258">
        <v>0</v>
      </c>
      <c r="V44" s="258">
        <v>0</v>
      </c>
      <c r="W44" s="258">
        <v>0</v>
      </c>
      <c r="X44" s="258">
        <v>0</v>
      </c>
      <c r="Y44" s="258">
        <v>0</v>
      </c>
      <c r="Z44" s="258">
        <v>0</v>
      </c>
      <c r="AA44" s="258">
        <v>0</v>
      </c>
      <c r="AB44" s="258">
        <v>0</v>
      </c>
      <c r="AC44" s="258">
        <v>0</v>
      </c>
      <c r="AD44" s="258">
        <v>0</v>
      </c>
      <c r="AE44" s="258">
        <v>0</v>
      </c>
      <c r="AF44" s="258">
        <v>0</v>
      </c>
      <c r="AG44" s="258">
        <v>0</v>
      </c>
      <c r="AH44" s="258">
        <v>0</v>
      </c>
      <c r="AI44" s="251"/>
      <c r="AJ44" s="157">
        <f t="shared" si="4"/>
        <v>0</v>
      </c>
      <c r="AK44" s="87" t="str">
        <f t="shared" si="0"/>
        <v>N/A</v>
      </c>
      <c r="AL44" s="87" t="e">
        <f t="shared" si="1"/>
        <v>#DIV/0!</v>
      </c>
      <c r="AM44" s="88">
        <f t="shared" si="5"/>
        <v>0</v>
      </c>
      <c r="AN44" s="152"/>
      <c r="AO44" s="152"/>
      <c r="AP44" s="152"/>
    </row>
    <row r="45" spans="2:43" ht="20" thickBot="1" x14ac:dyDescent="0.25">
      <c r="B45" s="117">
        <v>0</v>
      </c>
      <c r="C45" s="224">
        <v>0</v>
      </c>
      <c r="D45" s="94">
        <v>0</v>
      </c>
      <c r="E45" s="252">
        <v>0</v>
      </c>
      <c r="F45" s="253">
        <v>0</v>
      </c>
      <c r="G45" s="254">
        <v>0</v>
      </c>
      <c r="H45" s="252">
        <v>0</v>
      </c>
      <c r="I45" s="253">
        <v>0</v>
      </c>
      <c r="J45" s="254">
        <v>0</v>
      </c>
      <c r="K45" s="252">
        <v>0</v>
      </c>
      <c r="L45" s="253">
        <v>0</v>
      </c>
      <c r="M45" s="254">
        <v>0</v>
      </c>
      <c r="N45" s="252">
        <v>0</v>
      </c>
      <c r="O45" s="253">
        <v>0</v>
      </c>
      <c r="P45" s="254">
        <v>0</v>
      </c>
      <c r="Q45" s="252">
        <v>0</v>
      </c>
      <c r="R45" s="251"/>
      <c r="S45" s="157">
        <f t="shared" si="3"/>
        <v>0</v>
      </c>
      <c r="T45" s="258">
        <v>0</v>
      </c>
      <c r="U45" s="258">
        <v>0</v>
      </c>
      <c r="V45" s="258">
        <v>0</v>
      </c>
      <c r="W45" s="258">
        <v>0</v>
      </c>
      <c r="X45" s="258">
        <v>0</v>
      </c>
      <c r="Y45" s="258">
        <v>0</v>
      </c>
      <c r="Z45" s="258">
        <v>0</v>
      </c>
      <c r="AA45" s="258">
        <v>0</v>
      </c>
      <c r="AB45" s="258">
        <v>0</v>
      </c>
      <c r="AC45" s="258">
        <v>0</v>
      </c>
      <c r="AD45" s="258">
        <v>0</v>
      </c>
      <c r="AE45" s="258">
        <v>0</v>
      </c>
      <c r="AF45" s="258">
        <v>0</v>
      </c>
      <c r="AG45" s="258">
        <v>0</v>
      </c>
      <c r="AH45" s="258">
        <v>0</v>
      </c>
      <c r="AI45" s="251"/>
      <c r="AJ45" s="157">
        <f t="shared" si="4"/>
        <v>0</v>
      </c>
      <c r="AK45" s="87" t="str">
        <f t="shared" si="0"/>
        <v>N/A</v>
      </c>
      <c r="AL45" s="87" t="e">
        <f t="shared" si="1"/>
        <v>#DIV/0!</v>
      </c>
      <c r="AM45" s="88">
        <f t="shared" si="5"/>
        <v>0</v>
      </c>
      <c r="AN45" s="152"/>
      <c r="AO45" s="456" t="s">
        <v>240</v>
      </c>
      <c r="AP45" s="457"/>
    </row>
    <row r="46" spans="2:43" ht="17" thickBot="1" x14ac:dyDescent="0.25">
      <c r="B46" s="117">
        <v>0</v>
      </c>
      <c r="C46" s="224">
        <v>0</v>
      </c>
      <c r="D46" s="94">
        <v>0</v>
      </c>
      <c r="E46" s="252">
        <v>0</v>
      </c>
      <c r="F46" s="253">
        <v>0</v>
      </c>
      <c r="G46" s="254">
        <v>0</v>
      </c>
      <c r="H46" s="252">
        <v>0</v>
      </c>
      <c r="I46" s="253">
        <v>0</v>
      </c>
      <c r="J46" s="254">
        <v>0</v>
      </c>
      <c r="K46" s="252">
        <v>0</v>
      </c>
      <c r="L46" s="253">
        <v>0</v>
      </c>
      <c r="M46" s="254">
        <v>0</v>
      </c>
      <c r="N46" s="252">
        <v>0</v>
      </c>
      <c r="O46" s="253">
        <v>0</v>
      </c>
      <c r="P46" s="254">
        <v>0</v>
      </c>
      <c r="Q46" s="252">
        <v>0</v>
      </c>
      <c r="R46" s="251"/>
      <c r="S46" s="157">
        <f t="shared" si="3"/>
        <v>0</v>
      </c>
      <c r="T46" s="258">
        <v>0</v>
      </c>
      <c r="U46" s="258">
        <v>0</v>
      </c>
      <c r="V46" s="258">
        <v>0</v>
      </c>
      <c r="W46" s="258">
        <v>0</v>
      </c>
      <c r="X46" s="258">
        <v>0</v>
      </c>
      <c r="Y46" s="258">
        <v>0</v>
      </c>
      <c r="Z46" s="258">
        <v>0</v>
      </c>
      <c r="AA46" s="258">
        <v>0</v>
      </c>
      <c r="AB46" s="258">
        <v>0</v>
      </c>
      <c r="AC46" s="258">
        <v>0</v>
      </c>
      <c r="AD46" s="258">
        <v>0</v>
      </c>
      <c r="AE46" s="258">
        <v>0</v>
      </c>
      <c r="AF46" s="258">
        <v>0</v>
      </c>
      <c r="AG46" s="258">
        <v>0</v>
      </c>
      <c r="AH46" s="258">
        <v>0</v>
      </c>
      <c r="AI46" s="251"/>
      <c r="AJ46" s="157">
        <f t="shared" si="4"/>
        <v>0</v>
      </c>
      <c r="AK46" s="87" t="str">
        <f t="shared" si="0"/>
        <v>N/A</v>
      </c>
      <c r="AL46" s="87" t="e">
        <f t="shared" si="1"/>
        <v>#DIV/0!</v>
      </c>
      <c r="AM46" s="88">
        <f t="shared" si="5"/>
        <v>0</v>
      </c>
      <c r="AN46" s="152"/>
      <c r="AO46" s="159" t="s">
        <v>238</v>
      </c>
      <c r="AP46" s="160" t="s">
        <v>196</v>
      </c>
    </row>
    <row r="47" spans="2:43" ht="16" thickBot="1" x14ac:dyDescent="0.25">
      <c r="B47" s="117">
        <v>0</v>
      </c>
      <c r="C47" s="225">
        <v>0</v>
      </c>
      <c r="D47" s="248">
        <v>0</v>
      </c>
      <c r="E47" s="255">
        <v>0</v>
      </c>
      <c r="F47" s="256">
        <v>0</v>
      </c>
      <c r="G47" s="257">
        <v>0</v>
      </c>
      <c r="H47" s="255">
        <v>0</v>
      </c>
      <c r="I47" s="256">
        <v>0</v>
      </c>
      <c r="J47" s="257">
        <v>0</v>
      </c>
      <c r="K47" s="255">
        <v>0</v>
      </c>
      <c r="L47" s="256">
        <v>0</v>
      </c>
      <c r="M47" s="257">
        <v>0</v>
      </c>
      <c r="N47" s="255">
        <v>0</v>
      </c>
      <c r="O47" s="256">
        <v>0</v>
      </c>
      <c r="P47" s="257">
        <v>0</v>
      </c>
      <c r="Q47" s="255">
        <v>0</v>
      </c>
      <c r="R47" s="251"/>
      <c r="S47" s="157">
        <f t="shared" si="3"/>
        <v>0</v>
      </c>
      <c r="T47" s="258">
        <v>0</v>
      </c>
      <c r="U47" s="258">
        <v>0</v>
      </c>
      <c r="V47" s="258">
        <v>0</v>
      </c>
      <c r="W47" s="258">
        <v>0</v>
      </c>
      <c r="X47" s="258">
        <v>0</v>
      </c>
      <c r="Y47" s="258">
        <v>0</v>
      </c>
      <c r="Z47" s="258">
        <v>0</v>
      </c>
      <c r="AA47" s="258">
        <v>0</v>
      </c>
      <c r="AB47" s="258">
        <v>0</v>
      </c>
      <c r="AC47" s="258">
        <v>0</v>
      </c>
      <c r="AD47" s="258">
        <v>0</v>
      </c>
      <c r="AE47" s="258">
        <v>0</v>
      </c>
      <c r="AF47" s="258">
        <v>0</v>
      </c>
      <c r="AG47" s="258">
        <v>0</v>
      </c>
      <c r="AH47" s="258">
        <v>0</v>
      </c>
      <c r="AI47" s="251"/>
      <c r="AJ47" s="157">
        <f t="shared" si="4"/>
        <v>0</v>
      </c>
      <c r="AK47" s="87" t="str">
        <f t="shared" si="0"/>
        <v>N/A</v>
      </c>
      <c r="AL47" s="87" t="e">
        <f t="shared" si="1"/>
        <v>#DIV/0!</v>
      </c>
      <c r="AM47" s="88">
        <f t="shared" si="5"/>
        <v>0</v>
      </c>
      <c r="AN47" s="152"/>
      <c r="AO47" s="180" t="str">
        <f>IF(AP47&lt;0,"Rabais",IF(AP47&gt;0,"Bonus","Ni rabais ni bonus"))</f>
        <v>Ni rabais ni bonus</v>
      </c>
      <c r="AP47" s="179" cm="1">
        <f t="array" ref="AP47">IF(AND(EXACT(AM31:AM47,"N/A")),"N/A",MEDIAN(IF(ISNUMBER(AI31:AI47),AM31:AM47)))</f>
        <v>0</v>
      </c>
      <c r="AQ47" s="152"/>
    </row>
    <row r="48" spans="2:43" x14ac:dyDescent="0.2">
      <c r="B48" s="482">
        <f>(1.2*C31+1.5*C32+2.9*C34+2*C35+1.4*C36+0*C37+0*C38+2.65*C39+0*C40)/(SUM(C31:C40))</f>
        <v>1.3917514817085634</v>
      </c>
      <c r="C48" s="482">
        <f>(2*C31+3*C32+0.5*C34+0.2*C35+1.6*C36+0*C37+0*C38+0.19*C39+0*C40)/(SUM(C31:C40))</f>
        <v>0.86734518700183938</v>
      </c>
      <c r="D48" s="3"/>
      <c r="E48" s="3"/>
      <c r="F48" s="482">
        <f>(1.2*F31+1.5*F32+2.9*F34+2*F35+1.4*F36+0*F37+0*F38+2.65*F39+0*F40)/(SUM(F31:F40))</f>
        <v>1.0141363207312832</v>
      </c>
      <c r="G48" s="482">
        <f>(2*F31+3*F32+0.5*F34+0.2*F35+1.6*F36+0*F37+0*F38+0.19*F39+0*F40)/(SUM(F31:F40))</f>
        <v>0.47181529137065925</v>
      </c>
      <c r="H48" s="3"/>
      <c r="I48" s="482">
        <f>(1.2*I31+1.5*I32+2.9*I34+2*I35+1.4*I36+0*I37+0*I38+2.65*I39+0*I40)/(SUM(I31:I40))</f>
        <v>1.0239092291496081</v>
      </c>
      <c r="J48" s="482">
        <f>(2*I31+3*I32+0.5*I34+0.2*I35+1.6*I36+0*I37+0*I38+0.19*I39+0*I40)/(SUM(I31:I40))</f>
        <v>0.28785822903263542</v>
      </c>
      <c r="K48" s="3"/>
      <c r="L48" s="482">
        <f>(1.2*L31+1.5*L32+2.9*L34+2*L35+1.4*L36+0*L37+0*L38+2.65*L39+0*L40)/(SUM(L31:L40))</f>
        <v>0.86172591234399942</v>
      </c>
      <c r="M48" s="482">
        <f>(2*L31+3*L32+0.5*L34+0.2*L35+1.6*L36+0*L37+0*L38+0.19*L39+0*L40)/(SUM(L31:L40))</f>
        <v>0.25784586266043646</v>
      </c>
      <c r="N48" s="3"/>
      <c r="O48" s="482">
        <f>(1.2*O31+1.5*O32+2.9*O34+2*O35+1.4*O36+0*O37+0*O38+2.65*O39+0*O40)/(SUM(O31:O40))</f>
        <v>0.9257590826654184</v>
      </c>
      <c r="P48" s="482">
        <f>(2*O31+3*O32+0.5*O34+0.2*O35+1.6*O36+0*O37+0*O38+0.19*O39+0*O40)/(SUM(O31:O40))</f>
        <v>0.24632305622184519</v>
      </c>
      <c r="R48" s="83"/>
      <c r="AN48" s="152"/>
      <c r="AO48" s="152"/>
      <c r="AP48" s="152"/>
      <c r="AQ48" s="152"/>
    </row>
    <row r="49" spans="2:43" ht="15" customHeight="1" x14ac:dyDescent="0.2">
      <c r="AI49" s="154"/>
      <c r="AJ49" s="154"/>
      <c r="AN49" s="152"/>
      <c r="AO49" s="152"/>
      <c r="AP49" s="152"/>
      <c r="AQ49" s="152"/>
    </row>
    <row r="50" spans="2:43" x14ac:dyDescent="0.2">
      <c r="B50" s="404" t="s">
        <v>204</v>
      </c>
      <c r="C50" s="404"/>
      <c r="D50" s="404"/>
      <c r="E50" s="404"/>
      <c r="F50" s="404"/>
      <c r="G50" s="404"/>
      <c r="H50" s="404"/>
      <c r="I50" s="404"/>
      <c r="J50" s="404"/>
      <c r="K50" s="404"/>
      <c r="L50" s="404"/>
    </row>
    <row r="51" spans="2:43" ht="15" customHeight="1" x14ac:dyDescent="0.2">
      <c r="B51" s="404"/>
      <c r="C51" s="404"/>
      <c r="D51" s="404"/>
      <c r="E51" s="404"/>
      <c r="F51" s="404"/>
      <c r="G51" s="404"/>
      <c r="H51" s="404"/>
      <c r="I51" s="404"/>
      <c r="J51" s="404"/>
      <c r="K51" s="404"/>
      <c r="L51" s="404"/>
    </row>
    <row r="52" spans="2:43" ht="16" thickBot="1" x14ac:dyDescent="0.25">
      <c r="B52" s="84" t="s">
        <v>188</v>
      </c>
      <c r="C52" s="85"/>
      <c r="D52" s="85"/>
      <c r="E52" s="85"/>
    </row>
    <row r="53" spans="2:43" ht="75" customHeight="1" thickBot="1" x14ac:dyDescent="0.25">
      <c r="B53" s="12" t="s">
        <v>189</v>
      </c>
      <c r="C53" s="55" t="s">
        <v>205</v>
      </c>
      <c r="D53" s="55" t="s">
        <v>206</v>
      </c>
      <c r="E53" s="55" t="s">
        <v>207</v>
      </c>
      <c r="I53" s="187" t="s">
        <v>238</v>
      </c>
      <c r="J53" s="188" t="s">
        <v>196</v>
      </c>
    </row>
    <row r="54" spans="2:43" ht="16" thickBot="1" x14ac:dyDescent="0.25">
      <c r="B54" s="2" t="s">
        <v>78</v>
      </c>
      <c r="C54" s="89">
        <v>16.2</v>
      </c>
      <c r="D54" s="90">
        <v>0</v>
      </c>
      <c r="E54" s="90">
        <v>0</v>
      </c>
      <c r="I54" s="166" t="str">
        <f>IF(OR(C58-C54&lt;0,D58-D54&lt;0,E58-E54&lt;0),"Rabais",IF(AND(C58=C54, D58=D54, E58=E54),"Ni rabais ni bonus", "Bonus"))</f>
        <v>Ni rabais ni bonus</v>
      </c>
      <c r="J54" s="167">
        <f>SUM(IF(OR(C58-C54&lt;0,D58-D54&lt;0,E58-E54&lt;0),-0.3,),IF(OR(C58-C54&gt;0,D58-D54&gt;0,E58-E54&gt;0),0.1))</f>
        <v>0</v>
      </c>
    </row>
    <row r="56" spans="2:43" x14ac:dyDescent="0.2">
      <c r="B56" s="84" t="s">
        <v>209</v>
      </c>
      <c r="C56" s="85"/>
      <c r="D56" s="85"/>
      <c r="E56" s="85"/>
      <c r="I56" s="86"/>
    </row>
    <row r="57" spans="2:43" ht="75.75" customHeight="1" x14ac:dyDescent="0.2">
      <c r="B57" s="12" t="s">
        <v>189</v>
      </c>
      <c r="C57" s="55" t="s">
        <v>205</v>
      </c>
      <c r="D57" s="55" t="s">
        <v>206</v>
      </c>
      <c r="E57" s="55" t="s">
        <v>207</v>
      </c>
      <c r="K57" s="175"/>
    </row>
    <row r="58" spans="2:43" x14ac:dyDescent="0.2">
      <c r="B58" s="2" t="s">
        <v>186</v>
      </c>
      <c r="C58" s="90">
        <v>16.2</v>
      </c>
      <c r="D58" s="90">
        <v>0</v>
      </c>
      <c r="E58" s="90">
        <v>0</v>
      </c>
    </row>
    <row r="60" spans="2:43" x14ac:dyDescent="0.2">
      <c r="O60" s="477" t="s">
        <v>196</v>
      </c>
    </row>
    <row r="61" spans="2:43" ht="14.5" customHeight="1" x14ac:dyDescent="0.2">
      <c r="B61" s="479" t="s">
        <v>250</v>
      </c>
      <c r="C61" s="479"/>
      <c r="D61" s="479"/>
      <c r="E61" s="479"/>
      <c r="F61" s="479"/>
      <c r="G61" s="479"/>
      <c r="H61" s="479"/>
      <c r="I61" s="479"/>
      <c r="J61" s="479"/>
      <c r="K61" s="479"/>
      <c r="L61" s="222"/>
      <c r="O61" s="477"/>
    </row>
    <row r="62" spans="2:43" ht="14.5" customHeight="1" thickBot="1" x14ac:dyDescent="0.25">
      <c r="B62" s="479"/>
      <c r="C62" s="479"/>
      <c r="D62" s="479"/>
      <c r="E62" s="479"/>
      <c r="F62" s="479"/>
      <c r="G62" s="479"/>
      <c r="H62" s="479"/>
      <c r="I62" s="479"/>
      <c r="J62" s="479"/>
      <c r="K62" s="479"/>
      <c r="L62" s="222"/>
      <c r="M62" t="s">
        <v>210</v>
      </c>
      <c r="O62" s="478"/>
    </row>
    <row r="63" spans="2:43" ht="16" thickBot="1" x14ac:dyDescent="0.25"/>
    <row r="64" spans="2:43" ht="16" thickBot="1" x14ac:dyDescent="0.25">
      <c r="B64" t="s">
        <v>211</v>
      </c>
      <c r="M64" s="118" t="s">
        <v>182</v>
      </c>
      <c r="O64" s="167">
        <f>IF(M64="O",-0.2,0)</f>
        <v>0</v>
      </c>
    </row>
    <row r="65" spans="2:17" ht="16" thickBot="1" x14ac:dyDescent="0.25"/>
    <row r="66" spans="2:17" ht="16" thickBot="1" x14ac:dyDescent="0.25">
      <c r="B66" t="s">
        <v>212</v>
      </c>
      <c r="M66" s="118" t="s">
        <v>182</v>
      </c>
      <c r="O66" s="167">
        <f>IF(M66="O",-0.2,0)</f>
        <v>0</v>
      </c>
    </row>
    <row r="71" spans="2:17" x14ac:dyDescent="0.2">
      <c r="B71" s="476" t="s">
        <v>242</v>
      </c>
      <c r="C71" s="476"/>
      <c r="D71" s="476"/>
      <c r="E71" s="476"/>
      <c r="F71" s="476"/>
      <c r="G71" s="476"/>
      <c r="H71" s="476"/>
      <c r="I71" s="476"/>
      <c r="J71" s="476"/>
      <c r="K71" s="476"/>
      <c r="L71" s="476"/>
      <c r="M71" s="476"/>
      <c r="N71" s="476"/>
      <c r="O71" s="476"/>
      <c r="P71" s="476"/>
      <c r="Q71" s="476"/>
    </row>
    <row r="72" spans="2:17" x14ac:dyDescent="0.2">
      <c r="B72" s="476"/>
      <c r="C72" s="476"/>
      <c r="D72" s="476"/>
      <c r="E72" s="476"/>
      <c r="F72" s="476"/>
      <c r="G72" s="476"/>
      <c r="H72" s="476"/>
      <c r="I72" s="476"/>
      <c r="J72" s="476"/>
      <c r="K72" s="476"/>
      <c r="L72" s="476"/>
      <c r="M72" s="476"/>
      <c r="N72" s="476"/>
      <c r="O72" s="476"/>
      <c r="P72" s="476"/>
      <c r="Q72" s="476"/>
    </row>
    <row r="73" spans="2:17" ht="16" thickBot="1" x14ac:dyDescent="0.25"/>
    <row r="74" spans="2:17" ht="81" customHeight="1" thickBot="1" x14ac:dyDescent="0.25">
      <c r="C74" s="168" t="s">
        <v>208</v>
      </c>
      <c r="D74" s="168" t="s">
        <v>196</v>
      </c>
    </row>
    <row r="75" spans="2:17" ht="16" thickBot="1" x14ac:dyDescent="0.25">
      <c r="C75" s="169" t="str">
        <f>IF(D75&gt;0, "Bonus", IF(D75&lt;0,"Rabais","Ni rabais ni bonus"))</f>
        <v>Ni rabais ni bonus</v>
      </c>
      <c r="D75" s="170">
        <f>(IF('SUIVI RABAIS PRODUCTION ET C '!$AO$21&lt;&gt;"Ni rabais ni bonus",'SUIVI RABAIS PRODUCTION ET C '!$AP$21,0)+IF('SUIVI RABAIS PRODUCTION ET C '!$I$54&lt;&gt;"Ni rabais ni bonus",'SUIVI RABAIS PRODUCTION ET C '!$J$54,0))+IF('SUIVI RABAIS PRODUCTION ET C '!$O$64&lt;&gt;"/",'SUIVI RABAIS PRODUCTION ET C '!$O$64,0)+IF('SUIVI RABAIS PRODUCTION ET C '!$O$66&lt;&gt;"/",'SUIVI RABAIS PRODUCTION ET C '!$O$66,0)</f>
        <v>0</v>
      </c>
    </row>
  </sheetData>
  <mergeCells count="16">
    <mergeCell ref="B71:Q72"/>
    <mergeCell ref="O60:O62"/>
    <mergeCell ref="B61:K62"/>
    <mergeCell ref="B13:X13"/>
    <mergeCell ref="B1:K2"/>
    <mergeCell ref="B50:L51"/>
    <mergeCell ref="AO45:AP45"/>
    <mergeCell ref="AO19:AP19"/>
    <mergeCell ref="B5:X5"/>
    <mergeCell ref="R28:R30"/>
    <mergeCell ref="AI28:AI30"/>
    <mergeCell ref="AK28:AK30"/>
    <mergeCell ref="AL28:AL30"/>
    <mergeCell ref="AM28:AM30"/>
    <mergeCell ref="B27:X27"/>
    <mergeCell ref="Y19:Z19"/>
  </mergeCells>
  <phoneticPr fontId="9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C7E1CFF655280409104242688CE3B2D" ma:contentTypeVersion="13" ma:contentTypeDescription="Crée un document." ma:contentTypeScope="" ma:versionID="792364781e639db0c3fd8a3e19491110">
  <xsd:schema xmlns:xsd="http://www.w3.org/2001/XMLSchema" xmlns:xs="http://www.w3.org/2001/XMLSchema" xmlns:p="http://schemas.microsoft.com/office/2006/metadata/properties" xmlns:ns2="533bd3a5-63dc-4f73-ab10-5e645ea71d0d" xmlns:ns3="fcfdd0da-70d5-4e44-8e63-13bdca559fcd" targetNamespace="http://schemas.microsoft.com/office/2006/metadata/properties" ma:root="true" ma:fieldsID="7673039263c7eb47a2c97b7f3d6d67b9" ns2:_="" ns3:_="">
    <xsd:import namespace="533bd3a5-63dc-4f73-ab10-5e645ea71d0d"/>
    <xsd:import namespace="fcfdd0da-70d5-4e44-8e63-13bdca559fc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3bd3a5-63dc-4f73-ab10-5e645ea71d0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fdd0da-70d5-4e44-8e63-13bdca559fc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4740440-02BC-43C7-B21F-BD2429B31A8C}">
  <ds:schemaRefs>
    <ds:schemaRef ds:uri="http://schemas.microsoft.com/office/2006/documentManagement/types"/>
    <ds:schemaRef ds:uri="http://schemas.microsoft.com/office/2006/metadata/properties"/>
    <ds:schemaRef ds:uri="533bd3a5-63dc-4f73-ab10-5e645ea71d0d"/>
    <ds:schemaRef ds:uri="http://www.w3.org/XML/1998/namespace"/>
    <ds:schemaRef ds:uri="http://purl.org/dc/terms/"/>
    <ds:schemaRef ds:uri="http://purl.org/dc/dcmitype/"/>
    <ds:schemaRef ds:uri="http://purl.org/dc/elements/1.1/"/>
    <ds:schemaRef ds:uri="http://schemas.microsoft.com/office/infopath/2007/PartnerControls"/>
    <ds:schemaRef ds:uri="fcfdd0da-70d5-4e44-8e63-13bdca559fcd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1205D080-67F9-4D64-8C3D-57EAE942227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3bd3a5-63dc-4f73-ab10-5e645ea71d0d"/>
    <ds:schemaRef ds:uri="fcfdd0da-70d5-4e44-8e63-13bdca559f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A384D0A-7235-410F-B088-4DC55096C7F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A LIRE</vt:lpstr>
      <vt:lpstr>RECAPITULATIF</vt:lpstr>
      <vt:lpstr>Unique</vt:lpstr>
      <vt:lpstr>GES AVANT NOTIFICATION</vt:lpstr>
      <vt:lpstr>GES APRES NOTIFICATION </vt:lpstr>
      <vt:lpstr>CO-BENEFICES </vt:lpstr>
      <vt:lpstr>SUIVI RABAIS PRODUCTION ET C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Mathilde Scheuer</dc:creator>
  <cp:keywords/>
  <dc:description/>
  <cp:lastModifiedBy>Antoine Gilbert</cp:lastModifiedBy>
  <cp:revision/>
  <cp:lastPrinted>2022-06-07T07:41:35Z</cp:lastPrinted>
  <dcterms:created xsi:type="dcterms:W3CDTF">2018-08-24T08:28:57Z</dcterms:created>
  <dcterms:modified xsi:type="dcterms:W3CDTF">2023-08-11T13:53:07Z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0x0101002C7E1CFF655280409104242688CE3B2D</vt:lpwstr>
  </property>
</Properties>
</file>