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5a802a7699259d/Documents/Dossiers sobac en cours montage/KREBS/DEPOT/"/>
    </mc:Choice>
  </mc:AlternateContent>
  <xr:revisionPtr revIDLastSave="15" documentId="13_ncr:1_{446B6482-9438-4CAA-BF07-E8C351874F86}" xr6:coauthVersionLast="47" xr6:coauthVersionMax="47" xr10:uidLastSave="{B9B1A717-6F46-4CBA-950A-2033E87DE6BE}"/>
  <bookViews>
    <workbookView xWindow="-120" yWindow="-16320" windowWidth="29040" windowHeight="15720" tabRatio="751" activeTab="5" xr2:uid="{00000000-000D-0000-FFFF-FFFF00000000}"/>
  </bookViews>
  <sheets>
    <sheet name="A LIRE" sheetId="5" r:id="rId1"/>
    <sheet name="RECAPITULATIF" sheetId="10" r:id="rId2"/>
    <sheet name="GES AVANT NOTIFICATION" sheetId="1" r:id="rId3"/>
    <sheet name="GES APRES NOTIFICATION " sheetId="9" r:id="rId4"/>
    <sheet name="CO-BENEFICES " sheetId="8" r:id="rId5"/>
    <sheet name="SUIVI RABAIS PRODUCTION ET C 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Q20" i="9" l="1"/>
  <c r="BQ21" i="9"/>
  <c r="BQ22" i="9"/>
  <c r="BQ23" i="9"/>
  <c r="BQ19" i="9"/>
  <c r="BQ20" i="1"/>
  <c r="BQ21" i="1"/>
  <c r="BQ22" i="1"/>
  <c r="BQ23" i="1"/>
  <c r="BQ19" i="1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31" i="4"/>
  <c r="J54" i="4"/>
  <c r="G31" i="10" s="1"/>
  <c r="O66" i="4"/>
  <c r="G29" i="10" s="1"/>
  <c r="O64" i="4"/>
  <c r="G28" i="10" s="1"/>
  <c r="E29" i="10"/>
  <c r="E28" i="10"/>
  <c r="I54" i="4" l="1"/>
  <c r="L22" i="8"/>
  <c r="E19" i="10" s="1"/>
  <c r="K17" i="8"/>
  <c r="J17" i="8"/>
  <c r="G17" i="8"/>
  <c r="F17" i="8"/>
  <c r="F19" i="10" l="1"/>
  <c r="G19" i="10"/>
  <c r="G11" i="8"/>
  <c r="S20" i="4" l="1"/>
  <c r="R20" i="4"/>
  <c r="Q20" i="4"/>
  <c r="P20" i="4"/>
  <c r="O20" i="4"/>
  <c r="T20" i="4" l="1" a="1"/>
  <c r="T20" i="4" s="1"/>
  <c r="F11" i="8" l="1"/>
  <c r="AK31" i="4" l="1"/>
  <c r="P19" i="4"/>
  <c r="Q19" i="4"/>
  <c r="R19" i="4"/>
  <c r="S19" i="4"/>
  <c r="P21" i="4"/>
  <c r="Q21" i="4"/>
  <c r="R21" i="4"/>
  <c r="S21" i="4"/>
  <c r="D21" i="4"/>
  <c r="D20" i="4" l="1"/>
  <c r="H20" i="4"/>
  <c r="O19" i="4"/>
  <c r="O21" i="4"/>
  <c r="E19" i="4"/>
  <c r="F19" i="4"/>
  <c r="G19" i="4"/>
  <c r="H19" i="4"/>
  <c r="E20" i="4"/>
  <c r="F20" i="4"/>
  <c r="G20" i="4"/>
  <c r="E21" i="4"/>
  <c r="F21" i="4"/>
  <c r="G21" i="4"/>
  <c r="H21" i="4"/>
  <c r="D19" i="4"/>
  <c r="I21" i="4" l="1" a="1"/>
  <c r="I21" i="4" s="1"/>
  <c r="T19" i="4"/>
  <c r="I20" i="4" a="1"/>
  <c r="I20" i="4" s="1"/>
  <c r="I19" i="4" a="1"/>
  <c r="I19" i="4" s="1"/>
  <c r="P15" i="8" l="1"/>
  <c r="M16" i="8" s="1"/>
  <c r="AB20" i="1"/>
  <c r="AB21" i="1" s="1"/>
  <c r="AB22" i="1" s="1"/>
  <c r="AB23" i="1" s="1"/>
  <c r="R19" i="8" l="1"/>
  <c r="P12" i="8" l="1"/>
  <c r="M13" i="8" l="1"/>
  <c r="R18" i="8"/>
  <c r="AL44" i="4"/>
  <c r="AL45" i="4"/>
  <c r="AL46" i="4"/>
  <c r="E20" i="10" l="1"/>
  <c r="F20" i="10" s="1"/>
  <c r="G20" i="10" s="1"/>
  <c r="E21" i="10"/>
  <c r="F21" i="10" s="1"/>
  <c r="G21" i="10" s="1"/>
  <c r="AJ39" i="4"/>
  <c r="AL39" i="4"/>
  <c r="AJ37" i="4"/>
  <c r="AJ36" i="4"/>
  <c r="AJ47" i="4"/>
  <c r="AL47" i="4"/>
  <c r="AK43" i="4"/>
  <c r="AL43" i="4"/>
  <c r="AJ42" i="4"/>
  <c r="AL42" i="4"/>
  <c r="AK41" i="4"/>
  <c r="AL41" i="4"/>
  <c r="AJ40" i="4"/>
  <c r="AL40" i="4"/>
  <c r="AJ41" i="4"/>
  <c r="AK40" i="4"/>
  <c r="T21" i="4"/>
  <c r="AK38" i="4"/>
  <c r="AJ43" i="4"/>
  <c r="AK45" i="4"/>
  <c r="AK37" i="4"/>
  <c r="AL37" i="4" s="1"/>
  <c r="AJ45" i="4"/>
  <c r="AK42" i="4"/>
  <c r="AJ46" i="4"/>
  <c r="AK47" i="4"/>
  <c r="AK39" i="4"/>
  <c r="AK46" i="4"/>
  <c r="AJ38" i="4"/>
  <c r="AK44" i="4"/>
  <c r="AK36" i="4"/>
  <c r="AL36" i="4" s="1"/>
  <c r="AJ44" i="4"/>
  <c r="AL38" i="4" l="1"/>
  <c r="U21" i="4"/>
  <c r="U20" i="4"/>
  <c r="V21" i="4"/>
  <c r="V20" i="4"/>
  <c r="U19" i="4" l="1"/>
  <c r="V19" i="4"/>
  <c r="W19" i="4" s="1"/>
  <c r="W21" i="4"/>
  <c r="W20" i="4"/>
  <c r="Z21" i="4" s="1" a="1"/>
  <c r="Z21" i="4" s="1"/>
  <c r="Y21" i="4" l="1"/>
  <c r="H62" i="1"/>
  <c r="DC19" i="1" l="1"/>
  <c r="Y31" i="1" s="1"/>
  <c r="G19" i="1" l="1"/>
  <c r="G19" i="9"/>
  <c r="G20" i="1" l="1"/>
  <c r="G21" i="1"/>
  <c r="G20" i="9"/>
  <c r="G21" i="9" l="1"/>
  <c r="G23" i="1"/>
  <c r="I23" i="1" s="1"/>
  <c r="D35" i="1" s="1"/>
  <c r="G22" i="1"/>
  <c r="G22" i="9" l="1"/>
  <c r="G23" i="9"/>
  <c r="DE19" i="1" l="1"/>
  <c r="Z31" i="1" s="1"/>
  <c r="DG19" i="1"/>
  <c r="AA31" i="1" s="1"/>
  <c r="DI19" i="1"/>
  <c r="AB31" i="1" s="1"/>
  <c r="DE20" i="1"/>
  <c r="Z32" i="1" s="1"/>
  <c r="DG20" i="1"/>
  <c r="AA32" i="1" s="1"/>
  <c r="DI20" i="1"/>
  <c r="AB32" i="1" s="1"/>
  <c r="DE21" i="1"/>
  <c r="Z33" i="1" s="1"/>
  <c r="DG21" i="1"/>
  <c r="AA33" i="1" s="1"/>
  <c r="DI21" i="1"/>
  <c r="AB33" i="1" s="1"/>
  <c r="DE22" i="1"/>
  <c r="Z34" i="1" s="1"/>
  <c r="DG22" i="1"/>
  <c r="AA34" i="1" s="1"/>
  <c r="DI22" i="1"/>
  <c r="AB34" i="1" s="1"/>
  <c r="DE23" i="1"/>
  <c r="Z35" i="1" s="1"/>
  <c r="DG23" i="1"/>
  <c r="AA35" i="1" s="1"/>
  <c r="DI23" i="1"/>
  <c r="AB35" i="1" s="1"/>
  <c r="AJ35" i="4" l="1"/>
  <c r="AK35" i="4"/>
  <c r="AL35" i="4" s="1"/>
  <c r="AJ34" i="4"/>
  <c r="AK34" i="4"/>
  <c r="AL34" i="4" s="1"/>
  <c r="AK32" i="4"/>
  <c r="AJ32" i="4"/>
  <c r="AJ33" i="4"/>
  <c r="AK33" i="4"/>
  <c r="AL33" i="4" s="1"/>
  <c r="DC20" i="9"/>
  <c r="I50" i="9"/>
  <c r="I52" i="9"/>
  <c r="I53" i="9"/>
  <c r="DC21" i="9"/>
  <c r="DC22" i="9"/>
  <c r="Y34" i="9" s="1"/>
  <c r="DC23" i="9"/>
  <c r="DC19" i="9"/>
  <c r="C19" i="1"/>
  <c r="E19" i="1" s="1"/>
  <c r="C31" i="1" s="1"/>
  <c r="I19" i="1"/>
  <c r="D31" i="1" s="1"/>
  <c r="K19" i="1"/>
  <c r="M19" i="1" s="1"/>
  <c r="O19" i="1"/>
  <c r="Q19" i="1" s="1"/>
  <c r="S19" i="1"/>
  <c r="W19" i="1"/>
  <c r="BB19" i="1"/>
  <c r="BD19" i="1" s="1"/>
  <c r="BS19" i="1"/>
  <c r="CA19" i="1"/>
  <c r="CI19" i="1" s="1"/>
  <c r="I49" i="1"/>
  <c r="I51" i="1"/>
  <c r="I53" i="1"/>
  <c r="I50" i="1"/>
  <c r="H43" i="1" s="1"/>
  <c r="I52" i="1"/>
  <c r="CM19" i="1"/>
  <c r="CO19" i="1" s="1"/>
  <c r="U31" i="1" s="1"/>
  <c r="CQ19" i="1"/>
  <c r="CS19" i="1" s="1"/>
  <c r="V31" i="1" s="1"/>
  <c r="I54" i="1"/>
  <c r="I43" i="1" s="1"/>
  <c r="CU19" i="1"/>
  <c r="M41" i="1" s="1"/>
  <c r="I55" i="1"/>
  <c r="I44" i="1" s="1"/>
  <c r="O41" i="1"/>
  <c r="Q41" i="1"/>
  <c r="S41" i="1"/>
  <c r="U41" i="1"/>
  <c r="DK19" i="1"/>
  <c r="DM19" i="1"/>
  <c r="AD31" i="1" s="1"/>
  <c r="DO19" i="1"/>
  <c r="AA41" i="1" s="1"/>
  <c r="DQ19" i="1"/>
  <c r="AC41" i="1" s="1"/>
  <c r="DS19" i="1"/>
  <c r="AE41" i="1" s="1"/>
  <c r="DU19" i="1"/>
  <c r="AH31" i="1" s="1"/>
  <c r="DW19" i="1"/>
  <c r="AI31" i="1" s="1"/>
  <c r="M65" i="1"/>
  <c r="DY19" i="1"/>
  <c r="AK41" i="1" s="1"/>
  <c r="EA19" i="1"/>
  <c r="AM41" i="1" s="1"/>
  <c r="EC19" i="1"/>
  <c r="AO41" i="1" s="1"/>
  <c r="EE19" i="1"/>
  <c r="AQ41" i="1" s="1"/>
  <c r="EG19" i="1"/>
  <c r="AS41" i="1" s="1"/>
  <c r="DC20" i="1"/>
  <c r="Y32" i="1" s="1"/>
  <c r="DC21" i="1"/>
  <c r="Y33" i="1" s="1"/>
  <c r="DC22" i="1"/>
  <c r="Y34" i="1" s="1"/>
  <c r="DC23" i="1"/>
  <c r="Y35" i="1" s="1"/>
  <c r="C20" i="9"/>
  <c r="E20" i="9" s="1"/>
  <c r="C32" i="9" s="1"/>
  <c r="I20" i="9"/>
  <c r="D32" i="9" s="1"/>
  <c r="K20" i="9"/>
  <c r="M20" i="9" s="1"/>
  <c r="O20" i="9"/>
  <c r="Q20" i="9" s="1"/>
  <c r="S20" i="9"/>
  <c r="U20" i="9" s="1"/>
  <c r="G32" i="9" s="1"/>
  <c r="W20" i="9"/>
  <c r="Y20" i="9" s="1"/>
  <c r="BB20" i="9"/>
  <c r="BD20" i="9" s="1"/>
  <c r="BS20" i="9"/>
  <c r="CA20" i="9"/>
  <c r="CI20" i="9" s="1"/>
  <c r="I49" i="9"/>
  <c r="I51" i="9"/>
  <c r="I54" i="9"/>
  <c r="CM20" i="9"/>
  <c r="CQ20" i="9"/>
  <c r="CS20" i="9" s="1"/>
  <c r="CU20" i="9"/>
  <c r="M42" i="9" s="1"/>
  <c r="I55" i="9"/>
  <c r="DE20" i="9"/>
  <c r="Z32" i="9" s="1"/>
  <c r="DG20" i="9"/>
  <c r="AA32" i="9" s="1"/>
  <c r="DI20" i="9"/>
  <c r="AB32" i="9" s="1"/>
  <c r="DK20" i="9"/>
  <c r="DM20" i="9"/>
  <c r="DO20" i="9"/>
  <c r="AA42" i="9" s="1"/>
  <c r="DQ20" i="9"/>
  <c r="AF32" i="9" s="1"/>
  <c r="DS20" i="9"/>
  <c r="AG32" i="9" s="1"/>
  <c r="DU20" i="9"/>
  <c r="DW20" i="9"/>
  <c r="AI32" i="9" s="1"/>
  <c r="M65" i="9"/>
  <c r="DY20" i="9"/>
  <c r="AK42" i="9" s="1"/>
  <c r="EA20" i="9"/>
  <c r="EC20" i="9"/>
  <c r="AO42" i="9" s="1"/>
  <c r="EE20" i="9"/>
  <c r="AM32" i="9" s="1"/>
  <c r="EG20" i="9"/>
  <c r="C21" i="9"/>
  <c r="E21" i="9" s="1"/>
  <c r="C33" i="9" s="1"/>
  <c r="I21" i="9"/>
  <c r="D33" i="9" s="1"/>
  <c r="K21" i="9"/>
  <c r="M21" i="9" s="1"/>
  <c r="E33" i="9" s="1"/>
  <c r="O21" i="9"/>
  <c r="S21" i="9"/>
  <c r="U21" i="9" s="1"/>
  <c r="G33" i="9" s="1"/>
  <c r="W21" i="9"/>
  <c r="BB21" i="9"/>
  <c r="CA21" i="9"/>
  <c r="CC21" i="9" s="1"/>
  <c r="CM21" i="9"/>
  <c r="CQ21" i="9"/>
  <c r="CS21" i="9" s="1"/>
  <c r="V33" i="9" s="1"/>
  <c r="CU21" i="9"/>
  <c r="CW21" i="9" s="1"/>
  <c r="W33" i="9" s="1"/>
  <c r="DE21" i="9"/>
  <c r="DG21" i="9"/>
  <c r="AA33" i="9" s="1"/>
  <c r="DI21" i="9"/>
  <c r="DK21" i="9"/>
  <c r="AC33" i="9" s="1"/>
  <c r="DM21" i="9"/>
  <c r="AD33" i="9" s="1"/>
  <c r="DO21" i="9"/>
  <c r="DQ21" i="9"/>
  <c r="AC43" i="9" s="1"/>
  <c r="DS21" i="9"/>
  <c r="AG33" i="9" s="1"/>
  <c r="DU21" i="9"/>
  <c r="AH33" i="9" s="1"/>
  <c r="DW21" i="9"/>
  <c r="AI33" i="9" s="1"/>
  <c r="DY21" i="9"/>
  <c r="AK43" i="9" s="1"/>
  <c r="EA21" i="9"/>
  <c r="AM43" i="9" s="1"/>
  <c r="EC21" i="9"/>
  <c r="AO43" i="9" s="1"/>
  <c r="EE21" i="9"/>
  <c r="AM33" i="9" s="1"/>
  <c r="EG21" i="9"/>
  <c r="AS43" i="9" s="1"/>
  <c r="C22" i="9"/>
  <c r="E22" i="9" s="1"/>
  <c r="I22" i="9"/>
  <c r="D34" i="9" s="1"/>
  <c r="K22" i="9"/>
  <c r="M22" i="9" s="1"/>
  <c r="O22" i="9"/>
  <c r="S22" i="9"/>
  <c r="U22" i="9" s="1"/>
  <c r="G34" i="9" s="1"/>
  <c r="W22" i="9"/>
  <c r="BB22" i="9"/>
  <c r="BD22" i="9" s="1"/>
  <c r="BS22" i="9"/>
  <c r="CA22" i="9"/>
  <c r="CC22" i="9" s="1"/>
  <c r="CM22" i="9"/>
  <c r="CQ22" i="9"/>
  <c r="CS22" i="9" s="1"/>
  <c r="V34" i="9" s="1"/>
  <c r="CU22" i="9"/>
  <c r="CW22" i="9" s="1"/>
  <c r="W34" i="9" s="1"/>
  <c r="DE22" i="9"/>
  <c r="DG22" i="9"/>
  <c r="DI22" i="9"/>
  <c r="AB34" i="9" s="1"/>
  <c r="DK22" i="9"/>
  <c r="DM22" i="9"/>
  <c r="DO22" i="9"/>
  <c r="AE34" i="9" s="1"/>
  <c r="DQ22" i="9"/>
  <c r="AC44" i="9" s="1"/>
  <c r="DS22" i="9"/>
  <c r="AE44" i="9" s="1"/>
  <c r="DU22" i="9"/>
  <c r="AG44" i="9" s="1"/>
  <c r="DW22" i="9"/>
  <c r="AI34" i="9" s="1"/>
  <c r="DY22" i="9"/>
  <c r="AJ34" i="9" s="1"/>
  <c r="EA22" i="9"/>
  <c r="EC22" i="9"/>
  <c r="AO44" i="9" s="1"/>
  <c r="EE22" i="9"/>
  <c r="AM34" i="9" s="1"/>
  <c r="EG22" i="9"/>
  <c r="AS44" i="9" s="1"/>
  <c r="C23" i="9"/>
  <c r="E23" i="9" s="1"/>
  <c r="C35" i="9" s="1"/>
  <c r="I23" i="9"/>
  <c r="D35" i="9" s="1"/>
  <c r="K23" i="9"/>
  <c r="M23" i="9" s="1"/>
  <c r="E35" i="9" s="1"/>
  <c r="O23" i="9"/>
  <c r="Q23" i="9" s="1"/>
  <c r="S23" i="9"/>
  <c r="U23" i="9" s="1"/>
  <c r="G35" i="9" s="1"/>
  <c r="W23" i="9"/>
  <c r="BB23" i="9"/>
  <c r="BS23" i="9"/>
  <c r="CA23" i="9"/>
  <c r="CI23" i="9" s="1"/>
  <c r="CM23" i="9"/>
  <c r="CQ23" i="9"/>
  <c r="CS23" i="9" s="1"/>
  <c r="V35" i="9" s="1"/>
  <c r="CU23" i="9"/>
  <c r="M45" i="9" s="1"/>
  <c r="DE23" i="9"/>
  <c r="Z35" i="9" s="1"/>
  <c r="DG23" i="9"/>
  <c r="DI23" i="9"/>
  <c r="DK23" i="9"/>
  <c r="AC35" i="9" s="1"/>
  <c r="DM23" i="9"/>
  <c r="AD35" i="9" s="1"/>
  <c r="DO23" i="9"/>
  <c r="AE35" i="9" s="1"/>
  <c r="DQ23" i="9"/>
  <c r="DS23" i="9"/>
  <c r="AE45" i="9" s="1"/>
  <c r="DU23" i="9"/>
  <c r="AG45" i="9" s="1"/>
  <c r="DW23" i="9"/>
  <c r="AI35" i="9" s="1"/>
  <c r="DY23" i="9"/>
  <c r="AK45" i="9" s="1"/>
  <c r="EA23" i="9"/>
  <c r="AK35" i="9" s="1"/>
  <c r="EC23" i="9"/>
  <c r="AO45" i="9" s="1"/>
  <c r="EE23" i="9"/>
  <c r="AQ45" i="9" s="1"/>
  <c r="EG23" i="9"/>
  <c r="AS45" i="9" s="1"/>
  <c r="C19" i="9"/>
  <c r="I19" i="9"/>
  <c r="K19" i="9"/>
  <c r="M19" i="9" s="1"/>
  <c r="E31" i="9" s="1"/>
  <c r="O19" i="9"/>
  <c r="Q19" i="9" s="1"/>
  <c r="S19" i="9"/>
  <c r="U19" i="9" s="1"/>
  <c r="W19" i="9"/>
  <c r="Y19" i="9" s="1"/>
  <c r="H31" i="9" s="1"/>
  <c r="BB19" i="9"/>
  <c r="BV19" i="9"/>
  <c r="CA19" i="9"/>
  <c r="CI19" i="9" s="1"/>
  <c r="CM19" i="9"/>
  <c r="CQ19" i="9"/>
  <c r="CS19" i="9" s="1"/>
  <c r="V31" i="9" s="1"/>
  <c r="CU19" i="9"/>
  <c r="M41" i="9" s="1"/>
  <c r="DE19" i="9"/>
  <c r="DG19" i="9"/>
  <c r="DI19" i="9"/>
  <c r="DK19" i="9"/>
  <c r="DM19" i="9"/>
  <c r="DO19" i="9"/>
  <c r="DQ19" i="9"/>
  <c r="DS19" i="9"/>
  <c r="DU19" i="9"/>
  <c r="DW19" i="9"/>
  <c r="DY19" i="9"/>
  <c r="EA19" i="9"/>
  <c r="EC19" i="9"/>
  <c r="EE19" i="9"/>
  <c r="EG19" i="9"/>
  <c r="AN31" i="9" s="1"/>
  <c r="C20" i="1"/>
  <c r="E20" i="1" s="1"/>
  <c r="C32" i="1" s="1"/>
  <c r="I20" i="1"/>
  <c r="D32" i="1" s="1"/>
  <c r="K20" i="1"/>
  <c r="M20" i="1" s="1"/>
  <c r="E32" i="1" s="1"/>
  <c r="O20" i="1"/>
  <c r="S20" i="1"/>
  <c r="U20" i="1" s="1"/>
  <c r="G32" i="1" s="1"/>
  <c r="W20" i="1"/>
  <c r="BB20" i="1"/>
  <c r="BD20" i="1" s="1"/>
  <c r="BS20" i="1"/>
  <c r="CA20" i="1"/>
  <c r="CC20" i="1" s="1"/>
  <c r="CM20" i="1"/>
  <c r="CO20" i="1" s="1"/>
  <c r="U32" i="1" s="1"/>
  <c r="CQ20" i="1"/>
  <c r="CS20" i="1" s="1"/>
  <c r="V32" i="1" s="1"/>
  <c r="CU20" i="1"/>
  <c r="CW20" i="1" s="1"/>
  <c r="W32" i="1" s="1"/>
  <c r="Q42" i="1"/>
  <c r="S42" i="1"/>
  <c r="U42" i="1"/>
  <c r="DK20" i="1"/>
  <c r="DM20" i="1"/>
  <c r="AD32" i="1" s="1"/>
  <c r="DO20" i="1"/>
  <c r="AA42" i="1" s="1"/>
  <c r="DQ20" i="1"/>
  <c r="AC42" i="1" s="1"/>
  <c r="DS20" i="1"/>
  <c r="AG32" i="1" s="1"/>
  <c r="DU20" i="1"/>
  <c r="AH32" i="1" s="1"/>
  <c r="DW20" i="1"/>
  <c r="AI32" i="1" s="1"/>
  <c r="DY20" i="1"/>
  <c r="AK42" i="1" s="1"/>
  <c r="EA20" i="1"/>
  <c r="AM42" i="1" s="1"/>
  <c r="EC20" i="1"/>
  <c r="AL32" i="1" s="1"/>
  <c r="EE20" i="1"/>
  <c r="AQ42" i="1" s="1"/>
  <c r="EG20" i="1"/>
  <c r="AS42" i="1" s="1"/>
  <c r="C21" i="1"/>
  <c r="E21" i="1" s="1"/>
  <c r="I21" i="1"/>
  <c r="K21" i="1"/>
  <c r="M21" i="1" s="1"/>
  <c r="E33" i="1" s="1"/>
  <c r="O21" i="1"/>
  <c r="S21" i="1"/>
  <c r="W21" i="1"/>
  <c r="Y21" i="1" s="1"/>
  <c r="H33" i="1" s="1"/>
  <c r="BB21" i="1"/>
  <c r="BD21" i="1" s="1"/>
  <c r="BS21" i="1"/>
  <c r="CA21" i="1"/>
  <c r="CC21" i="1" s="1"/>
  <c r="CM21" i="1"/>
  <c r="CO21" i="1" s="1"/>
  <c r="U33" i="1" s="1"/>
  <c r="CQ21" i="1"/>
  <c r="CU21" i="1"/>
  <c r="M43" i="1" s="1"/>
  <c r="Q43" i="1"/>
  <c r="S43" i="1"/>
  <c r="U43" i="1"/>
  <c r="DK21" i="1"/>
  <c r="AC33" i="1" s="1"/>
  <c r="DM21" i="1"/>
  <c r="DO21" i="1"/>
  <c r="AE33" i="1" s="1"/>
  <c r="DQ21" i="1"/>
  <c r="AF33" i="1" s="1"/>
  <c r="DS21" i="1"/>
  <c r="AG33" i="1" s="1"/>
  <c r="DU21" i="1"/>
  <c r="AG43" i="1" s="1"/>
  <c r="DW21" i="1"/>
  <c r="AI33" i="1" s="1"/>
  <c r="DY21" i="1"/>
  <c r="AK43" i="1" s="1"/>
  <c r="EA21" i="1"/>
  <c r="AM43" i="1" s="1"/>
  <c r="EC21" i="1"/>
  <c r="AO43" i="1" s="1"/>
  <c r="EE21" i="1"/>
  <c r="AQ43" i="1" s="1"/>
  <c r="EG21" i="1"/>
  <c r="AS43" i="1" s="1"/>
  <c r="C22" i="1"/>
  <c r="E22" i="1" s="1"/>
  <c r="C34" i="1" s="1"/>
  <c r="I22" i="1"/>
  <c r="D34" i="1" s="1"/>
  <c r="K22" i="1"/>
  <c r="M22" i="1" s="1"/>
  <c r="E34" i="1" s="1"/>
  <c r="O22" i="1"/>
  <c r="S22" i="1"/>
  <c r="U22" i="1" s="1"/>
  <c r="G34" i="1" s="1"/>
  <c r="W22" i="1"/>
  <c r="Y22" i="1" s="1"/>
  <c r="BB22" i="1"/>
  <c r="BD22" i="1" s="1"/>
  <c r="BS22" i="1"/>
  <c r="CA22" i="1"/>
  <c r="CC22" i="1" s="1"/>
  <c r="CM22" i="1"/>
  <c r="CO22" i="1" s="1"/>
  <c r="U34" i="1" s="1"/>
  <c r="CQ22" i="1"/>
  <c r="CS22" i="1" s="1"/>
  <c r="V34" i="1" s="1"/>
  <c r="CU22" i="1"/>
  <c r="M44" i="1" s="1"/>
  <c r="Q44" i="1"/>
  <c r="S44" i="1"/>
  <c r="U44" i="1"/>
  <c r="DK22" i="1"/>
  <c r="AC34" i="1" s="1"/>
  <c r="DM22" i="1"/>
  <c r="AD34" i="1" s="1"/>
  <c r="DO22" i="1"/>
  <c r="AA44" i="1" s="1"/>
  <c r="DQ22" i="1"/>
  <c r="AC44" i="1" s="1"/>
  <c r="DS22" i="1"/>
  <c r="AE44" i="1" s="1"/>
  <c r="DU22" i="1"/>
  <c r="AG44" i="1" s="1"/>
  <c r="DW22" i="1"/>
  <c r="AI34" i="1" s="1"/>
  <c r="DY22" i="1"/>
  <c r="AK44" i="1" s="1"/>
  <c r="EA22" i="1"/>
  <c r="AM44" i="1" s="1"/>
  <c r="EC22" i="1"/>
  <c r="AO44" i="1" s="1"/>
  <c r="EE22" i="1"/>
  <c r="AQ44" i="1" s="1"/>
  <c r="EG22" i="1"/>
  <c r="AS44" i="1" s="1"/>
  <c r="C23" i="1"/>
  <c r="E23" i="1" s="1"/>
  <c r="C35" i="1" s="1"/>
  <c r="K23" i="1"/>
  <c r="M23" i="1" s="1"/>
  <c r="E35" i="1" s="1"/>
  <c r="O23" i="1"/>
  <c r="S23" i="1"/>
  <c r="U23" i="1" s="1"/>
  <c r="G35" i="1" s="1"/>
  <c r="W23" i="1"/>
  <c r="Y23" i="1" s="1"/>
  <c r="H35" i="1" s="1"/>
  <c r="BB23" i="1"/>
  <c r="BD23" i="1" s="1"/>
  <c r="BS23" i="1"/>
  <c r="CA23" i="1"/>
  <c r="CC23" i="1" s="1"/>
  <c r="I45" i="1"/>
  <c r="CM23" i="1"/>
  <c r="CO23" i="1" s="1"/>
  <c r="U35" i="1" s="1"/>
  <c r="CQ23" i="1"/>
  <c r="CU23" i="1"/>
  <c r="M45" i="1" s="1"/>
  <c r="N45" i="1" s="1"/>
  <c r="Q45" i="1"/>
  <c r="S45" i="1"/>
  <c r="U45" i="1"/>
  <c r="DK23" i="1"/>
  <c r="AC35" i="1" s="1"/>
  <c r="DM23" i="1"/>
  <c r="DO23" i="1"/>
  <c r="AA45" i="1" s="1"/>
  <c r="DQ23" i="1"/>
  <c r="AC45" i="1" s="1"/>
  <c r="DS23" i="1"/>
  <c r="AG35" i="1" s="1"/>
  <c r="DU23" i="1"/>
  <c r="AG45" i="1" s="1"/>
  <c r="DW23" i="1"/>
  <c r="AI35" i="1" s="1"/>
  <c r="DY23" i="1"/>
  <c r="AK45" i="1" s="1"/>
  <c r="EA23" i="1"/>
  <c r="AK35" i="1" s="1"/>
  <c r="EC23" i="1"/>
  <c r="AO45" i="1" s="1"/>
  <c r="EE23" i="1"/>
  <c r="AQ45" i="1" s="1"/>
  <c r="EG23" i="1"/>
  <c r="AS45" i="1" s="1"/>
  <c r="CY19" i="1"/>
  <c r="DA19" i="1" s="1"/>
  <c r="X31" i="1" s="1"/>
  <c r="CK19" i="1"/>
  <c r="T31" i="1" s="1"/>
  <c r="BM19" i="1"/>
  <c r="BO19" i="1" s="1"/>
  <c r="BI19" i="1"/>
  <c r="BK19" i="1" s="1"/>
  <c r="P31" i="1" s="1"/>
  <c r="AX19" i="1"/>
  <c r="AZ19" i="1" s="1"/>
  <c r="N31" i="1" s="1"/>
  <c r="AQ19" i="1"/>
  <c r="AV19" i="1" s="1"/>
  <c r="AM20" i="1"/>
  <c r="AO20" i="1" s="1"/>
  <c r="L32" i="1" s="1"/>
  <c r="AI19" i="1"/>
  <c r="AK19" i="1" s="1"/>
  <c r="K31" i="1" s="1"/>
  <c r="AE19" i="1"/>
  <c r="AG19" i="1" s="1"/>
  <c r="J31" i="1" s="1"/>
  <c r="AA20" i="1"/>
  <c r="AC20" i="1" s="1"/>
  <c r="I32" i="1" s="1"/>
  <c r="H62" i="9"/>
  <c r="G62" i="9"/>
  <c r="F62" i="9"/>
  <c r="E62" i="9"/>
  <c r="D62" i="9"/>
  <c r="C62" i="9"/>
  <c r="CY23" i="9"/>
  <c r="CK23" i="9"/>
  <c r="T35" i="9" s="1"/>
  <c r="BM23" i="9"/>
  <c r="BO23" i="9" s="1"/>
  <c r="Q35" i="9" s="1"/>
  <c r="BI23" i="9"/>
  <c r="BK23" i="9" s="1"/>
  <c r="P35" i="9" s="1"/>
  <c r="AX23" i="9"/>
  <c r="AZ23" i="9" s="1"/>
  <c r="N35" i="9" s="1"/>
  <c r="AQ23" i="9"/>
  <c r="AV23" i="9" s="1"/>
  <c r="AM23" i="9"/>
  <c r="AO23" i="9" s="1"/>
  <c r="L35" i="9" s="1"/>
  <c r="AI23" i="9"/>
  <c r="AK23" i="9" s="1"/>
  <c r="K35" i="9" s="1"/>
  <c r="AE23" i="9"/>
  <c r="AG23" i="9" s="1"/>
  <c r="J35" i="9" s="1"/>
  <c r="AA23" i="9"/>
  <c r="AC23" i="9" s="1"/>
  <c r="I35" i="9" s="1"/>
  <c r="CY22" i="9"/>
  <c r="DA22" i="9" s="1"/>
  <c r="X34" i="9" s="1"/>
  <c r="CK22" i="9"/>
  <c r="T34" i="9" s="1"/>
  <c r="BM22" i="9"/>
  <c r="BO22" i="9" s="1"/>
  <c r="Q34" i="9" s="1"/>
  <c r="BI22" i="9"/>
  <c r="BK22" i="9" s="1"/>
  <c r="P34" i="9" s="1"/>
  <c r="AX22" i="9"/>
  <c r="AZ22" i="9" s="1"/>
  <c r="N34" i="9" s="1"/>
  <c r="AQ22" i="9"/>
  <c r="AS22" i="9" s="1"/>
  <c r="AM22" i="9"/>
  <c r="AO22" i="9" s="1"/>
  <c r="L34" i="9" s="1"/>
  <c r="AI22" i="9"/>
  <c r="AK22" i="9" s="1"/>
  <c r="K34" i="9" s="1"/>
  <c r="AE22" i="9"/>
  <c r="AG22" i="9" s="1"/>
  <c r="J34" i="9" s="1"/>
  <c r="AA22" i="9"/>
  <c r="AC22" i="9" s="1"/>
  <c r="I34" i="9" s="1"/>
  <c r="CY21" i="9"/>
  <c r="DA21" i="9" s="1"/>
  <c r="X33" i="9" s="1"/>
  <c r="CK21" i="9"/>
  <c r="T33" i="9" s="1"/>
  <c r="BM21" i="9"/>
  <c r="BO21" i="9" s="1"/>
  <c r="Q33" i="9" s="1"/>
  <c r="BI21" i="9"/>
  <c r="BK21" i="9" s="1"/>
  <c r="P33" i="9" s="1"/>
  <c r="AX21" i="9"/>
  <c r="AZ21" i="9" s="1"/>
  <c r="N33" i="9" s="1"/>
  <c r="AQ21" i="9"/>
  <c r="AS21" i="9" s="1"/>
  <c r="AM21" i="9"/>
  <c r="AO21" i="9" s="1"/>
  <c r="AI21" i="9"/>
  <c r="AK21" i="9" s="1"/>
  <c r="K33" i="9" s="1"/>
  <c r="AE21" i="9"/>
  <c r="AG21" i="9" s="1"/>
  <c r="J33" i="9" s="1"/>
  <c r="AA21" i="9"/>
  <c r="AC21" i="9" s="1"/>
  <c r="I33" i="9" s="1"/>
  <c r="CY20" i="9"/>
  <c r="DA20" i="9" s="1"/>
  <c r="X32" i="9" s="1"/>
  <c r="CK20" i="9"/>
  <c r="T32" i="9" s="1"/>
  <c r="BM20" i="9"/>
  <c r="BO20" i="9" s="1"/>
  <c r="Q32" i="9" s="1"/>
  <c r="BI20" i="9"/>
  <c r="BK20" i="9" s="1"/>
  <c r="P32" i="9" s="1"/>
  <c r="AX20" i="9"/>
  <c r="AZ20" i="9" s="1"/>
  <c r="N32" i="9" s="1"/>
  <c r="AQ20" i="9"/>
  <c r="AS20" i="9" s="1"/>
  <c r="AM20" i="9"/>
  <c r="AO20" i="9" s="1"/>
  <c r="L32" i="9" s="1"/>
  <c r="AI20" i="9"/>
  <c r="AK20" i="9" s="1"/>
  <c r="K32" i="9" s="1"/>
  <c r="AE20" i="9"/>
  <c r="AG20" i="9" s="1"/>
  <c r="J32" i="9" s="1"/>
  <c r="AA20" i="9"/>
  <c r="AC20" i="9" s="1"/>
  <c r="I32" i="9" s="1"/>
  <c r="CY19" i="9"/>
  <c r="DA19" i="9" s="1"/>
  <c r="X31" i="9" s="1"/>
  <c r="CK19" i="9"/>
  <c r="T31" i="9" s="1"/>
  <c r="BM19" i="9"/>
  <c r="BO19" i="9" s="1"/>
  <c r="Q31" i="9" s="1"/>
  <c r="BI19" i="9"/>
  <c r="BK19" i="9" s="1"/>
  <c r="AX19" i="9"/>
  <c r="AZ19" i="9" s="1"/>
  <c r="N31" i="9" s="1"/>
  <c r="AQ19" i="9"/>
  <c r="AM19" i="9"/>
  <c r="AO19" i="9" s="1"/>
  <c r="L31" i="9" s="1"/>
  <c r="AI19" i="9"/>
  <c r="AK19" i="9" s="1"/>
  <c r="K31" i="9" s="1"/>
  <c r="AE19" i="9"/>
  <c r="AG19" i="9" s="1"/>
  <c r="AA19" i="9"/>
  <c r="AC19" i="9" s="1"/>
  <c r="DM15" i="9"/>
  <c r="AD28" i="9" s="1"/>
  <c r="DK15" i="9"/>
  <c r="AC28" i="9" s="1"/>
  <c r="DI15" i="9"/>
  <c r="DG15" i="9"/>
  <c r="AA28" i="9" s="1"/>
  <c r="DE15" i="9"/>
  <c r="Z28" i="9" s="1"/>
  <c r="DC15" i="9"/>
  <c r="Y28" i="9" s="1"/>
  <c r="G62" i="1"/>
  <c r="F62" i="1"/>
  <c r="E62" i="1"/>
  <c r="D62" i="1"/>
  <c r="C62" i="1"/>
  <c r="DM15" i="1"/>
  <c r="AD28" i="1" s="1"/>
  <c r="DC15" i="1"/>
  <c r="Y28" i="1" s="1"/>
  <c r="DK15" i="1"/>
  <c r="DI15" i="1"/>
  <c r="DG15" i="1"/>
  <c r="AA28" i="1" s="1"/>
  <c r="DE15" i="1"/>
  <c r="Z28" i="1" s="1"/>
  <c r="AL33" i="9"/>
  <c r="AG34" i="9"/>
  <c r="G9" i="8"/>
  <c r="AA19" i="1"/>
  <c r="AC19" i="1" s="1"/>
  <c r="AM19" i="1"/>
  <c r="AO19" i="1" s="1"/>
  <c r="L31" i="1" s="1"/>
  <c r="AE20" i="1"/>
  <c r="AG20" i="1" s="1"/>
  <c r="AI20" i="1"/>
  <c r="AK20" i="1" s="1"/>
  <c r="K32" i="1" s="1"/>
  <c r="AQ20" i="1"/>
  <c r="AS20" i="1" s="1"/>
  <c r="AX20" i="1"/>
  <c r="AZ20" i="1" s="1"/>
  <c r="N32" i="1" s="1"/>
  <c r="BI20" i="1"/>
  <c r="BK20" i="1" s="1"/>
  <c r="P32" i="1" s="1"/>
  <c r="BM20" i="1"/>
  <c r="BO20" i="1" s="1"/>
  <c r="Q32" i="1" s="1"/>
  <c r="CK20" i="1"/>
  <c r="T32" i="1" s="1"/>
  <c r="CY20" i="1"/>
  <c r="DA20" i="1" s="1"/>
  <c r="X32" i="1" s="1"/>
  <c r="AA21" i="1"/>
  <c r="AC21" i="1" s="1"/>
  <c r="I33" i="1" s="1"/>
  <c r="AE21" i="1"/>
  <c r="AG21" i="1" s="1"/>
  <c r="J33" i="1" s="1"/>
  <c r="AI21" i="1"/>
  <c r="AM21" i="1"/>
  <c r="AO21" i="1" s="1"/>
  <c r="L33" i="1" s="1"/>
  <c r="AQ21" i="1"/>
  <c r="AS21" i="1" s="1"/>
  <c r="AX21" i="1"/>
  <c r="AZ21" i="1" s="1"/>
  <c r="N33" i="1" s="1"/>
  <c r="BI21" i="1"/>
  <c r="BK21" i="1" s="1"/>
  <c r="P33" i="1" s="1"/>
  <c r="BM21" i="1"/>
  <c r="BO21" i="1" s="1"/>
  <c r="Q33" i="1" s="1"/>
  <c r="CK21" i="1"/>
  <c r="CY21" i="1"/>
  <c r="DA21" i="1" s="1"/>
  <c r="X33" i="1" s="1"/>
  <c r="AA22" i="1"/>
  <c r="AC22" i="1" s="1"/>
  <c r="I34" i="1" s="1"/>
  <c r="AE22" i="1"/>
  <c r="AG22" i="1" s="1"/>
  <c r="J34" i="1" s="1"/>
  <c r="AI22" i="1"/>
  <c r="AK22" i="1" s="1"/>
  <c r="AM22" i="1"/>
  <c r="AO22" i="1" s="1"/>
  <c r="L34" i="1" s="1"/>
  <c r="AQ22" i="1"/>
  <c r="AS22" i="1" s="1"/>
  <c r="AX22" i="1"/>
  <c r="AZ22" i="1" s="1"/>
  <c r="N34" i="1" s="1"/>
  <c r="BI22" i="1"/>
  <c r="BK22" i="1" s="1"/>
  <c r="BM22" i="1"/>
  <c r="BO22" i="1" s="1"/>
  <c r="Q34" i="1" s="1"/>
  <c r="CK22" i="1"/>
  <c r="T34" i="1" s="1"/>
  <c r="CY22" i="1"/>
  <c r="DA22" i="1" s="1"/>
  <c r="X34" i="1" s="1"/>
  <c r="AH34" i="1"/>
  <c r="AA23" i="1"/>
  <c r="AC23" i="1" s="1"/>
  <c r="I35" i="1" s="1"/>
  <c r="AE23" i="1"/>
  <c r="AG23" i="1" s="1"/>
  <c r="J35" i="1" s="1"/>
  <c r="AI23" i="1"/>
  <c r="AK23" i="1" s="1"/>
  <c r="K35" i="1" s="1"/>
  <c r="AM23" i="1"/>
  <c r="AO23" i="1" s="1"/>
  <c r="AQ23" i="1"/>
  <c r="AS23" i="1" s="1"/>
  <c r="AX23" i="1"/>
  <c r="AZ23" i="1" s="1"/>
  <c r="N35" i="1" s="1"/>
  <c r="BI23" i="1"/>
  <c r="BK23" i="1" s="1"/>
  <c r="P35" i="1" s="1"/>
  <c r="BM23" i="1"/>
  <c r="BO23" i="1" s="1"/>
  <c r="Q35" i="1" s="1"/>
  <c r="CK23" i="1"/>
  <c r="T35" i="1" s="1"/>
  <c r="CY23" i="1"/>
  <c r="DA23" i="1" s="1"/>
  <c r="X35" i="1" s="1"/>
  <c r="AE35" i="1"/>
  <c r="G46" i="1"/>
  <c r="DI24" i="1"/>
  <c r="DG24" i="1"/>
  <c r="DE24" i="1"/>
  <c r="F26" i="8"/>
  <c r="AL32" i="4" l="1"/>
  <c r="AL35" i="9"/>
  <c r="AN34" i="9"/>
  <c r="Q22" i="9"/>
  <c r="F34" i="9" s="1"/>
  <c r="Q21" i="9"/>
  <c r="F33" i="9" s="1"/>
  <c r="F33" i="1"/>
  <c r="Q21" i="1"/>
  <c r="Q20" i="1"/>
  <c r="F32" i="1" s="1"/>
  <c r="AK32" i="1"/>
  <c r="Q22" i="1"/>
  <c r="C44" i="1" s="1"/>
  <c r="D44" i="1" s="1"/>
  <c r="Q23" i="1"/>
  <c r="F35" i="1" s="1"/>
  <c r="F35" i="9"/>
  <c r="F31" i="9"/>
  <c r="AH35" i="9"/>
  <c r="Y43" i="9"/>
  <c r="Z43" i="9" s="1"/>
  <c r="AN33" i="9"/>
  <c r="Y20" i="1"/>
  <c r="H32" i="1" s="1"/>
  <c r="P41" i="1"/>
  <c r="AD41" i="1"/>
  <c r="AL45" i="1"/>
  <c r="U21" i="1"/>
  <c r="C43" i="1" s="1"/>
  <c r="Y19" i="1"/>
  <c r="H31" i="1" s="1"/>
  <c r="CI21" i="9"/>
  <c r="S33" i="9" s="1"/>
  <c r="AM34" i="1"/>
  <c r="AN34" i="1"/>
  <c r="AF34" i="1"/>
  <c r="K45" i="1"/>
  <c r="L45" i="1" s="1"/>
  <c r="BG19" i="1"/>
  <c r="O31" i="1" s="1"/>
  <c r="BG22" i="1"/>
  <c r="O34" i="1" s="1"/>
  <c r="AG42" i="1"/>
  <c r="AH42" i="1" s="1"/>
  <c r="AH35" i="1"/>
  <c r="AE34" i="1"/>
  <c r="Y42" i="1"/>
  <c r="Z42" i="1" s="1"/>
  <c r="AH33" i="1"/>
  <c r="AA43" i="1"/>
  <c r="AB43" i="1" s="1"/>
  <c r="AG31" i="1"/>
  <c r="AG34" i="1"/>
  <c r="AE42" i="1"/>
  <c r="AF42" i="1" s="1"/>
  <c r="O42" i="1"/>
  <c r="P42" i="1" s="1"/>
  <c r="CF21" i="9"/>
  <c r="BV22" i="9"/>
  <c r="AJ31" i="1"/>
  <c r="CW19" i="1"/>
  <c r="W31" i="1" s="1"/>
  <c r="Y41" i="1"/>
  <c r="Z41" i="1" s="1"/>
  <c r="BV20" i="9"/>
  <c r="BY20" i="9"/>
  <c r="Y22" i="9"/>
  <c r="H34" i="9" s="1"/>
  <c r="Y23" i="9"/>
  <c r="H35" i="9" s="1"/>
  <c r="Y21" i="9"/>
  <c r="H33" i="9" s="1"/>
  <c r="AJ31" i="4"/>
  <c r="AL31" i="4" s="1"/>
  <c r="E31" i="10"/>
  <c r="AE43" i="9"/>
  <c r="AF43" i="9" s="1"/>
  <c r="CC19" i="1"/>
  <c r="CC24" i="1" s="1"/>
  <c r="AT44" i="9"/>
  <c r="BY23" i="9"/>
  <c r="AF33" i="9"/>
  <c r="BV23" i="9"/>
  <c r="N45" i="9"/>
  <c r="CC23" i="9"/>
  <c r="S43" i="9"/>
  <c r="DU24" i="1"/>
  <c r="BY22" i="1"/>
  <c r="BV21" i="1"/>
  <c r="AJ32" i="1"/>
  <c r="AR45" i="1"/>
  <c r="V44" i="1"/>
  <c r="AB44" i="1"/>
  <c r="AP41" i="1"/>
  <c r="I42" i="1"/>
  <c r="CM24" i="1"/>
  <c r="AN35" i="1"/>
  <c r="AL33" i="1"/>
  <c r="AM31" i="1"/>
  <c r="AC28" i="1"/>
  <c r="AT44" i="1"/>
  <c r="AN44" i="1"/>
  <c r="AT43" i="1"/>
  <c r="AC43" i="1"/>
  <c r="AD43" i="1" s="1"/>
  <c r="R43" i="1"/>
  <c r="AD42" i="1"/>
  <c r="AI44" i="1"/>
  <c r="AJ44" i="1" s="1"/>
  <c r="AH44" i="1"/>
  <c r="H42" i="1"/>
  <c r="J42" i="1" s="1"/>
  <c r="AJ35" i="1"/>
  <c r="CW22" i="1"/>
  <c r="W34" i="1" s="1"/>
  <c r="AK33" i="1"/>
  <c r="CF19" i="1"/>
  <c r="AE31" i="1"/>
  <c r="R45" i="1"/>
  <c r="N43" i="1"/>
  <c r="EE24" i="1"/>
  <c r="AF32" i="1"/>
  <c r="AN33" i="1"/>
  <c r="CK24" i="1"/>
  <c r="AP45" i="1"/>
  <c r="AI45" i="1"/>
  <c r="AJ45" i="1" s="1"/>
  <c r="AR44" i="1"/>
  <c r="AL44" i="1"/>
  <c r="T44" i="1"/>
  <c r="AR43" i="1"/>
  <c r="V42" i="1"/>
  <c r="AN41" i="1"/>
  <c r="AI41" i="1"/>
  <c r="AJ41" i="1" s="1"/>
  <c r="S24" i="1"/>
  <c r="DO24" i="1"/>
  <c r="AM35" i="1"/>
  <c r="CW23" i="1"/>
  <c r="W35" i="1" s="1"/>
  <c r="AK34" i="1"/>
  <c r="N36" i="1"/>
  <c r="AE32" i="1"/>
  <c r="AL31" i="1"/>
  <c r="AT45" i="1"/>
  <c r="AB45" i="1"/>
  <c r="V45" i="1"/>
  <c r="AF44" i="1"/>
  <c r="R44" i="1"/>
  <c r="AP43" i="1"/>
  <c r="AH43" i="1"/>
  <c r="V43" i="1"/>
  <c r="AT42" i="1"/>
  <c r="AL42" i="1"/>
  <c r="T42" i="1"/>
  <c r="AT41" i="1"/>
  <c r="T41" i="1"/>
  <c r="N41" i="1"/>
  <c r="AM24" i="1"/>
  <c r="DQ24" i="1"/>
  <c r="EC24" i="1"/>
  <c r="AL35" i="1"/>
  <c r="AF35" i="1"/>
  <c r="BG23" i="1"/>
  <c r="O35" i="1" s="1"/>
  <c r="AJ34" i="1"/>
  <c r="AN32" i="1"/>
  <c r="AK31" i="1"/>
  <c r="AF31" i="1"/>
  <c r="AH45" i="1"/>
  <c r="T45" i="1"/>
  <c r="AP44" i="1"/>
  <c r="AD44" i="1"/>
  <c r="N44" i="1"/>
  <c r="H44" i="1"/>
  <c r="J44" i="1" s="1"/>
  <c r="AN43" i="1"/>
  <c r="DS24" i="1"/>
  <c r="AI42" i="1"/>
  <c r="AJ42" i="1" s="1"/>
  <c r="R42" i="1"/>
  <c r="AR41" i="1"/>
  <c r="I41" i="1"/>
  <c r="I46" i="1" s="1"/>
  <c r="O41" i="9"/>
  <c r="P41" i="9" s="1"/>
  <c r="AM35" i="9"/>
  <c r="AV22" i="9"/>
  <c r="M34" i="9" s="1"/>
  <c r="Q45" i="9"/>
  <c r="R45" i="9" s="1"/>
  <c r="AQ43" i="9"/>
  <c r="AR43" i="9" s="1"/>
  <c r="AL42" i="9"/>
  <c r="AP45" i="9"/>
  <c r="CW20" i="9"/>
  <c r="W32" i="9" s="1"/>
  <c r="AL34" i="9"/>
  <c r="AN43" i="9"/>
  <c r="BY22" i="9"/>
  <c r="AJ32" i="9"/>
  <c r="AL32" i="9"/>
  <c r="AM41" i="9"/>
  <c r="AN41" i="9" s="1"/>
  <c r="K44" i="9"/>
  <c r="L44" i="9" s="1"/>
  <c r="AS41" i="9"/>
  <c r="AT41" i="9" s="1"/>
  <c r="AK41" i="9"/>
  <c r="AL41" i="9" s="1"/>
  <c r="AC41" i="9"/>
  <c r="AD41" i="9" s="1"/>
  <c r="AT45" i="9"/>
  <c r="AA45" i="9"/>
  <c r="AB45" i="9" s="1"/>
  <c r="AD44" i="9"/>
  <c r="U44" i="9"/>
  <c r="V44" i="9" s="1"/>
  <c r="M44" i="9"/>
  <c r="AB42" i="9"/>
  <c r="M43" i="9"/>
  <c r="N43" i="9" s="1"/>
  <c r="AF34" i="9"/>
  <c r="CF23" i="9"/>
  <c r="DU24" i="9"/>
  <c r="AJ31" i="9"/>
  <c r="Y45" i="9"/>
  <c r="Z45" i="9" s="1"/>
  <c r="AQ44" i="9"/>
  <c r="AR44" i="9" s="1"/>
  <c r="AK44" i="9"/>
  <c r="AL44" i="9" s="1"/>
  <c r="AF44" i="9"/>
  <c r="AG43" i="9"/>
  <c r="AH43" i="9" s="1"/>
  <c r="AI43" i="9"/>
  <c r="AJ43" i="9" s="1"/>
  <c r="AH31" i="9"/>
  <c r="K36" i="9"/>
  <c r="CM24" i="9"/>
  <c r="CW23" i="9"/>
  <c r="W35" i="9" s="1"/>
  <c r="DY24" i="9"/>
  <c r="AG35" i="9"/>
  <c r="AE32" i="9"/>
  <c r="AM24" i="9"/>
  <c r="AH45" i="9"/>
  <c r="AI44" i="9"/>
  <c r="AJ44" i="9" s="1"/>
  <c r="T43" i="9"/>
  <c r="BY19" i="9"/>
  <c r="S24" i="9"/>
  <c r="AS23" i="9"/>
  <c r="M35" i="9" s="1"/>
  <c r="AH34" i="9"/>
  <c r="AK33" i="9"/>
  <c r="CO22" i="9"/>
  <c r="U34" i="9" s="1"/>
  <c r="AF31" i="9"/>
  <c r="EA24" i="9"/>
  <c r="AJ33" i="9"/>
  <c r="CK24" i="9"/>
  <c r="AJ35" i="9"/>
  <c r="BS19" i="9"/>
  <c r="AE42" i="9"/>
  <c r="AF42" i="9" s="1"/>
  <c r="AV19" i="9"/>
  <c r="AS19" i="9"/>
  <c r="AB31" i="9"/>
  <c r="U41" i="9"/>
  <c r="V41" i="9" s="1"/>
  <c r="E19" i="9"/>
  <c r="C31" i="9" s="1"/>
  <c r="C24" i="9"/>
  <c r="AA43" i="9"/>
  <c r="AB43" i="9" s="1"/>
  <c r="AE33" i="9"/>
  <c r="DO24" i="9"/>
  <c r="AD32" i="9"/>
  <c r="Y42" i="9"/>
  <c r="Z42" i="9" s="1"/>
  <c r="AN35" i="9"/>
  <c r="F32" i="9"/>
  <c r="BG20" i="9"/>
  <c r="O32" i="9" s="1"/>
  <c r="BG22" i="9"/>
  <c r="O34" i="9" s="1"/>
  <c r="AI41" i="9"/>
  <c r="AJ41" i="9" s="1"/>
  <c r="Y41" i="9"/>
  <c r="Z41" i="9" s="1"/>
  <c r="AD31" i="9"/>
  <c r="DM24" i="9"/>
  <c r="CF19" i="9"/>
  <c r="CC19" i="9"/>
  <c r="K24" i="9"/>
  <c r="BD23" i="9"/>
  <c r="BG23" i="9"/>
  <c r="AC34" i="9"/>
  <c r="W44" i="9"/>
  <c r="X44" i="9" s="1"/>
  <c r="CF22" i="9"/>
  <c r="CI22" i="9"/>
  <c r="AG42" i="9"/>
  <c r="AH42" i="9" s="1"/>
  <c r="AH32" i="9"/>
  <c r="AO41" i="9"/>
  <c r="AP41" i="9" s="1"/>
  <c r="AL31" i="9"/>
  <c r="U43" i="9"/>
  <c r="V43" i="9" s="1"/>
  <c r="AB33" i="9"/>
  <c r="AS42" i="9"/>
  <c r="EG24" i="9"/>
  <c r="CQ24" i="9"/>
  <c r="T36" i="9"/>
  <c r="CS24" i="9"/>
  <c r="AQ24" i="9"/>
  <c r="AV21" i="9"/>
  <c r="M33" i="9" s="1"/>
  <c r="AA31" i="9"/>
  <c r="BD19" i="9"/>
  <c r="BG19" i="9"/>
  <c r="BB24" i="9"/>
  <c r="AM44" i="9"/>
  <c r="AN44" i="9" s="1"/>
  <c r="AK34" i="9"/>
  <c r="AA34" i="9"/>
  <c r="S44" i="9"/>
  <c r="T44" i="9" s="1"/>
  <c r="K42" i="9"/>
  <c r="L42" i="9" s="1"/>
  <c r="CO20" i="9"/>
  <c r="U32" i="9" s="1"/>
  <c r="CA24" i="9"/>
  <c r="EC24" i="9"/>
  <c r="AV20" i="9"/>
  <c r="M32" i="9" s="1"/>
  <c r="AZ24" i="9"/>
  <c r="AN32" i="9"/>
  <c r="BK24" i="9"/>
  <c r="AM31" i="9"/>
  <c r="AC31" i="9"/>
  <c r="AM45" i="9"/>
  <c r="AN45" i="9" s="1"/>
  <c r="AC45" i="9"/>
  <c r="AD45" i="9" s="1"/>
  <c r="AF35" i="9"/>
  <c r="AA44" i="9"/>
  <c r="AB44" i="9" s="1"/>
  <c r="Z33" i="9"/>
  <c r="Q43" i="9"/>
  <c r="R43" i="9" s="1"/>
  <c r="K43" i="9"/>
  <c r="L43" i="9" s="1"/>
  <c r="CO21" i="9"/>
  <c r="U33" i="9" s="1"/>
  <c r="BS21" i="9"/>
  <c r="BY21" i="9"/>
  <c r="BV21" i="9"/>
  <c r="AK32" i="9"/>
  <c r="AM42" i="9"/>
  <c r="AN42" i="9" s="1"/>
  <c r="AI42" i="9"/>
  <c r="AJ42" i="9" s="1"/>
  <c r="AA24" i="9"/>
  <c r="U24" i="9"/>
  <c r="AL45" i="9"/>
  <c r="K45" i="9"/>
  <c r="L45" i="9" s="1"/>
  <c r="AH44" i="9"/>
  <c r="Y44" i="9"/>
  <c r="Z44" i="9" s="1"/>
  <c r="AD34" i="9"/>
  <c r="CY24" i="9"/>
  <c r="AG41" i="9"/>
  <c r="AH41" i="9" s="1"/>
  <c r="AR45" i="9"/>
  <c r="AP44" i="9"/>
  <c r="AD43" i="9"/>
  <c r="AP42" i="9"/>
  <c r="N42" i="9"/>
  <c r="G31" i="9"/>
  <c r="G36" i="9" s="1"/>
  <c r="BQ24" i="9"/>
  <c r="CO23" i="9"/>
  <c r="U35" i="9" s="1"/>
  <c r="AK31" i="9"/>
  <c r="AG31" i="9"/>
  <c r="AE31" i="9"/>
  <c r="AF45" i="9"/>
  <c r="U45" i="9"/>
  <c r="V45" i="9" s="1"/>
  <c r="AB35" i="9"/>
  <c r="AT43" i="9"/>
  <c r="AL43" i="9"/>
  <c r="CI23" i="1"/>
  <c r="CF23" i="1"/>
  <c r="W24" i="1"/>
  <c r="CI21" i="1"/>
  <c r="CF20" i="1"/>
  <c r="CF21" i="1"/>
  <c r="CI20" i="1"/>
  <c r="M42" i="1"/>
  <c r="N42" i="1" s="1"/>
  <c r="AL43" i="1"/>
  <c r="AK46" i="1"/>
  <c r="BD24" i="1"/>
  <c r="F31" i="1"/>
  <c r="AD45" i="1"/>
  <c r="M24" i="1"/>
  <c r="E31" i="1"/>
  <c r="E36" i="1" s="1"/>
  <c r="O24" i="1"/>
  <c r="BB24" i="1"/>
  <c r="CU24" i="1"/>
  <c r="DY24" i="1"/>
  <c r="CI22" i="1"/>
  <c r="AJ33" i="1"/>
  <c r="Y45" i="1"/>
  <c r="Z45" i="1" s="1"/>
  <c r="AD35" i="1"/>
  <c r="Y43" i="1"/>
  <c r="Z43" i="1" s="1"/>
  <c r="AD33" i="1"/>
  <c r="DK24" i="1"/>
  <c r="AC32" i="1"/>
  <c r="W41" i="1"/>
  <c r="X41" i="1" s="1"/>
  <c r="AC31" i="1"/>
  <c r="C24" i="1"/>
  <c r="CA24" i="1"/>
  <c r="BG21" i="1"/>
  <c r="O33" i="1" s="1"/>
  <c r="AI24" i="1"/>
  <c r="K24" i="1"/>
  <c r="DM24" i="1"/>
  <c r="CY24" i="1"/>
  <c r="EA24" i="1"/>
  <c r="AL34" i="1"/>
  <c r="CF22" i="1"/>
  <c r="AM33" i="1"/>
  <c r="CW21" i="1"/>
  <c r="W33" i="1" s="1"/>
  <c r="AN31" i="1"/>
  <c r="AM45" i="1"/>
  <c r="AN45" i="1" s="1"/>
  <c r="AE45" i="1"/>
  <c r="AF45" i="1" s="1"/>
  <c r="W45" i="1"/>
  <c r="X45" i="1" s="1"/>
  <c r="Y44" i="1"/>
  <c r="Z44" i="1" s="1"/>
  <c r="AE43" i="1"/>
  <c r="AF43" i="1" s="1"/>
  <c r="J43" i="1"/>
  <c r="AO42" i="1"/>
  <c r="O45" i="1"/>
  <c r="P45" i="1" s="1"/>
  <c r="O43" i="1"/>
  <c r="P43" i="1" s="1"/>
  <c r="AL41" i="1"/>
  <c r="AG41" i="1"/>
  <c r="AB41" i="1"/>
  <c r="V41" i="1"/>
  <c r="U19" i="1"/>
  <c r="DC24" i="1"/>
  <c r="AS46" i="1"/>
  <c r="EG24" i="1"/>
  <c r="T33" i="1"/>
  <c r="T36" i="1" s="1"/>
  <c r="AK21" i="1"/>
  <c r="K33" i="1" s="1"/>
  <c r="W44" i="1"/>
  <c r="X44" i="1" s="1"/>
  <c r="AI36" i="1"/>
  <c r="K43" i="1"/>
  <c r="L43" i="1" s="1"/>
  <c r="O44" i="1"/>
  <c r="P44" i="1" s="1"/>
  <c r="AF41" i="1"/>
  <c r="R41" i="1"/>
  <c r="DE24" i="9"/>
  <c r="Q44" i="9"/>
  <c r="R44" i="9" s="1"/>
  <c r="Z34" i="9"/>
  <c r="Q42" i="9"/>
  <c r="R42" i="9" s="1"/>
  <c r="Q41" i="9"/>
  <c r="Z31" i="9"/>
  <c r="S42" i="9"/>
  <c r="T42" i="9" s="1"/>
  <c r="O44" i="9"/>
  <c r="P44" i="9" s="1"/>
  <c r="CS21" i="1"/>
  <c r="V33" i="1" s="1"/>
  <c r="S45" i="9"/>
  <c r="T45" i="9" s="1"/>
  <c r="AA35" i="9"/>
  <c r="DG24" i="9"/>
  <c r="S41" i="9"/>
  <c r="T41" i="9" s="1"/>
  <c r="O45" i="9"/>
  <c r="P45" i="9" s="1"/>
  <c r="Y35" i="9"/>
  <c r="O43" i="9"/>
  <c r="P43" i="9" s="1"/>
  <c r="Y33" i="9"/>
  <c r="O42" i="9"/>
  <c r="P42" i="9" s="1"/>
  <c r="Y32" i="9"/>
  <c r="Y31" i="9"/>
  <c r="W42" i="9"/>
  <c r="X42" i="9" s="1"/>
  <c r="AC32" i="9"/>
  <c r="W41" i="9"/>
  <c r="X41" i="9" s="1"/>
  <c r="CQ24" i="1"/>
  <c r="CS23" i="1"/>
  <c r="V35" i="1" s="1"/>
  <c r="AV21" i="1"/>
  <c r="M33" i="1" s="1"/>
  <c r="K44" i="1"/>
  <c r="L44" i="1" s="1"/>
  <c r="AV23" i="1"/>
  <c r="M35" i="1" s="1"/>
  <c r="AV20" i="1"/>
  <c r="M32" i="1" s="1"/>
  <c r="AS19" i="1"/>
  <c r="AS24" i="1" s="1"/>
  <c r="K42" i="1"/>
  <c r="L42" i="1" s="1"/>
  <c r="G24" i="9"/>
  <c r="W45" i="9"/>
  <c r="X45" i="9" s="1"/>
  <c r="W43" i="9"/>
  <c r="X43" i="9" s="1"/>
  <c r="Z36" i="1"/>
  <c r="Y36" i="1"/>
  <c r="AB36" i="1"/>
  <c r="AA36" i="1"/>
  <c r="U46" i="1"/>
  <c r="G24" i="1"/>
  <c r="BV22" i="1"/>
  <c r="BV19" i="1"/>
  <c r="BY21" i="1"/>
  <c r="I24" i="1"/>
  <c r="D33" i="1"/>
  <c r="DC24" i="9"/>
  <c r="D31" i="9"/>
  <c r="D36" i="9" s="1"/>
  <c r="I24" i="9"/>
  <c r="BV23" i="1"/>
  <c r="BY23" i="1"/>
  <c r="BY20" i="1"/>
  <c r="BS24" i="1"/>
  <c r="BV20" i="1"/>
  <c r="C45" i="1"/>
  <c r="D45" i="1" s="1"/>
  <c r="C42" i="1"/>
  <c r="D42" i="1" s="1"/>
  <c r="BQ24" i="1"/>
  <c r="BY19" i="1"/>
  <c r="J26" i="8"/>
  <c r="P21" i="8" s="1"/>
  <c r="AG24" i="1"/>
  <c r="J32" i="1"/>
  <c r="J36" i="1" s="1"/>
  <c r="C33" i="1"/>
  <c r="E24" i="1"/>
  <c r="U36" i="1"/>
  <c r="T43" i="1"/>
  <c r="S46" i="1"/>
  <c r="Q31" i="1"/>
  <c r="Q36" i="1" s="1"/>
  <c r="BO24" i="1"/>
  <c r="J31" i="9"/>
  <c r="J36" i="9" s="1"/>
  <c r="AG24" i="9"/>
  <c r="N41" i="9"/>
  <c r="BK24" i="1"/>
  <c r="C34" i="9"/>
  <c r="AC24" i="1"/>
  <c r="AN42" i="1"/>
  <c r="AR42" i="1"/>
  <c r="AQ46" i="1"/>
  <c r="AO24" i="9"/>
  <c r="L33" i="9"/>
  <c r="AO24" i="1"/>
  <c r="L35" i="1"/>
  <c r="H34" i="1"/>
  <c r="AB42" i="1"/>
  <c r="K34" i="1"/>
  <c r="E34" i="9"/>
  <c r="M24" i="9"/>
  <c r="X36" i="1"/>
  <c r="AM32" i="1"/>
  <c r="CO24" i="1"/>
  <c r="DA24" i="1"/>
  <c r="I31" i="1"/>
  <c r="I36" i="1" s="1"/>
  <c r="EE24" i="9"/>
  <c r="AE24" i="9"/>
  <c r="V32" i="9"/>
  <c r="V36" i="9" s="1"/>
  <c r="DA23" i="9"/>
  <c r="X35" i="9" s="1"/>
  <c r="X36" i="9" s="1"/>
  <c r="AI43" i="1"/>
  <c r="W43" i="1"/>
  <c r="X43" i="1" s="1"/>
  <c r="W42" i="1"/>
  <c r="DW24" i="9"/>
  <c r="AI31" i="9"/>
  <c r="AI36" i="9" s="1"/>
  <c r="DK24" i="9"/>
  <c r="AP43" i="9"/>
  <c r="AQ42" i="9"/>
  <c r="AR42" i="9" s="1"/>
  <c r="CC20" i="9"/>
  <c r="AE24" i="1"/>
  <c r="Q46" i="1"/>
  <c r="BG20" i="1"/>
  <c r="AI24" i="9"/>
  <c r="AQ41" i="9"/>
  <c r="AE41" i="9"/>
  <c r="CO19" i="9"/>
  <c r="P31" i="9"/>
  <c r="P36" i="9" s="1"/>
  <c r="U42" i="9"/>
  <c r="DI24" i="9"/>
  <c r="AA24" i="1"/>
  <c r="AQ24" i="1"/>
  <c r="DW24" i="1"/>
  <c r="AV22" i="1"/>
  <c r="DQ24" i="9"/>
  <c r="AC42" i="9"/>
  <c r="W24" i="9"/>
  <c r="CU24" i="9"/>
  <c r="CW19" i="9"/>
  <c r="DS24" i="9"/>
  <c r="N36" i="9"/>
  <c r="N44" i="9"/>
  <c r="AZ24" i="1"/>
  <c r="P34" i="1"/>
  <c r="P36" i="1" s="1"/>
  <c r="BO24" i="9"/>
  <c r="O24" i="9"/>
  <c r="E32" i="9"/>
  <c r="AA41" i="9"/>
  <c r="AI45" i="9"/>
  <c r="AJ45" i="9" s="1"/>
  <c r="BD21" i="9"/>
  <c r="BG21" i="9"/>
  <c r="CF20" i="9"/>
  <c r="AC24" i="9"/>
  <c r="I31" i="9"/>
  <c r="I36" i="9" s="1"/>
  <c r="AK24" i="9"/>
  <c r="Q36" i="9"/>
  <c r="K41" i="9"/>
  <c r="H41" i="1"/>
  <c r="K41" i="1"/>
  <c r="L41" i="1" s="1"/>
  <c r="H45" i="1"/>
  <c r="J45" i="1" s="1"/>
  <c r="Y24" i="1" l="1"/>
  <c r="Q24" i="9"/>
  <c r="CI24" i="9"/>
  <c r="Q24" i="1"/>
  <c r="F34" i="1"/>
  <c r="F36" i="1"/>
  <c r="G12" i="10"/>
  <c r="E12" i="10" s="1"/>
  <c r="B34" i="10" s="1"/>
  <c r="P26" i="8"/>
  <c r="AO47" i="4" a="1"/>
  <c r="AO47" i="4" s="1"/>
  <c r="F36" i="9"/>
  <c r="G33" i="1"/>
  <c r="H36" i="1"/>
  <c r="M46" i="1"/>
  <c r="AG36" i="1"/>
  <c r="AC36" i="1"/>
  <c r="AH36" i="1"/>
  <c r="AA46" i="1"/>
  <c r="R33" i="1"/>
  <c r="AK36" i="1"/>
  <c r="AC46" i="1"/>
  <c r="AD46" i="1"/>
  <c r="Y46" i="1"/>
  <c r="R34" i="9"/>
  <c r="Z46" i="1"/>
  <c r="AE36" i="1"/>
  <c r="R34" i="1"/>
  <c r="N46" i="1"/>
  <c r="R32" i="9"/>
  <c r="C44" i="9"/>
  <c r="E44" i="9" s="1"/>
  <c r="R35" i="9"/>
  <c r="E24" i="9"/>
  <c r="R31" i="9"/>
  <c r="BV24" i="9"/>
  <c r="S35" i="9"/>
  <c r="AG36" i="9"/>
  <c r="S31" i="1"/>
  <c r="C45" i="9"/>
  <c r="E45" i="9" s="1"/>
  <c r="AK46" i="9"/>
  <c r="M46" i="9"/>
  <c r="V36" i="1"/>
  <c r="O46" i="1"/>
  <c r="AB46" i="1"/>
  <c r="W36" i="1"/>
  <c r="AL36" i="1"/>
  <c r="AF36" i="1"/>
  <c r="AM46" i="1"/>
  <c r="R46" i="1"/>
  <c r="AJ36" i="1"/>
  <c r="K36" i="1"/>
  <c r="AK24" i="1"/>
  <c r="C41" i="1"/>
  <c r="D41" i="1" s="1"/>
  <c r="AF46" i="1"/>
  <c r="V46" i="1"/>
  <c r="S33" i="1"/>
  <c r="AR46" i="1"/>
  <c r="T46" i="1"/>
  <c r="AM36" i="1"/>
  <c r="CW24" i="1"/>
  <c r="AN46" i="1"/>
  <c r="P46" i="1"/>
  <c r="AN36" i="1"/>
  <c r="AD36" i="1"/>
  <c r="AT46" i="1"/>
  <c r="D36" i="1"/>
  <c r="Z46" i="9"/>
  <c r="AM36" i="9"/>
  <c r="AH36" i="9"/>
  <c r="AA36" i="9"/>
  <c r="AL36" i="9"/>
  <c r="C41" i="9"/>
  <c r="S31" i="9"/>
  <c r="T46" i="9"/>
  <c r="AL46" i="9"/>
  <c r="AF36" i="9"/>
  <c r="AJ36" i="9"/>
  <c r="AG46" i="9"/>
  <c r="AS24" i="9"/>
  <c r="O31" i="9"/>
  <c r="AJ46" i="9"/>
  <c r="DA24" i="9"/>
  <c r="AO46" i="9"/>
  <c r="BY24" i="9"/>
  <c r="AV24" i="9"/>
  <c r="W46" i="9"/>
  <c r="AH46" i="9"/>
  <c r="AN46" i="9"/>
  <c r="BS24" i="9"/>
  <c r="AN36" i="9"/>
  <c r="S34" i="9"/>
  <c r="AB36" i="9"/>
  <c r="Y46" i="9"/>
  <c r="AE36" i="9"/>
  <c r="AM46" i="9"/>
  <c r="AK36" i="9"/>
  <c r="O35" i="9"/>
  <c r="BG24" i="9"/>
  <c r="CF24" i="9"/>
  <c r="X46" i="9"/>
  <c r="AP46" i="9"/>
  <c r="AI46" i="9"/>
  <c r="AC36" i="9"/>
  <c r="Z36" i="9"/>
  <c r="R33" i="9"/>
  <c r="AT42" i="9"/>
  <c r="AT46" i="9" s="1"/>
  <c r="AS46" i="9"/>
  <c r="AD36" i="9"/>
  <c r="M31" i="9"/>
  <c r="M36" i="9" s="1"/>
  <c r="O46" i="9"/>
  <c r="CI24" i="1"/>
  <c r="S35" i="1"/>
  <c r="P46" i="9"/>
  <c r="S34" i="1"/>
  <c r="S32" i="1"/>
  <c r="AE46" i="1"/>
  <c r="CF24" i="1"/>
  <c r="AL46" i="1"/>
  <c r="AH41" i="1"/>
  <c r="AH46" i="1" s="1"/>
  <c r="AG46" i="1"/>
  <c r="AP42" i="1"/>
  <c r="AP46" i="1" s="1"/>
  <c r="AO46" i="1"/>
  <c r="G31" i="1"/>
  <c r="G36" i="1" s="1"/>
  <c r="U24" i="1"/>
  <c r="R41" i="9"/>
  <c r="R46" i="9" s="1"/>
  <c r="Q46" i="9"/>
  <c r="S46" i="9"/>
  <c r="CS24" i="1"/>
  <c r="AV24" i="1"/>
  <c r="M31" i="1"/>
  <c r="Y36" i="9"/>
  <c r="BV24" i="1"/>
  <c r="E44" i="1"/>
  <c r="F44" i="1" s="1"/>
  <c r="E45" i="1"/>
  <c r="F45" i="1" s="1"/>
  <c r="AU45" i="1" s="1"/>
  <c r="AV45" i="1" s="1"/>
  <c r="E42" i="1"/>
  <c r="F42" i="1" s="1"/>
  <c r="R32" i="1"/>
  <c r="R35" i="1"/>
  <c r="R31" i="1"/>
  <c r="BY24" i="1"/>
  <c r="L36" i="9"/>
  <c r="J41" i="1"/>
  <c r="J46" i="1" s="1"/>
  <c r="H46" i="1"/>
  <c r="BD24" i="9"/>
  <c r="O33" i="9"/>
  <c r="AF41" i="9"/>
  <c r="AF46" i="9" s="1"/>
  <c r="AE46" i="9"/>
  <c r="C36" i="9"/>
  <c r="AQ46" i="9"/>
  <c r="AR41" i="9"/>
  <c r="AR46" i="9" s="1"/>
  <c r="CC24" i="9"/>
  <c r="S32" i="9"/>
  <c r="X42" i="1"/>
  <c r="X46" i="1" s="1"/>
  <c r="W46" i="1"/>
  <c r="N46" i="9"/>
  <c r="U46" i="9"/>
  <c r="V42" i="9"/>
  <c r="V46" i="9" s="1"/>
  <c r="L46" i="1"/>
  <c r="K46" i="1"/>
  <c r="U31" i="9"/>
  <c r="U36" i="9" s="1"/>
  <c r="CO24" i="9"/>
  <c r="W31" i="9"/>
  <c r="W36" i="9" s="1"/>
  <c r="CW24" i="9"/>
  <c r="AB41" i="9"/>
  <c r="AB46" i="9" s="1"/>
  <c r="AA46" i="9"/>
  <c r="H32" i="9"/>
  <c r="H36" i="9" s="1"/>
  <c r="Y24" i="9"/>
  <c r="BG24" i="1"/>
  <c r="O32" i="1"/>
  <c r="O36" i="1" s="1"/>
  <c r="AJ43" i="1"/>
  <c r="AJ46" i="1" s="1"/>
  <c r="AI46" i="1"/>
  <c r="C43" i="9"/>
  <c r="L36" i="1"/>
  <c r="E43" i="1"/>
  <c r="D43" i="1"/>
  <c r="L41" i="9"/>
  <c r="L46" i="9" s="1"/>
  <c r="K46" i="9"/>
  <c r="E36" i="9"/>
  <c r="AC46" i="9"/>
  <c r="AD42" i="9"/>
  <c r="AD46" i="9" s="1"/>
  <c r="C42" i="9"/>
  <c r="M34" i="1"/>
  <c r="C36" i="1"/>
  <c r="AN47" i="4" l="1"/>
  <c r="AO21" i="4"/>
  <c r="AO33" i="1"/>
  <c r="AP33" i="1" s="1"/>
  <c r="AU44" i="1"/>
  <c r="AV44" i="1" s="1"/>
  <c r="AO34" i="9"/>
  <c r="AP34" i="9" s="1"/>
  <c r="R36" i="9"/>
  <c r="AO35" i="1"/>
  <c r="AP35" i="1" s="1"/>
  <c r="AO35" i="9"/>
  <c r="AP35" i="9" s="1"/>
  <c r="D44" i="9"/>
  <c r="F44" i="9" s="1"/>
  <c r="D45" i="9"/>
  <c r="F45" i="9" s="1"/>
  <c r="H45" i="9"/>
  <c r="I45" i="9"/>
  <c r="H44" i="9"/>
  <c r="I44" i="9"/>
  <c r="H43" i="9"/>
  <c r="I43" i="9"/>
  <c r="I42" i="9"/>
  <c r="H42" i="9"/>
  <c r="G46" i="9"/>
  <c r="H41" i="9"/>
  <c r="I41" i="9"/>
  <c r="E41" i="1"/>
  <c r="E46" i="1" s="1"/>
  <c r="D46" i="1"/>
  <c r="C46" i="1"/>
  <c r="E41" i="9"/>
  <c r="D41" i="9"/>
  <c r="O36" i="9"/>
  <c r="AO33" i="9"/>
  <c r="AP33" i="9" s="1"/>
  <c r="S36" i="9"/>
  <c r="S36" i="1"/>
  <c r="AO34" i="1"/>
  <c r="AP34" i="1" s="1"/>
  <c r="AO31" i="1"/>
  <c r="AP31" i="1" s="1"/>
  <c r="M36" i="1"/>
  <c r="F43" i="1"/>
  <c r="AU43" i="1" s="1"/>
  <c r="AV43" i="1" s="1"/>
  <c r="R36" i="1"/>
  <c r="AO32" i="9"/>
  <c r="AU42" i="1"/>
  <c r="AV42" i="1" s="1"/>
  <c r="AO31" i="9"/>
  <c r="AP31" i="9" s="1"/>
  <c r="D42" i="9"/>
  <c r="E42" i="9"/>
  <c r="C46" i="9"/>
  <c r="E43" i="9"/>
  <c r="D43" i="9"/>
  <c r="AO32" i="1"/>
  <c r="G30" i="10" l="1"/>
  <c r="AN21" i="4"/>
  <c r="D75" i="4" s="1"/>
  <c r="C75" i="4" s="1"/>
  <c r="E25" i="10" s="1"/>
  <c r="AP32" i="1"/>
  <c r="AP32" i="9"/>
  <c r="F41" i="1"/>
  <c r="AU41" i="1" s="1"/>
  <c r="AV41" i="1" s="1"/>
  <c r="J42" i="9"/>
  <c r="J44" i="9"/>
  <c r="AU44" i="9" s="1"/>
  <c r="AV44" i="9" s="1"/>
  <c r="J45" i="9"/>
  <c r="AU45" i="9" s="1"/>
  <c r="AV45" i="9" s="1"/>
  <c r="I46" i="9"/>
  <c r="J41" i="9"/>
  <c r="H46" i="9"/>
  <c r="J43" i="9"/>
  <c r="F41" i="9"/>
  <c r="F43" i="9"/>
  <c r="AO36" i="1"/>
  <c r="F42" i="9"/>
  <c r="D46" i="9"/>
  <c r="AO36" i="9"/>
  <c r="E46" i="9"/>
  <c r="G25" i="10" l="1"/>
  <c r="D4" i="10" a="1"/>
  <c r="D4" i="10" s="1"/>
  <c r="G4" i="10" s="1"/>
  <c r="E30" i="10"/>
  <c r="F46" i="1"/>
  <c r="J46" i="9"/>
  <c r="AU43" i="9"/>
  <c r="AV43" i="9" s="1"/>
  <c r="AU41" i="9"/>
  <c r="AV41" i="9" s="1"/>
  <c r="AU46" i="1"/>
  <c r="AX44" i="1" s="1"/>
  <c r="AU42" i="9"/>
  <c r="F46" i="9"/>
  <c r="AV42" i="9" l="1"/>
  <c r="AV46" i="9" a="1"/>
  <c r="AV46" i="9" s="1"/>
  <c r="AX45" i="1"/>
  <c r="D3" i="10" s="1"/>
  <c r="G3" i="10" s="1"/>
  <c r="AU46" i="9"/>
  <c r="AX44" i="9" l="1"/>
  <c r="E14" i="10" s="1"/>
  <c r="E13" i="10" l="1"/>
  <c r="BB44" i="9" a="1"/>
  <c r="BB44" i="9" s="1"/>
  <c r="AX45" i="9"/>
  <c r="BB51" i="9" l="1"/>
  <c r="BB52" i="9" s="1"/>
  <c r="BB45" i="9"/>
  <c r="D5" i="10"/>
  <c r="G5" i="10" l="1"/>
  <c r="G9" i="10"/>
  <c r="G8" i="10"/>
  <c r="G34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<sst xmlns="http://schemas.openxmlformats.org/spreadsheetml/2006/main" count="1264" uniqueCount="288">
  <si>
    <t>Dans tous les onglets : cellules en orange à compléter</t>
  </si>
  <si>
    <t>/ ! \ ATTENTION aux teneurs en éléments fertilisants  : modifier ou compléter si besoin</t>
  </si>
  <si>
    <t>Résultats : réductions d'émissions de GES, rabais, cobénéfices</t>
  </si>
  <si>
    <t>Résultats intermédiaires</t>
  </si>
  <si>
    <t>Les cellules des autres couleurs sont pré-saisies ou se remplissent par calcul</t>
  </si>
  <si>
    <t>Réductions d'émissions</t>
  </si>
  <si>
    <t>GES avant notification</t>
  </si>
  <si>
    <t>GES après notification</t>
  </si>
  <si>
    <t>Vérification des cobénéfices nécessaires à la validation des réductions d'émissions</t>
  </si>
  <si>
    <t>cobénéfice vérifié (O/N)</t>
  </si>
  <si>
    <t>points de bonus</t>
  </si>
  <si>
    <t>préservation de la ressource en eau</t>
  </si>
  <si>
    <t>préservation de la qualité de l'eau</t>
  </si>
  <si>
    <t>préservation de la biodiversité</t>
  </si>
  <si>
    <t>Rabais et bonus potentiels sur les réductions d'émissions</t>
  </si>
  <si>
    <t>Rabais ou bonus</t>
  </si>
  <si>
    <t>Valeur du rabais ou bonus</t>
  </si>
  <si>
    <t>contractualisation MAEC</t>
  </si>
  <si>
    <t>conversion AB</t>
  </si>
  <si>
    <t>évolution de la production</t>
  </si>
  <si>
    <t xml:space="preserve">évolution de l'occupation des terres </t>
  </si>
  <si>
    <t>Réduction d'émissions validables</t>
  </si>
  <si>
    <t>CALCULS DES EMISSIONS AVANT NOTIFICATION</t>
  </si>
  <si>
    <t>1. ACHATS ET VARIATIONS DE STOCKS D'INTRANTS</t>
  </si>
  <si>
    <t>ENGRAIS SIMPLES</t>
  </si>
  <si>
    <t>ENGRAIS BINAIRES</t>
  </si>
  <si>
    <t>ENGRAIS TERNAIRES</t>
  </si>
  <si>
    <t>PRODUITS PHYTOSANITAIRES</t>
  </si>
  <si>
    <t>CHAUX ET AMENDEMENTS CALCO-MAGNESIENS</t>
  </si>
  <si>
    <t>AMENDEMENTS ORGANIQUES NFU 44-051</t>
  </si>
  <si>
    <t>Ammonitrate anhydre</t>
  </si>
  <si>
    <t>Ammonitrate 33,5%</t>
  </si>
  <si>
    <t>Ammonitrate calcaire 27%</t>
  </si>
  <si>
    <t>Solution azotée</t>
  </si>
  <si>
    <t>Urée</t>
  </si>
  <si>
    <t>Autres</t>
  </si>
  <si>
    <t>Trisuperphosphate</t>
  </si>
  <si>
    <t>Autres engrais phosphatés</t>
  </si>
  <si>
    <t>Chlorure de Potasse</t>
  </si>
  <si>
    <t>Autres engrais potassiques</t>
  </si>
  <si>
    <t>Engrais binaire PK</t>
  </si>
  <si>
    <t>Nitrate de potassium</t>
  </si>
  <si>
    <t>Engrais binaire NK</t>
  </si>
  <si>
    <t>Monoammonium phosphate</t>
  </si>
  <si>
    <t>engrais NPK-1</t>
  </si>
  <si>
    <t>chaux vive</t>
  </si>
  <si>
    <t>carbonate de calcium</t>
  </si>
  <si>
    <t>dolomie</t>
  </si>
  <si>
    <t>écumes de sucrerie</t>
  </si>
  <si>
    <t>Amendement 4</t>
  </si>
  <si>
    <t>Compost de biodéchets (moins de 10% de déchets verts)</t>
  </si>
  <si>
    <t>Compost de biodéchets et de déchets verts</t>
  </si>
  <si>
    <t>Fumier (mix générique) stocké en surface ou en fosse</t>
  </si>
  <si>
    <t>Fumier et fraction solide de lisier, séché thermiquement</t>
  </si>
  <si>
    <t>Compost moyen (déchets verts, biodéchets, boues, fumier, lisier)</t>
  </si>
  <si>
    <t>Compost de fraction solide de digestat issu de fumier et de déchets verts</t>
  </si>
  <si>
    <t>Compost de lisier de porc + paille</t>
  </si>
  <si>
    <t>Compost de fraction solide de lisier</t>
  </si>
  <si>
    <t>Fraction solide de digestat agricole, séché thermiquement et pelletisé</t>
  </si>
  <si>
    <t>Digestat de boues d’épuration</t>
  </si>
  <si>
    <t>achats (kg)</t>
  </si>
  <si>
    <t>stock initial (kg)</t>
  </si>
  <si>
    <t>stock final (kg)</t>
  </si>
  <si>
    <t>achats (t)</t>
  </si>
  <si>
    <t>stock initial (t)</t>
  </si>
  <si>
    <t>stock final (t)</t>
  </si>
  <si>
    <t>N-5</t>
  </si>
  <si>
    <t>N-4</t>
  </si>
  <si>
    <t>N-3</t>
  </si>
  <si>
    <t>N-2</t>
  </si>
  <si>
    <t>N-1</t>
  </si>
  <si>
    <t>ENGRAIS MINERAUX</t>
  </si>
  <si>
    <t>CHAUX ET AMENDEMENTS CALCO-MAGNESIEN</t>
  </si>
  <si>
    <t>GENERIQUES</t>
  </si>
  <si>
    <t>CHAUX VIVE</t>
  </si>
  <si>
    <t>CARBONATE DE CALCIUM</t>
  </si>
  <si>
    <t>DOLOMIE</t>
  </si>
  <si>
    <t>ECUMES DE SUCRERIE</t>
  </si>
  <si>
    <t>AZOTE</t>
  </si>
  <si>
    <t>PHOSPHORE</t>
  </si>
  <si>
    <t>POTASSE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</si>
  <si>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</si>
  <si>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</si>
  <si>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</si>
  <si>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</si>
  <si>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</si>
  <si>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</si>
  <si>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</si>
  <si>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Quantités (kg)</t>
  </si>
  <si>
    <t>Phosphore</t>
  </si>
  <si>
    <t>Potasse</t>
  </si>
  <si>
    <t>Azote</t>
  </si>
  <si>
    <t>%N</t>
  </si>
  <si>
    <t>Unités de N</t>
  </si>
  <si>
    <t>FE N</t>
  </si>
  <si>
    <t>%P205</t>
  </si>
  <si>
    <t>Unités de P205</t>
  </si>
  <si>
    <t>FE P205</t>
  </si>
  <si>
    <t>%K20</t>
  </si>
  <si>
    <t>Unités de K20</t>
  </si>
  <si>
    <t>FE K20</t>
  </si>
  <si>
    <t>%K2O</t>
  </si>
  <si>
    <t>%P2O5</t>
  </si>
  <si>
    <t>Unités de P2O5</t>
  </si>
  <si>
    <t>FE P2O5</t>
  </si>
  <si>
    <t>FE PPP</t>
  </si>
  <si>
    <t xml:space="preserve">VN </t>
  </si>
  <si>
    <t>Quantités VN (kg)</t>
  </si>
  <si>
    <t>FE Chaux</t>
  </si>
  <si>
    <t>VN</t>
  </si>
  <si>
    <t>FE carbonate Ca</t>
  </si>
  <si>
    <t>FE dolomie</t>
  </si>
  <si>
    <t>FE écumes sucrerie</t>
  </si>
  <si>
    <t>FE Amendement 1</t>
  </si>
  <si>
    <t>FE Amendement 2</t>
  </si>
  <si>
    <t>FE Amendement 3</t>
  </si>
  <si>
    <t>FE Amendement 4</t>
  </si>
  <si>
    <t>FE Amendement 5</t>
  </si>
  <si>
    <t>FE Amendement 6</t>
  </si>
  <si>
    <t>quantités (t)</t>
  </si>
  <si>
    <t>FE amendement (kgeqCO2/t)</t>
  </si>
  <si>
    <t>TOTAUX</t>
  </si>
  <si>
    <t>3. CALCULS DES EMISSIONS INDIRECTES AMONT EN kg eqCO2</t>
  </si>
  <si>
    <t>PRODUITS
PHYTOS</t>
  </si>
  <si>
    <t>AMENDEMENTS ORGANIQUES NFU44-051</t>
  </si>
  <si>
    <t>TOTAUX
kgeqCO2</t>
  </si>
  <si>
    <r>
      <t>TOTAUX kgeqCO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/ha</t>
    </r>
  </si>
  <si>
    <t>Ecumes de sucrerie</t>
  </si>
  <si>
    <t>4. CALCULS DES EMISSIONS DIRECTES AU CHAMP EN kgeqCO2</t>
  </si>
  <si>
    <t>N2O ENGRAIS MINERAUX AZOTES</t>
  </si>
  <si>
    <t>N2O AUTRES SOURCES D'AZOTE ORGANIQUES</t>
  </si>
  <si>
    <t xml:space="preserve"> CO2 CHAUX ET DOLOMIE</t>
  </si>
  <si>
    <t>Total Unités N apportées</t>
  </si>
  <si>
    <t>Emissions N2O directes</t>
  </si>
  <si>
    <t>Emissions N2O indirectes</t>
  </si>
  <si>
    <t>Total kg eq CO2</t>
  </si>
  <si>
    <t>Total unités N apportées</t>
  </si>
  <si>
    <t>Quantité de CaCO3 (kg)</t>
  </si>
  <si>
    <t>émissions CO2 directes</t>
  </si>
  <si>
    <t>Quantité de CaMg(CO3)2 (kg)</t>
  </si>
  <si>
    <t xml:space="preserve"> N Amendement organique 1</t>
  </si>
  <si>
    <t>émissions N2O (kgeq CO2)</t>
  </si>
  <si>
    <t>N amendement organique 2</t>
  </si>
  <si>
    <t>N Amendement organique 3</t>
  </si>
  <si>
    <t>N Amendement organique 4</t>
  </si>
  <si>
    <t>N amendement organique 5</t>
  </si>
  <si>
    <t xml:space="preserve"> N amendement organique 6</t>
  </si>
  <si>
    <t>N Compost de biodéchets (moins de 10% de déchets verts)</t>
  </si>
  <si>
    <t>N Compost de biodéchets et de déchets verts</t>
  </si>
  <si>
    <t>N Fumier (mix générique) stocké en surface ou en fosse</t>
  </si>
  <si>
    <t>N Fumier et fraction solide de lisier, séché thermiquement</t>
  </si>
  <si>
    <t>N Compost moyen (déchets verts, biodéchets, boues, fumier, lisier)</t>
  </si>
  <si>
    <t>N Compost de fraction solide de digestat issu de fumier et de déchets verts</t>
  </si>
  <si>
    <t>N Compost de lisier de porc + paille</t>
  </si>
  <si>
    <t>N Compost de fraction solide de lisier</t>
  </si>
  <si>
    <t>N Fraction solide de digestat agricole, séché thermiquement et pelletisé</t>
  </si>
  <si>
    <t>N Digestat de boues d’épuration</t>
  </si>
  <si>
    <t>Total des émissions de GES générées en 5 ans (scénario de référence)</t>
  </si>
  <si>
    <t>kg eq CO2</t>
  </si>
  <si>
    <t>t eq CO2</t>
  </si>
  <si>
    <t xml:space="preserve">5. FACTEURS D'EMISSION </t>
  </si>
  <si>
    <t>Facteur d'émission N2O direct engrais minéraux (kg N2O/kgN)</t>
  </si>
  <si>
    <t>Facteur d'émission N2O direct autres sources d'azote (kgN2O/kgN)</t>
  </si>
  <si>
    <t>Facteur d'émission N2O indirect N volatilisé engrais minéraux (kg N2O/kg N)</t>
  </si>
  <si>
    <t>Facteur d'émission N2O indirect N volatilisé autres sources d'azote (kg N2O/kg N)</t>
  </si>
  <si>
    <t>Facteur d'émission N2O indirect N lixivié (kg N2O/kg N)</t>
  </si>
  <si>
    <t>Facteur d'émission chaux calcaire</t>
  </si>
  <si>
    <t>Facteur d'émission chaux dolomie</t>
  </si>
  <si>
    <t>6. FACTEURS DE CARACTERISATION</t>
  </si>
  <si>
    <t>Facteurs de caractérisation du N2O (kg eq CO2/ kgN2O)</t>
  </si>
  <si>
    <t>7. REFERENCES TENEURS EN N AMENDEMENTS ORGANIQUES</t>
  </si>
  <si>
    <t>Teneur en N (g/kg)</t>
  </si>
  <si>
    <t>CALCULS DES EMISSIONS APRES NOTIFICATION</t>
  </si>
  <si>
    <t>N</t>
  </si>
  <si>
    <t>N+1</t>
  </si>
  <si>
    <t>N+2</t>
  </si>
  <si>
    <t>N+3</t>
  </si>
  <si>
    <t>N+4</t>
  </si>
  <si>
    <t>Total des émissions de GES générées en 5 ans par le projet</t>
  </si>
  <si>
    <t>Total émissions évitées entre Projet et Scénario de référence avant rabais</t>
  </si>
  <si>
    <t>teq CO2</t>
  </si>
  <si>
    <t>Total émissions évitées entre Projet et Scénario de référence après rabais</t>
  </si>
  <si>
    <t>kgeq CO2</t>
  </si>
  <si>
    <t xml:space="preserve">Suivi de la production </t>
  </si>
  <si>
    <t>année</t>
  </si>
  <si>
    <t>SAU (ha)</t>
  </si>
  <si>
    <t>SFP (ha)</t>
  </si>
  <si>
    <t>UGB</t>
  </si>
  <si>
    <t>Quantité de lait vendu (hL)</t>
  </si>
  <si>
    <t>Quantité de viande vendue en vif (t)</t>
  </si>
  <si>
    <t>rendement moyen annuel lait (hL/ha)</t>
  </si>
  <si>
    <t>Valeur du rabais ou du bonus</t>
  </si>
  <si>
    <t>Année</t>
  </si>
  <si>
    <t>rdt moyen référence (t/ha)</t>
  </si>
  <si>
    <t>rdt moyen projet (t/ha)</t>
  </si>
  <si>
    <t>écart relatif -20%</t>
  </si>
  <si>
    <t>quantité vendue</t>
  </si>
  <si>
    <t>rdt moyen (t/ha)</t>
  </si>
  <si>
    <t>culture</t>
  </si>
  <si>
    <t>Suivi des surfaces : évolution du carbone du sol</t>
  </si>
  <si>
    <t>Surface en prairies permanentes (ha)</t>
  </si>
  <si>
    <t>Surface en cultures pérennes (ha)</t>
  </si>
  <si>
    <t>surface en haies (ha)</t>
  </si>
  <si>
    <t>RABAIS ou BONUS</t>
  </si>
  <si>
    <t xml:space="preserve">saisir O/N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</si>
  <si>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Une MAEC « systèmes » ou bien correspondant à des enjeux agro-environnementaux localisés sur une zone du territoire a été contractualisée durant les 5 années du projet</t>
    </r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</si>
  <si>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L'exloitation agricole a débuté sa conversion à l'agriculture biologique durant les 5 années du projet</t>
    </r>
  </si>
  <si>
    <t>Indicateurs de co-bénéfices</t>
  </si>
  <si>
    <t>IFT</t>
  </si>
  <si>
    <t>lien vers le site du ministère de l'agriculture pour les calculs de l'IFT :</t>
  </si>
  <si>
    <t>https://alim.agriculture.gouv.fr/ift/bilan-ift/2018</t>
  </si>
  <si>
    <t>choix des références</t>
  </si>
  <si>
    <t>spécifiques (O/N)</t>
  </si>
  <si>
    <t>génériques (O/N)</t>
  </si>
  <si>
    <t xml:space="preserve">IFT herbicide exploitation </t>
  </si>
  <si>
    <t>IFT hors herbicide exploitation</t>
  </si>
  <si>
    <t>écart des IFT herbicides :</t>
  </si>
  <si>
    <t>écart des IFT non herbicides :</t>
  </si>
  <si>
    <t>moyenne olympique de référence</t>
  </si>
  <si>
    <t>moyenne olympique du projet</t>
  </si>
  <si>
    <t>points de bonus liés à une moindre consommation d'herbicides :</t>
  </si>
  <si>
    <t>Eau d'irrigation</t>
  </si>
  <si>
    <t>points de bonus liés à une moindre consommation de non-herbicides :</t>
  </si>
  <si>
    <t>consommation eau irrigation (m3)</t>
  </si>
  <si>
    <t>écart des consommations d'eau avant-après projet</t>
  </si>
  <si>
    <t>conso cumulée (m3)</t>
  </si>
  <si>
    <t>Points de bonus liés à une moindre consommation d'eau d'irrigation :</t>
  </si>
  <si>
    <t>Autres indicateurs de co-bénéfices</t>
  </si>
  <si>
    <t>A COMPLETER PAR L'UTILISATEUR</t>
  </si>
  <si>
    <t>rdt moyen référence par ha</t>
  </si>
  <si>
    <t>rendement moyen annuel animal (UGB/haSFP)</t>
  </si>
  <si>
    <t>valeur du rabais ou bonus</t>
  </si>
  <si>
    <t>RABAIS ou BONUS ?</t>
  </si>
  <si>
    <t>Elevage</t>
  </si>
  <si>
    <t>Cultures</t>
  </si>
  <si>
    <t>Bonus et rabais : Valeur globale</t>
  </si>
  <si>
    <t>Global - Elevage &amp; Cultures</t>
  </si>
  <si>
    <t>Valeur globale</t>
  </si>
  <si>
    <t>Suivi des contractualisations MAEC et conversion à l'agriculture biologique</t>
  </si>
  <si>
    <t>Après la notification du Projet</t>
  </si>
  <si>
    <t>Avant la notification du Projet</t>
  </si>
  <si>
    <t>O</t>
  </si>
  <si>
    <t>rendement moyen annuel viande (tviande/haSAU)</t>
  </si>
  <si>
    <t>Production animale (laisser vide en cas d'absence de données)</t>
  </si>
  <si>
    <t>2. QUANTITES CONSOMMEES D'INTRANTS ET CONVERSION EN UNITES N, P et K POUR LES ENGRAIS</t>
  </si>
  <si>
    <t>NOTE : En cas de non utilisation de phytosanitaires, renseigner la valeur 0 (zéro).</t>
  </si>
  <si>
    <t>NOTE : En cas de non irrigation, renseigner la valeur 0 (zéro).</t>
  </si>
  <si>
    <t>Déclaration des surfaces  (laisser vide en cas d'absence de données)</t>
  </si>
  <si>
    <t>Production végétale  (laisser vide en cas d'absence de données)</t>
  </si>
  <si>
    <t>Avant la Notification du Projet  (laisser vide en cas d'absence de données)</t>
  </si>
  <si>
    <t>A la dernière année du Projet  (laisser vide en cas d'absence de données)</t>
  </si>
  <si>
    <t>GES selon scénario de référence</t>
  </si>
  <si>
    <t>Réduction des émissions du projet :</t>
  </si>
  <si>
    <t>absolues, avant vérification des cobénéfices et rabais/bonus potentiels</t>
  </si>
  <si>
    <t>relatives, avant vérification des cobénéfices et rabais/bonus potentiels</t>
  </si>
  <si>
    <t>t eqCO2 sur 5 ans, soit</t>
  </si>
  <si>
    <t>t eqCO2/ha/an</t>
  </si>
  <si>
    <t>t eqCO2 sur 5 ans</t>
  </si>
  <si>
    <t>Réduction des engrais azotés minéraux</t>
  </si>
  <si>
    <t>Suppression des engrais phospho-potassiques minéraux</t>
  </si>
  <si>
    <t>Réduction/suppression vérifiée (O/N)</t>
  </si>
  <si>
    <t>atteinte des objectifs</t>
  </si>
  <si>
    <t xml:space="preserve">Suppression des amendements calco-magnésiens </t>
  </si>
  <si>
    <t xml:space="preserve">Les onglets à compléter sont : </t>
  </si>
  <si>
    <t>GES AVANT NOTIFICATION</t>
  </si>
  <si>
    <t xml:space="preserve">GES APRES NOTIFICATION </t>
  </si>
  <si>
    <t xml:space="preserve">CO-BENEFICES </t>
  </si>
  <si>
    <t xml:space="preserve">SUIVI RABAIS PRODUCTION ET C </t>
  </si>
  <si>
    <t>Veiller à bien dérouler l'ensemble des pages pour la saisie.</t>
  </si>
  <si>
    <t>Version 1.2</t>
  </si>
  <si>
    <t>Ce calculateur permet l'évaluation des réductions d'émissions de gaz à effets de serre, des rabais et bonus dans le cadre des projets utilisant la méthode SOBAC'ECO-TMM.</t>
  </si>
  <si>
    <t>L'onglet RECAPITULATIF permet la consultation des résultats.</t>
  </si>
  <si>
    <t xml:space="preserve">Promoteur de la méthode et concepteur du calculateur </t>
  </si>
  <si>
    <t>Autres engrais azotés</t>
  </si>
  <si>
    <t>générique</t>
  </si>
  <si>
    <t>Diammonium phosphate</t>
  </si>
  <si>
    <t>Générique</t>
  </si>
  <si>
    <t>engrais NPK-2</t>
  </si>
  <si>
    <t>Avoine d'hiver</t>
  </si>
  <si>
    <t>Blé tendre d'hiver</t>
  </si>
  <si>
    <t>Févérole hiver</t>
  </si>
  <si>
    <t>Févérole printemps</t>
  </si>
  <si>
    <t>Mais fourrage</t>
  </si>
  <si>
    <t>Mais grain</t>
  </si>
  <si>
    <t>Orge d'hiver</t>
  </si>
  <si>
    <t>Orge de printemps</t>
  </si>
  <si>
    <t>Pois printemps</t>
  </si>
  <si>
    <t>Triticale d'hiver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</si>
</sst>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0.00000"/>
    <numFmt numFmtId="167" formatCode="_-* #,##0.00\ _€_-;\-* #,##0.00\ _€_-;_-* &quot;-&quot;??\ _€_-;_-@_-"/>
    <numFmt numFmtId="168" formatCode="0.0000"/>
    <numFmt numFmtId="169" formatCode="0.0%"/>
    <numFmt numFmtId="170" formatCode="0.000000000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505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5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" fillId="0" borderId="0" xfId="0" applyFont="1"/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/>
    </xf>
    <xf numFmtId="0" fontId="2" fillId="7" borderId="7" xfId="0" applyFont="1" applyFill="1" applyBorder="1"/>
    <xf numFmtId="0" fontId="2" fillId="7" borderId="0" xfId="0" applyFont="1" applyFill="1"/>
    <xf numFmtId="0" fontId="0" fillId="0" borderId="0" xfId="0" applyAlignment="1">
      <alignment horizontal="justify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9" fontId="0" fillId="0" borderId="1" xfId="1" applyFont="1" applyBorder="1"/>
    <xf numFmtId="0" fontId="3" fillId="7" borderId="0" xfId="0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9" fontId="0" fillId="0" borderId="1" xfId="1" applyFont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2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0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164" fontId="1" fillId="0" borderId="1" xfId="0" applyNumberFormat="1" applyFont="1" applyBorder="1"/>
    <xf numFmtId="0" fontId="0" fillId="0" borderId="35" xfId="0" applyBorder="1"/>
    <xf numFmtId="0" fontId="0" fillId="9" borderId="12" xfId="0" applyFill="1" applyBorder="1" applyAlignment="1">
      <alignment horizontal="left"/>
    </xf>
    <xf numFmtId="0" fontId="0" fillId="9" borderId="28" xfId="0" applyFill="1" applyBorder="1"/>
    <xf numFmtId="0" fontId="0" fillId="9" borderId="28" xfId="0" applyFill="1" applyBorder="1" applyAlignment="1">
      <alignment horizontal="right"/>
    </xf>
    <xf numFmtId="0" fontId="0" fillId="9" borderId="7" xfId="0" applyFill="1" applyBorder="1" applyAlignment="1">
      <alignment horizontal="left"/>
    </xf>
    <xf numFmtId="0" fontId="0" fillId="9" borderId="0" xfId="0" applyFill="1"/>
    <xf numFmtId="0" fontId="0" fillId="9" borderId="0" xfId="0" applyFill="1" applyAlignment="1">
      <alignment horizontal="right"/>
    </xf>
    <xf numFmtId="0" fontId="0" fillId="9" borderId="11" xfId="0" applyFill="1" applyBorder="1"/>
    <xf numFmtId="0" fontId="0" fillId="9" borderId="6" xfId="0" applyFill="1" applyBorder="1" applyAlignment="1">
      <alignment horizontal="left"/>
    </xf>
    <xf numFmtId="0" fontId="0" fillId="9" borderId="4" xfId="0" applyFill="1" applyBorder="1"/>
    <xf numFmtId="0" fontId="0" fillId="9" borderId="14" xfId="0" applyFill="1" applyBorder="1"/>
    <xf numFmtId="0" fontId="0" fillId="0" borderId="0" xfId="0" applyAlignment="1">
      <alignment shrinkToFit="1"/>
    </xf>
    <xf numFmtId="0" fontId="0" fillId="0" borderId="10" xfId="0" applyBorder="1"/>
    <xf numFmtId="0" fontId="0" fillId="0" borderId="1" xfId="0" applyBorder="1" applyAlignment="1">
      <alignment shrinkToFit="1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horizontal="justify" vertical="center"/>
    </xf>
    <xf numFmtId="0" fontId="0" fillId="0" borderId="19" xfId="0" applyBorder="1"/>
    <xf numFmtId="0" fontId="0" fillId="0" borderId="20" xfId="0" applyBorder="1"/>
    <xf numFmtId="0" fontId="10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0" fontId="2" fillId="17" borderId="1" xfId="0" applyFont="1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0" xfId="0" applyFill="1"/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2" fillId="7" borderId="0" xfId="0" applyFont="1" applyFill="1" applyAlignment="1">
      <alignment vertical="center"/>
    </xf>
    <xf numFmtId="0" fontId="0" fillId="9" borderId="13" xfId="0" applyFill="1" applyBorder="1"/>
    <xf numFmtId="0" fontId="0" fillId="9" borderId="4" xfId="0" applyFill="1" applyBorder="1" applyAlignment="1">
      <alignment horizontal="right"/>
    </xf>
    <xf numFmtId="0" fontId="2" fillId="7" borderId="10" xfId="0" applyFont="1" applyFill="1" applyBorder="1" applyAlignment="1">
      <alignment horizontal="center" vertical="center"/>
    </xf>
    <xf numFmtId="0" fontId="0" fillId="0" borderId="3" xfId="0" applyBorder="1"/>
    <xf numFmtId="0" fontId="0" fillId="19" borderId="2" xfId="0" applyFill="1" applyBorder="1" applyAlignment="1">
      <alignment horizontal="left"/>
    </xf>
    <xf numFmtId="0" fontId="0" fillId="19" borderId="5" xfId="0" applyFill="1" applyBorder="1"/>
    <xf numFmtId="0" fontId="0" fillId="19" borderId="1" xfId="0" applyFill="1" applyBorder="1"/>
    <xf numFmtId="0" fontId="14" fillId="0" borderId="12" xfId="0" applyFont="1" applyBorder="1" applyAlignment="1">
      <alignment vertical="center" wrapText="1" shrinkToFit="1"/>
    </xf>
    <xf numFmtId="0" fontId="14" fillId="14" borderId="12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shrinkToFit="1"/>
    </xf>
    <xf numFmtId="1" fontId="0" fillId="0" borderId="0" xfId="0" applyNumberFormat="1"/>
    <xf numFmtId="0" fontId="2" fillId="7" borderId="6" xfId="0" applyFont="1" applyFill="1" applyBorder="1"/>
    <xf numFmtId="0" fontId="2" fillId="7" borderId="4" xfId="0" applyFont="1" applyFill="1" applyBorder="1"/>
    <xf numFmtId="0" fontId="0" fillId="0" borderId="0" xfId="0" quotePrefix="1"/>
    <xf numFmtId="2" fontId="16" fillId="0" borderId="26" xfId="0" applyNumberFormat="1" applyFont="1" applyBorder="1" applyAlignment="1">
      <alignment horizontal="right"/>
    </xf>
    <xf numFmtId="2" fontId="0" fillId="0" borderId="44" xfId="0" applyNumberFormat="1" applyBorder="1"/>
    <xf numFmtId="0" fontId="0" fillId="15" borderId="10" xfId="0" applyFill="1" applyBorder="1" applyAlignment="1" applyProtection="1">
      <alignment horizontal="right" vertical="center"/>
      <protection locked="0"/>
    </xf>
    <xf numFmtId="0" fontId="0" fillId="15" borderId="1" xfId="0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15" borderId="46" xfId="0" applyFill="1" applyBorder="1" applyProtection="1">
      <protection locked="0"/>
    </xf>
    <xf numFmtId="0" fontId="0" fillId="15" borderId="10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166" fontId="0" fillId="16" borderId="3" xfId="0" applyNumberFormat="1" applyFill="1" applyBorder="1"/>
    <xf numFmtId="2" fontId="0" fillId="0" borderId="1" xfId="0" applyNumberFormat="1" applyBorder="1"/>
    <xf numFmtId="0" fontId="0" fillId="0" borderId="3" xfId="0" applyBorder="1" applyAlignment="1">
      <alignment horizontal="center" vertical="center"/>
    </xf>
    <xf numFmtId="0" fontId="17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8" fillId="12" borderId="46" xfId="0" applyFont="1" applyFill="1" applyBorder="1" applyAlignment="1" applyProtection="1">
      <alignment horizontal="center"/>
      <protection locked="0"/>
    </xf>
    <xf numFmtId="1" fontId="8" fillId="12" borderId="46" xfId="0" applyNumberFormat="1" applyFont="1" applyFill="1" applyBorder="1" applyAlignment="1" applyProtection="1">
      <alignment horizontal="center"/>
      <protection locked="0"/>
    </xf>
    <xf numFmtId="0" fontId="8" fillId="12" borderId="39" xfId="0" applyFont="1" applyFill="1" applyBorder="1" applyAlignment="1" applyProtection="1">
      <alignment horizontal="center"/>
      <protection locked="0"/>
    </xf>
    <xf numFmtId="0" fontId="0" fillId="15" borderId="19" xfId="0" applyFill="1" applyBorder="1" applyAlignment="1" applyProtection="1">
      <alignment horizontal="left"/>
      <protection locked="0"/>
    </xf>
    <xf numFmtId="0" fontId="0" fillId="15" borderId="1" xfId="0" applyFill="1" applyBorder="1" applyAlignment="1" applyProtection="1">
      <alignment horizontal="left"/>
      <protection locked="0"/>
    </xf>
    <xf numFmtId="0" fontId="0" fillId="15" borderId="20" xfId="0" applyFill="1" applyBorder="1" applyAlignment="1" applyProtection="1">
      <alignment horizontal="left"/>
      <protection locked="0"/>
    </xf>
    <xf numFmtId="0" fontId="0" fillId="15" borderId="19" xfId="0" applyFill="1" applyBorder="1" applyAlignment="1" applyProtection="1">
      <alignment horizontal="right"/>
      <protection locked="0"/>
    </xf>
    <xf numFmtId="0" fontId="0" fillId="15" borderId="17" xfId="0" applyFill="1" applyBorder="1" applyAlignment="1" applyProtection="1">
      <alignment horizontal="left"/>
      <protection locked="0"/>
    </xf>
    <xf numFmtId="0" fontId="0" fillId="15" borderId="21" xfId="0" applyFill="1" applyBorder="1" applyAlignment="1" applyProtection="1">
      <alignment horizontal="left"/>
      <protection locked="0"/>
    </xf>
    <xf numFmtId="0" fontId="0" fillId="15" borderId="18" xfId="0" applyFill="1" applyBorder="1" applyAlignment="1" applyProtection="1">
      <alignment horizontal="left"/>
      <protection locked="0"/>
    </xf>
    <xf numFmtId="9" fontId="0" fillId="15" borderId="1" xfId="1" applyFont="1" applyFill="1" applyBorder="1" applyAlignment="1" applyProtection="1">
      <alignment horizontal="center"/>
      <protection locked="0"/>
    </xf>
    <xf numFmtId="9" fontId="0" fillId="15" borderId="1" xfId="1" applyFont="1" applyFill="1" applyBorder="1" applyProtection="1">
      <protection locked="0"/>
    </xf>
    <xf numFmtId="9" fontId="0" fillId="15" borderId="1" xfId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0" fillId="15" borderId="2" xfId="0" applyFill="1" applyBorder="1" applyAlignment="1" applyProtection="1">
      <alignment horizontal="center" vertical="center"/>
      <protection locked="0"/>
    </xf>
    <xf numFmtId="0" fontId="0" fillId="15" borderId="19" xfId="0" applyFill="1" applyBorder="1" applyProtection="1">
      <protection locked="0"/>
    </xf>
    <xf numFmtId="0" fontId="0" fillId="15" borderId="1" xfId="0" applyFill="1" applyBorder="1" applyProtection="1">
      <protection locked="0"/>
    </xf>
    <xf numFmtId="0" fontId="0" fillId="15" borderId="20" xfId="0" applyFill="1" applyBorder="1" applyProtection="1">
      <protection locked="0"/>
    </xf>
    <xf numFmtId="0" fontId="0" fillId="15" borderId="19" xfId="0" applyFill="1" applyBorder="1" applyAlignment="1" applyProtection="1">
      <alignment horizontal="right" vertical="center"/>
      <protection locked="0"/>
    </xf>
    <xf numFmtId="0" fontId="0" fillId="15" borderId="20" xfId="0" applyFill="1" applyBorder="1" applyAlignment="1" applyProtection="1">
      <alignment horizontal="right"/>
      <protection locked="0"/>
    </xf>
    <xf numFmtId="0" fontId="0" fillId="15" borderId="17" xfId="0" applyFill="1" applyBorder="1" applyProtection="1">
      <protection locked="0"/>
    </xf>
    <xf numFmtId="0" fontId="0" fillId="15" borderId="21" xfId="0" applyFill="1" applyBorder="1" applyProtection="1">
      <protection locked="0"/>
    </xf>
    <xf numFmtId="0" fontId="0" fillId="15" borderId="17" xfId="0" applyFill="1" applyBorder="1" applyAlignment="1" applyProtection="1">
      <alignment horizontal="right"/>
      <protection locked="0"/>
    </xf>
    <xf numFmtId="0" fontId="0" fillId="15" borderId="21" xfId="0" applyFill="1" applyBorder="1" applyAlignment="1" applyProtection="1">
      <alignment horizontal="right"/>
      <protection locked="0"/>
    </xf>
    <xf numFmtId="0" fontId="0" fillId="15" borderId="2" xfId="0" applyFill="1" applyBorder="1" applyAlignment="1" applyProtection="1">
      <alignment horizontal="right"/>
      <protection locked="0"/>
    </xf>
    <xf numFmtId="0" fontId="0" fillId="15" borderId="46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2" applyAlignment="1">
      <alignment horizontal="center"/>
    </xf>
    <xf numFmtId="0" fontId="1" fillId="0" borderId="40" xfId="0" applyFont="1" applyBorder="1"/>
    <xf numFmtId="0" fontId="6" fillId="0" borderId="42" xfId="2" applyBorder="1" applyAlignment="1">
      <alignment horizontal="center"/>
    </xf>
    <xf numFmtId="0" fontId="16" fillId="0" borderId="41" xfId="2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8" fillId="12" borderId="42" xfId="0" applyFont="1" applyFill="1" applyBorder="1"/>
    <xf numFmtId="0" fontId="8" fillId="12" borderId="41" xfId="0" applyFont="1" applyFill="1" applyBorder="1"/>
    <xf numFmtId="0" fontId="8" fillId="12" borderId="40" xfId="0" applyFont="1" applyFill="1" applyBorder="1" applyAlignment="1">
      <alignment vertical="center"/>
    </xf>
    <xf numFmtId="0" fontId="8" fillId="12" borderId="42" xfId="0" applyFont="1" applyFill="1" applyBorder="1" applyAlignment="1">
      <alignment vertical="center"/>
    </xf>
    <xf numFmtId="0" fontId="8" fillId="12" borderId="41" xfId="0" applyFont="1" applyFill="1" applyBorder="1" applyAlignment="1">
      <alignment vertical="center"/>
    </xf>
    <xf numFmtId="0" fontId="8" fillId="12" borderId="31" xfId="0" applyFont="1" applyFill="1" applyBorder="1"/>
    <xf numFmtId="0" fontId="8" fillId="12" borderId="40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12" borderId="40" xfId="0" applyFill="1" applyBorder="1"/>
    <xf numFmtId="0" fontId="0" fillId="12" borderId="42" xfId="0" applyFill="1" applyBorder="1"/>
    <xf numFmtId="0" fontId="1" fillId="12" borderId="46" xfId="0" applyFont="1" applyFill="1" applyBorder="1" applyAlignment="1">
      <alignment horizontal="center" vertical="center"/>
    </xf>
    <xf numFmtId="0" fontId="0" fillId="12" borderId="43" xfId="0" applyFill="1" applyBorder="1"/>
    <xf numFmtId="0" fontId="0" fillId="12" borderId="34" xfId="0" applyFill="1" applyBorder="1"/>
    <xf numFmtId="0" fontId="1" fillId="0" borderId="1" xfId="0" applyFont="1" applyBorder="1" applyAlignment="1">
      <alignment horizontal="center" wrapText="1" shrinkToFit="1"/>
    </xf>
    <xf numFmtId="0" fontId="1" fillId="0" borderId="0" xfId="0" applyFont="1" applyAlignment="1">
      <alignment horizontal="center" wrapText="1" shrinkToFit="1"/>
    </xf>
    <xf numFmtId="0" fontId="2" fillId="12" borderId="41" xfId="0" applyFont="1" applyFill="1" applyBorder="1"/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8" fillId="17" borderId="1" xfId="0" applyFont="1" applyFill="1" applyBorder="1" applyAlignment="1">
      <alignment horizontal="center" vertical="center" wrapText="1"/>
    </xf>
    <xf numFmtId="1" fontId="1" fillId="12" borderId="46" xfId="0" applyNumberFormat="1" applyFont="1" applyFill="1" applyBorder="1" applyAlignment="1">
      <alignment horizontal="right" vertical="center"/>
    </xf>
    <xf numFmtId="2" fontId="0" fillId="0" borderId="0" xfId="0" applyNumberFormat="1" applyProtection="1">
      <protection locked="0"/>
    </xf>
    <xf numFmtId="43" fontId="0" fillId="0" borderId="0" xfId="3" applyFont="1" applyProtection="1">
      <protection locked="0"/>
    </xf>
    <xf numFmtId="167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9" fontId="0" fillId="0" borderId="0" xfId="0" applyNumberFormat="1"/>
    <xf numFmtId="2" fontId="0" fillId="0" borderId="0" xfId="0" applyNumberFormat="1"/>
    <xf numFmtId="2" fontId="0" fillId="15" borderId="19" xfId="0" applyNumberFormat="1" applyFill="1" applyBorder="1" applyAlignment="1" applyProtection="1">
      <alignment horizontal="left"/>
      <protection locked="0"/>
    </xf>
    <xf numFmtId="0" fontId="0" fillId="14" borderId="1" xfId="0" applyFill="1" applyBorder="1" applyAlignment="1" applyProtection="1">
      <alignment shrinkToFit="1"/>
      <protection locked="0"/>
    </xf>
    <xf numFmtId="165" fontId="0" fillId="0" borderId="0" xfId="0" applyNumberFormat="1"/>
    <xf numFmtId="2" fontId="0" fillId="0" borderId="1" xfId="0" applyNumberFormat="1" applyBorder="1" applyAlignment="1">
      <alignment horizontal="center" vertical="center"/>
    </xf>
    <xf numFmtId="43" fontId="0" fillId="0" borderId="0" xfId="3" applyFont="1"/>
    <xf numFmtId="0" fontId="0" fillId="0" borderId="8" xfId="0" applyBorder="1" applyAlignment="1">
      <alignment horizontal="center" vertical="center"/>
    </xf>
    <xf numFmtId="165" fontId="8" fillId="17" borderId="37" xfId="0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center" wrapText="1" shrinkToFit="1"/>
    </xf>
    <xf numFmtId="0" fontId="8" fillId="17" borderId="47" xfId="0" applyFont="1" applyFill="1" applyBorder="1" applyAlignment="1">
      <alignment horizontal="center" vertical="center" wrapText="1"/>
    </xf>
    <xf numFmtId="0" fontId="8" fillId="17" borderId="47" xfId="0" applyFont="1" applyFill="1" applyBorder="1" applyAlignment="1">
      <alignment vertical="center" wrapText="1"/>
    </xf>
    <xf numFmtId="9" fontId="8" fillId="12" borderId="30" xfId="1" applyFont="1" applyFill="1" applyBorder="1"/>
    <xf numFmtId="9" fontId="8" fillId="12" borderId="42" xfId="1" applyFont="1" applyFill="1" applyBorder="1"/>
    <xf numFmtId="164" fontId="0" fillId="0" borderId="0" xfId="0" applyNumberFormat="1"/>
    <xf numFmtId="168" fontId="0" fillId="0" borderId="0" xfId="0" applyNumberFormat="1"/>
    <xf numFmtId="0" fontId="0" fillId="0" borderId="0" xfId="1" applyNumberFormat="1" applyFont="1" applyFill="1"/>
    <xf numFmtId="9" fontId="0" fillId="0" borderId="0" xfId="0" applyNumberFormat="1" applyProtection="1">
      <protection locked="0"/>
    </xf>
    <xf numFmtId="0" fontId="0" fillId="0" borderId="0" xfId="0" applyAlignment="1" applyProtection="1">
      <alignment horizontal="right" wrapText="1"/>
      <protection locked="0"/>
    </xf>
    <xf numFmtId="9" fontId="2" fillId="12" borderId="40" xfId="1" applyFont="1" applyFill="1" applyBorder="1"/>
    <xf numFmtId="170" fontId="0" fillId="0" borderId="0" xfId="0" applyNumberFormat="1"/>
    <xf numFmtId="0" fontId="2" fillId="17" borderId="40" xfId="0" quotePrefix="1" applyFont="1" applyFill="1" applyBorder="1"/>
    <xf numFmtId="9" fontId="2" fillId="17" borderId="46" xfId="1" applyFont="1" applyFill="1" applyBorder="1" applyAlignment="1">
      <alignment horizontal="center"/>
    </xf>
    <xf numFmtId="0" fontId="8" fillId="12" borderId="46" xfId="0" applyFont="1" applyFill="1" applyBorder="1" applyAlignment="1">
      <alignment vertical="center" wrapText="1"/>
    </xf>
    <xf numFmtId="0" fontId="2" fillId="12" borderId="46" xfId="0" applyFont="1" applyFill="1" applyBorder="1"/>
    <xf numFmtId="9" fontId="2" fillId="12" borderId="46" xfId="1" applyFont="1" applyFill="1" applyBorder="1"/>
    <xf numFmtId="9" fontId="8" fillId="12" borderId="46" xfId="1" applyFont="1" applyFill="1" applyBorder="1" applyAlignment="1" applyProtection="1">
      <alignment horizontal="center"/>
      <protection locked="0"/>
    </xf>
    <xf numFmtId="0" fontId="8" fillId="17" borderId="50" xfId="0" applyFont="1" applyFill="1" applyBorder="1" applyAlignment="1">
      <alignment horizontal="center" vertical="center" wrapText="1"/>
    </xf>
    <xf numFmtId="0" fontId="2" fillId="17" borderId="50" xfId="0" applyFont="1" applyFill="1" applyBorder="1" applyAlignment="1">
      <alignment horizontal="center" vertical="center" wrapText="1"/>
    </xf>
    <xf numFmtId="9" fontId="2" fillId="17" borderId="50" xfId="1" applyFont="1" applyFill="1" applyBorder="1" applyAlignment="1">
      <alignment horizontal="center" vertical="center"/>
    </xf>
    <xf numFmtId="9" fontId="0" fillId="0" borderId="0" xfId="1" applyFont="1"/>
    <xf numFmtId="169" fontId="0" fillId="15" borderId="1" xfId="1" applyNumberFormat="1" applyFont="1" applyFill="1" applyBorder="1" applyAlignment="1" applyProtection="1">
      <alignment horizontal="center"/>
      <protection locked="0"/>
    </xf>
    <xf numFmtId="169" fontId="0" fillId="15" borderId="1" xfId="1" applyNumberFormat="1" applyFont="1" applyFill="1" applyBorder="1" applyProtection="1">
      <protection locked="0"/>
    </xf>
    <xf numFmtId="0" fontId="2" fillId="7" borderId="6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9" fontId="2" fillId="17" borderId="47" xfId="1" applyFont="1" applyFill="1" applyBorder="1" applyAlignment="1">
      <alignment horizontal="center" vertical="center"/>
    </xf>
    <xf numFmtId="0" fontId="2" fillId="17" borderId="4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165" fontId="0" fillId="0" borderId="0" xfId="3" applyNumberFormat="1" applyFont="1" applyAlignment="1" applyProtection="1">
      <alignment horizontal="right"/>
      <protection locked="0"/>
    </xf>
    <xf numFmtId="0" fontId="8" fillId="17" borderId="40" xfId="0" applyFont="1" applyFill="1" applyBorder="1" applyAlignment="1">
      <alignment horizontal="center" vertical="center" wrapText="1"/>
    </xf>
    <xf numFmtId="0" fontId="8" fillId="17" borderId="46" xfId="0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 wrapText="1"/>
    </xf>
    <xf numFmtId="43" fontId="2" fillId="17" borderId="26" xfId="3" applyFont="1" applyFill="1" applyBorder="1" applyAlignment="1">
      <alignment horizontal="center" vertical="center" wrapText="1"/>
    </xf>
    <xf numFmtId="43" fontId="2" fillId="17" borderId="46" xfId="3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43" fontId="0" fillId="15" borderId="1" xfId="3" applyFont="1" applyFill="1" applyBorder="1" applyAlignment="1" applyProtection="1">
      <alignment horizontal="center" vertical="center"/>
      <protection locked="0"/>
    </xf>
    <xf numFmtId="0" fontId="0" fillId="0" borderId="53" xfId="0" applyBorder="1" applyAlignment="1">
      <alignment horizontal="center" vertical="center"/>
    </xf>
    <xf numFmtId="0" fontId="0" fillId="0" borderId="44" xfId="0" applyBorder="1"/>
    <xf numFmtId="0" fontId="0" fillId="0" borderId="44" xfId="0" applyBorder="1" applyAlignment="1">
      <alignment horizontal="center" vertical="center"/>
    </xf>
    <xf numFmtId="0" fontId="0" fillId="15" borderId="44" xfId="0" applyFill="1" applyBorder="1" applyAlignment="1" applyProtection="1">
      <alignment horizontal="center" vertical="center"/>
      <protection locked="0"/>
    </xf>
    <xf numFmtId="0" fontId="0" fillId="15" borderId="44" xfId="0" applyFill="1" applyBorder="1" applyProtection="1">
      <protection locked="0"/>
    </xf>
    <xf numFmtId="0" fontId="0" fillId="15" borderId="54" xfId="0" applyFill="1" applyBorder="1" applyProtection="1">
      <protection locked="0"/>
    </xf>
    <xf numFmtId="0" fontId="0" fillId="15" borderId="18" xfId="0" applyFill="1" applyBorder="1" applyProtection="1">
      <protection locked="0"/>
    </xf>
    <xf numFmtId="0" fontId="0" fillId="15" borderId="18" xfId="0" applyFill="1" applyBorder="1" applyAlignment="1" applyProtection="1">
      <alignment horizontal="right"/>
      <protection locked="0"/>
    </xf>
    <xf numFmtId="2" fontId="0" fillId="15" borderId="1" xfId="0" applyNumberFormat="1" applyFill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2" fontId="0" fillId="15" borderId="17" xfId="0" applyNumberFormat="1" applyFill="1" applyBorder="1" applyAlignment="1" applyProtection="1">
      <alignment horizontal="left"/>
      <protection locked="0"/>
    </xf>
    <xf numFmtId="2" fontId="0" fillId="15" borderId="21" xfId="0" applyNumberFormat="1" applyFill="1" applyBorder="1" applyAlignment="1" applyProtection="1">
      <alignment horizontal="left"/>
      <protection locked="0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2" fillId="7" borderId="10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/>
    </xf>
    <xf numFmtId="9" fontId="0" fillId="0" borderId="21" xfId="0" applyNumberFormat="1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/>
      <protection locked="0"/>
    </xf>
    <xf numFmtId="9" fontId="0" fillId="18" borderId="21" xfId="0" applyNumberFormat="1" applyFill="1" applyBorder="1" applyAlignment="1">
      <alignment horizontal="center"/>
    </xf>
    <xf numFmtId="9" fontId="0" fillId="15" borderId="21" xfId="1" applyFont="1" applyFill="1" applyBorder="1" applyProtection="1">
      <protection locked="0"/>
    </xf>
    <xf numFmtId="9" fontId="0" fillId="0" borderId="21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9" fontId="0" fillId="0" borderId="21" xfId="1" applyFont="1" applyBorder="1"/>
    <xf numFmtId="0" fontId="0" fillId="0" borderId="64" xfId="0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" fillId="7" borderId="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9" fontId="0" fillId="0" borderId="21" xfId="1" applyFont="1" applyBorder="1" applyAlignment="1">
      <alignment horizontal="center"/>
    </xf>
    <xf numFmtId="0" fontId="0" fillId="0" borderId="17" xfId="0" applyBorder="1"/>
    <xf numFmtId="0" fontId="0" fillId="0" borderId="21" xfId="0" applyBorder="1"/>
    <xf numFmtId="0" fontId="0" fillId="2" borderId="55" xfId="0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0" fillId="2" borderId="57" xfId="0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0" fillId="3" borderId="53" xfId="0" applyFill="1" applyBorder="1" applyAlignment="1">
      <alignment vertical="center" wrapText="1" shrinkToFit="1"/>
    </xf>
    <xf numFmtId="0" fontId="2" fillId="7" borderId="54" xfId="0" applyFont="1" applyFill="1" applyBorder="1" applyAlignment="1">
      <alignment horizontal="center" vertical="center"/>
    </xf>
    <xf numFmtId="164" fontId="1" fillId="0" borderId="3" xfId="0" applyNumberFormat="1" applyFont="1" applyBorder="1"/>
    <xf numFmtId="0" fontId="2" fillId="17" borderId="3" xfId="0" applyFont="1" applyFill="1" applyBorder="1" applyAlignment="1">
      <alignment horizontal="center" vertical="center"/>
    </xf>
    <xf numFmtId="0" fontId="0" fillId="15" borderId="1" xfId="0" applyFill="1" applyBorder="1" applyAlignment="1" applyProtection="1">
      <alignment horizontal="left" wrapText="1"/>
      <protection locked="0"/>
    </xf>
    <xf numFmtId="169" fontId="0" fillId="15" borderId="21" xfId="1" applyNumberFormat="1" applyFont="1" applyFill="1" applyBorder="1" applyAlignment="1" applyProtection="1">
      <alignment horizontal="center"/>
      <protection locked="0"/>
    </xf>
    <xf numFmtId="164" fontId="0" fillId="0" borderId="21" xfId="0" applyNumberFormat="1" applyBorder="1" applyAlignment="1">
      <alignment horizontal="center"/>
    </xf>
    <xf numFmtId="169" fontId="0" fillId="15" borderId="21" xfId="1" applyNumberFormat="1" applyFont="1" applyFill="1" applyBorder="1" applyProtection="1">
      <protection locked="0"/>
    </xf>
    <xf numFmtId="0" fontId="0" fillId="0" borderId="1" xfId="0" applyBorder="1" applyAlignment="1">
      <alignment horizontal="right"/>
    </xf>
    <xf numFmtId="0" fontId="3" fillId="0" borderId="0" xfId="0" applyFont="1" applyAlignment="1">
      <alignment vertical="center"/>
    </xf>
    <xf numFmtId="0" fontId="2" fillId="7" borderId="8" xfId="0" applyFont="1" applyFill="1" applyBorder="1" applyAlignment="1">
      <alignment horizontal="center" vertical="center"/>
    </xf>
    <xf numFmtId="43" fontId="8" fillId="12" borderId="37" xfId="3" applyFont="1" applyFill="1" applyBorder="1" applyAlignment="1">
      <alignment horizontal="center" vertical="center"/>
    </xf>
    <xf numFmtId="43" fontId="2" fillId="20" borderId="2" xfId="3" applyFont="1" applyFill="1" applyBorder="1"/>
    <xf numFmtId="43" fontId="1" fillId="0" borderId="1" xfId="3" applyFont="1" applyBorder="1"/>
    <xf numFmtId="43" fontId="1" fillId="0" borderId="1" xfId="3" applyFont="1" applyBorder="1" applyAlignment="1">
      <alignment horizontal="center" vertical="center"/>
    </xf>
    <xf numFmtId="43" fontId="8" fillId="12" borderId="46" xfId="3" applyFont="1" applyFill="1" applyBorder="1" applyProtection="1">
      <protection locked="0"/>
    </xf>
    <xf numFmtId="167" fontId="8" fillId="12" borderId="46" xfId="0" applyNumberFormat="1" applyFont="1" applyFill="1" applyBorder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9" fontId="8" fillId="12" borderId="46" xfId="1" applyFont="1" applyFill="1" applyBorder="1" applyProtection="1">
      <protection locked="0"/>
    </xf>
    <xf numFmtId="43" fontId="8" fillId="12" borderId="46" xfId="3" applyFont="1" applyFill="1" applyBorder="1" applyAlignment="1" applyProtection="1">
      <alignment horizontal="center"/>
      <protection locked="0"/>
    </xf>
    <xf numFmtId="43" fontId="8" fillId="12" borderId="46" xfId="3" applyFont="1" applyFill="1" applyBorder="1" applyAlignment="1" applyProtection="1">
      <alignment horizontal="right" vertical="center"/>
      <protection locked="0"/>
    </xf>
    <xf numFmtId="0" fontId="1" fillId="0" borderId="1" xfId="3" applyNumberFormat="1" applyFont="1" applyBorder="1"/>
    <xf numFmtId="0" fontId="2" fillId="17" borderId="1" xfId="3" applyNumberFormat="1" applyFont="1" applyFill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shrinkToFit="1"/>
    </xf>
    <xf numFmtId="0" fontId="8" fillId="17" borderId="1" xfId="3" applyNumberFormat="1" applyFont="1" applyFill="1" applyBorder="1" applyAlignment="1">
      <alignment horizontal="center" vertical="center"/>
    </xf>
    <xf numFmtId="0" fontId="8" fillId="12" borderId="37" xfId="3" applyNumberFormat="1" applyFont="1" applyFill="1" applyBorder="1" applyAlignment="1">
      <alignment horizontal="center" vertical="center"/>
    </xf>
    <xf numFmtId="0" fontId="2" fillId="20" borderId="2" xfId="3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15" borderId="0" xfId="0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12" borderId="0" xfId="0" applyFill="1" applyAlignment="1">
      <alignment horizontal="left" vertical="top"/>
    </xf>
    <xf numFmtId="0" fontId="0" fillId="17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43" fontId="8" fillId="12" borderId="37" xfId="3" applyFont="1" applyFill="1" applyBorder="1" applyAlignment="1"/>
    <xf numFmtId="43" fontId="2" fillId="20" borderId="2" xfId="3" applyFont="1" applyFill="1" applyBorder="1" applyAlignment="1"/>
    <xf numFmtId="43" fontId="8" fillId="12" borderId="37" xfId="3" applyFont="1" applyFill="1" applyBorder="1" applyAlignment="1">
      <alignment horizontal="center"/>
    </xf>
    <xf numFmtId="2" fontId="0" fillId="0" borderId="64" xfId="0" applyNumberFormat="1" applyBorder="1" applyAlignment="1">
      <alignment horizontal="center" vertical="center"/>
    </xf>
    <xf numFmtId="165" fontId="0" fillId="15" borderId="9" xfId="0" applyNumberFormat="1" applyFill="1" applyBorder="1" applyAlignment="1" applyProtection="1">
      <alignment horizontal="center" vertical="center"/>
      <protection locked="0"/>
    </xf>
    <xf numFmtId="165" fontId="0" fillId="15" borderId="8" xfId="0" applyNumberFormat="1" applyFill="1" applyBorder="1" applyAlignment="1" applyProtection="1">
      <alignment horizontal="center" vertical="center"/>
      <protection locked="0"/>
    </xf>
    <xf numFmtId="165" fontId="0" fillId="15" borderId="62" xfId="0" applyNumberForma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5" borderId="11" xfId="0" applyFill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18" borderId="60" xfId="0" applyFill="1" applyBorder="1" applyAlignment="1">
      <alignment horizontal="center" vertical="center"/>
    </xf>
    <xf numFmtId="0" fontId="0" fillId="18" borderId="61" xfId="0" applyFill="1" applyBorder="1" applyAlignment="1">
      <alignment horizontal="center" vertical="center"/>
    </xf>
    <xf numFmtId="0" fontId="0" fillId="18" borderId="63" xfId="0" applyFill="1" applyBorder="1" applyAlignment="1">
      <alignment horizontal="center" vertical="center"/>
    </xf>
    <xf numFmtId="0" fontId="0" fillId="10" borderId="29" xfId="0" applyFill="1" applyBorder="1" applyAlignment="1">
      <alignment horizontal="center" vertical="center" shrinkToFit="1"/>
    </xf>
    <xf numFmtId="0" fontId="0" fillId="10" borderId="65" xfId="0" applyFill="1" applyBorder="1" applyAlignment="1">
      <alignment horizontal="center" vertical="center" shrinkToFit="1"/>
    </xf>
    <xf numFmtId="0" fontId="0" fillId="10" borderId="32" xfId="0" applyFill="1" applyBorder="1" applyAlignment="1">
      <alignment horizontal="center" vertical="center" shrinkToFit="1"/>
    </xf>
    <xf numFmtId="0" fontId="0" fillId="10" borderId="11" xfId="0" applyFill="1" applyBorder="1" applyAlignment="1">
      <alignment horizontal="center" vertical="center" shrinkToFit="1"/>
    </xf>
    <xf numFmtId="0" fontId="0" fillId="10" borderId="22" xfId="0" applyFill="1" applyBorder="1" applyAlignment="1">
      <alignment horizontal="center" vertical="center" shrinkToFit="1"/>
    </xf>
    <xf numFmtId="0" fontId="0" fillId="10" borderId="14" xfId="0" applyFill="1" applyBorder="1" applyAlignment="1">
      <alignment horizontal="center" vertical="center" shrinkToFit="1"/>
    </xf>
    <xf numFmtId="0" fontId="0" fillId="10" borderId="66" xfId="0" applyFill="1" applyBorder="1" applyAlignment="1">
      <alignment horizontal="center" vertical="center" shrinkToFit="1"/>
    </xf>
    <xf numFmtId="0" fontId="0" fillId="10" borderId="7" xfId="0" applyFill="1" applyBorder="1" applyAlignment="1">
      <alignment horizontal="center" vertical="center" shrinkToFit="1"/>
    </xf>
    <xf numFmtId="0" fontId="0" fillId="10" borderId="6" xfId="0" applyFill="1" applyBorder="1" applyAlignment="1">
      <alignment horizontal="center" vertical="center" shrinkToFit="1"/>
    </xf>
    <xf numFmtId="0" fontId="0" fillId="4" borderId="66" xfId="0" applyFill="1" applyBorder="1" applyAlignment="1">
      <alignment horizontal="center" vertical="center" wrapText="1" shrinkToFit="1"/>
    </xf>
    <xf numFmtId="0" fontId="0" fillId="4" borderId="30" xfId="0" applyFill="1" applyBorder="1" applyAlignment="1">
      <alignment horizontal="center" vertical="center" wrapText="1" shrinkToFit="1"/>
    </xf>
    <xf numFmtId="0" fontId="0" fillId="4" borderId="31" xfId="0" applyFill="1" applyBorder="1" applyAlignment="1">
      <alignment horizontal="center" vertical="center" wrapText="1" shrinkToFit="1"/>
    </xf>
    <xf numFmtId="0" fontId="0" fillId="4" borderId="7" xfId="0" applyFill="1" applyBorder="1" applyAlignment="1">
      <alignment horizontal="center" vertical="center" wrapText="1" shrinkToFit="1"/>
    </xf>
    <xf numFmtId="0" fontId="0" fillId="4" borderId="0" xfId="0" applyFill="1" applyAlignment="1">
      <alignment horizontal="center" vertical="center" wrapText="1" shrinkToFit="1"/>
    </xf>
    <xf numFmtId="0" fontId="0" fillId="4" borderId="33" xfId="0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horizontal="center" vertical="center" wrapText="1" shrinkToFit="1"/>
    </xf>
    <xf numFmtId="0" fontId="0" fillId="4" borderId="4" xfId="0" applyFill="1" applyBorder="1" applyAlignment="1">
      <alignment horizontal="center" vertical="center" wrapText="1" shrinkToFit="1"/>
    </xf>
    <xf numFmtId="0" fontId="0" fillId="4" borderId="23" xfId="0" applyFill="1" applyBorder="1" applyAlignment="1">
      <alignment horizontal="center" vertical="center" wrapText="1" shrinkToFit="1"/>
    </xf>
    <xf numFmtId="0" fontId="0" fillId="9" borderId="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62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 shrinkToFit="1"/>
    </xf>
    <xf numFmtId="0" fontId="0" fillId="2" borderId="56" xfId="0" applyFill="1" applyBorder="1" applyAlignment="1">
      <alignment horizontal="center" vertical="center" shrinkToFit="1"/>
    </xf>
    <xf numFmtId="0" fontId="0" fillId="2" borderId="57" xfId="0" applyFill="1" applyBorder="1" applyAlignment="1">
      <alignment horizontal="center" vertical="center" shrinkToFi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10" xfId="0" applyFont="1" applyBorder="1" applyAlignment="1">
      <alignment horizontal="center" vertical="center" wrapText="1" shrinkToFit="1"/>
    </xf>
    <xf numFmtId="0" fontId="0" fillId="5" borderId="2" xfId="0" applyFill="1" applyBorder="1" applyAlignment="1">
      <alignment horizontal="center" vertical="center" shrinkToFit="1"/>
    </xf>
    <xf numFmtId="0" fontId="0" fillId="5" borderId="5" xfId="0" applyFill="1" applyBorder="1" applyAlignment="1">
      <alignment horizontal="center" vertical="center" shrinkToFit="1"/>
    </xf>
    <xf numFmtId="0" fontId="0" fillId="5" borderId="3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 wrapText="1" shrinkToFit="1"/>
    </xf>
    <xf numFmtId="0" fontId="1" fillId="11" borderId="8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2" borderId="59" xfId="0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15" borderId="19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5" borderId="2" xfId="0" applyFill="1" applyBorder="1" applyAlignment="1">
      <alignment horizontal="center" shrinkToFit="1"/>
    </xf>
    <xf numFmtId="0" fontId="0" fillId="5" borderId="5" xfId="0" applyFill="1" applyBorder="1" applyAlignment="1">
      <alignment horizontal="center" shrinkToFit="1"/>
    </xf>
    <xf numFmtId="0" fontId="0" fillId="5" borderId="3" xfId="0" applyFill="1" applyBorder="1" applyAlignment="1">
      <alignment horizontal="center" shrinkToFit="1"/>
    </xf>
    <xf numFmtId="0" fontId="0" fillId="13" borderId="59" xfId="0" applyFill="1" applyBorder="1" applyAlignment="1">
      <alignment horizontal="center" vertical="center"/>
    </xf>
    <xf numFmtId="0" fontId="0" fillId="13" borderId="56" xfId="0" applyFill="1" applyBorder="1" applyAlignment="1">
      <alignment horizontal="center" vertical="center"/>
    </xf>
    <xf numFmtId="0" fontId="0" fillId="13" borderId="5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0" fillId="6" borderId="12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wrapText="1" shrinkToFit="1"/>
    </xf>
    <xf numFmtId="0" fontId="0" fillId="4" borderId="11" xfId="0" applyFill="1" applyBorder="1" applyAlignment="1">
      <alignment horizontal="center" vertical="center" wrapText="1" shrinkToFit="1"/>
    </xf>
    <xf numFmtId="0" fontId="0" fillId="4" borderId="14" xfId="0" applyFill="1" applyBorder="1" applyAlignment="1">
      <alignment horizontal="center" vertical="center" wrapText="1" shrinkToFit="1"/>
    </xf>
    <xf numFmtId="0" fontId="0" fillId="3" borderId="29" xfId="0" applyFill="1" applyBorder="1" applyAlignment="1">
      <alignment horizontal="center" vertical="center" shrinkToFit="1"/>
    </xf>
    <xf numFmtId="0" fontId="0" fillId="3" borderId="31" xfId="0" applyFill="1" applyBorder="1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4" borderId="29" xfId="0" applyFill="1" applyBorder="1" applyAlignment="1">
      <alignment horizontal="center" vertical="center" shrinkToFit="1"/>
    </xf>
    <xf numFmtId="0" fontId="0" fillId="4" borderId="30" xfId="0" applyFill="1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shrinkToFit="1"/>
    </xf>
    <xf numFmtId="0" fontId="0" fillId="4" borderId="32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2" borderId="5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0" fillId="9" borderId="57" xfId="0" applyFill="1" applyBorder="1" applyAlignment="1">
      <alignment horizontal="center" vertical="center"/>
    </xf>
    <xf numFmtId="0" fontId="0" fillId="8" borderId="55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13" borderId="55" xfId="0" applyFill="1" applyBorder="1" applyAlignment="1">
      <alignment horizontal="center" vertical="center"/>
    </xf>
    <xf numFmtId="0" fontId="0" fillId="13" borderId="58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66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2" fillId="11" borderId="9" xfId="0" applyFont="1" applyFill="1" applyBorder="1" applyAlignment="1">
      <alignment horizontal="center" vertical="center" wrapText="1" shrinkToFit="1"/>
    </xf>
    <xf numFmtId="0" fontId="12" fillId="11" borderId="10" xfId="0" applyFont="1" applyFill="1" applyBorder="1" applyAlignment="1">
      <alignment horizontal="center" vertical="center" wrapText="1" shrinkToFit="1"/>
    </xf>
    <xf numFmtId="165" fontId="0" fillId="15" borderId="60" xfId="0" applyNumberFormat="1" applyFill="1" applyBorder="1" applyAlignment="1" applyProtection="1">
      <alignment horizontal="center" vertical="center"/>
      <protection locked="0"/>
    </xf>
    <xf numFmtId="165" fontId="0" fillId="15" borderId="61" xfId="0" applyNumberFormat="1" applyFill="1" applyBorder="1" applyAlignment="1" applyProtection="1">
      <alignment horizontal="center" vertical="center"/>
      <protection locked="0"/>
    </xf>
    <xf numFmtId="165" fontId="0" fillId="15" borderId="63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 wrapText="1"/>
    </xf>
    <xf numFmtId="0" fontId="0" fillId="15" borderId="19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0" fontId="0" fillId="15" borderId="20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>
      <alignment horizontal="center" vertical="center" shrinkToFit="1"/>
    </xf>
    <xf numFmtId="0" fontId="0" fillId="10" borderId="33" xfId="0" applyFill="1" applyBorder="1" applyAlignment="1">
      <alignment horizontal="center" vertical="center" shrinkToFit="1"/>
    </xf>
    <xf numFmtId="0" fontId="0" fillId="10" borderId="23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 shrinkToFit="1"/>
    </xf>
    <xf numFmtId="0" fontId="0" fillId="5" borderId="56" xfId="0" applyFill="1" applyBorder="1" applyAlignment="1">
      <alignment horizontal="center" vertical="center" shrinkToFit="1"/>
    </xf>
    <xf numFmtId="0" fontId="0" fillId="5" borderId="57" xfId="0" applyFill="1" applyBorder="1" applyAlignment="1">
      <alignment horizontal="center" vertical="center" shrinkToFit="1"/>
    </xf>
    <xf numFmtId="0" fontId="1" fillId="11" borderId="13" xfId="0" applyFont="1" applyFill="1" applyBorder="1" applyAlignment="1">
      <alignment horizontal="center" vertical="center" wrapText="1" shrinkToFit="1"/>
    </xf>
    <xf numFmtId="0" fontId="1" fillId="11" borderId="11" xfId="0" applyFont="1" applyFill="1" applyBorder="1" applyAlignment="1">
      <alignment horizontal="center" vertical="center" wrapText="1" shrinkToFit="1"/>
    </xf>
    <xf numFmtId="0" fontId="1" fillId="11" borderId="14" xfId="0" applyFont="1" applyFill="1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68" xfId="0" applyBorder="1" applyAlignment="1">
      <alignment horizontal="center" vertical="center" shrinkToFit="1"/>
    </xf>
    <xf numFmtId="0" fontId="14" fillId="0" borderId="60" xfId="0" applyFont="1" applyBorder="1" applyAlignment="1">
      <alignment horizontal="center" vertical="center" wrapText="1" shrinkToFit="1"/>
    </xf>
    <xf numFmtId="0" fontId="14" fillId="0" borderId="61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14" fillId="0" borderId="69" xfId="0" applyFont="1" applyBorder="1" applyAlignment="1">
      <alignment horizontal="center" vertical="center" wrapText="1" shrinkToFit="1"/>
    </xf>
    <xf numFmtId="0" fontId="14" fillId="0" borderId="32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8" fillId="12" borderId="40" xfId="0" applyFont="1" applyFill="1" applyBorder="1" applyAlignment="1">
      <alignment horizontal="right"/>
    </xf>
    <xf numFmtId="0" fontId="8" fillId="12" borderId="42" xfId="0" applyFont="1" applyFill="1" applyBorder="1" applyAlignment="1">
      <alignment horizontal="right"/>
    </xf>
    <xf numFmtId="0" fontId="8" fillId="12" borderId="29" xfId="0" applyFont="1" applyFill="1" applyBorder="1" applyAlignment="1">
      <alignment horizontal="right"/>
    </xf>
    <xf numFmtId="0" fontId="8" fillId="12" borderId="30" xfId="0" applyFont="1" applyFill="1" applyBorder="1" applyAlignment="1">
      <alignment horizontal="right"/>
    </xf>
    <xf numFmtId="0" fontId="1" fillId="15" borderId="0" xfId="0" applyFont="1" applyFill="1" applyAlignment="1" applyProtection="1">
      <alignment horizontal="center"/>
      <protection locked="0"/>
    </xf>
    <xf numFmtId="0" fontId="6" fillId="0" borderId="0" xfId="2" applyAlignment="1">
      <alignment horizontal="center"/>
    </xf>
    <xf numFmtId="0" fontId="2" fillId="12" borderId="40" xfId="0" applyFont="1" applyFill="1" applyBorder="1" applyAlignment="1">
      <alignment horizontal="center"/>
    </xf>
    <xf numFmtId="0" fontId="2" fillId="12" borderId="42" xfId="0" applyFont="1" applyFill="1" applyBorder="1" applyAlignment="1">
      <alignment horizontal="center"/>
    </xf>
    <xf numFmtId="0" fontId="2" fillId="12" borderId="41" xfId="0" applyFont="1" applyFill="1" applyBorder="1" applyAlignment="1">
      <alignment horizontal="center"/>
    </xf>
    <xf numFmtId="0" fontId="0" fillId="12" borderId="40" xfId="0" applyFill="1" applyBorder="1" applyAlignment="1">
      <alignment horizontal="right" wrapText="1"/>
    </xf>
    <xf numFmtId="0" fontId="0" fillId="12" borderId="42" xfId="0" applyFill="1" applyBorder="1" applyAlignment="1">
      <alignment horizontal="right" wrapText="1"/>
    </xf>
    <xf numFmtId="0" fontId="0" fillId="12" borderId="41" xfId="0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8" fillId="17" borderId="0" xfId="0" applyFont="1" applyFill="1" applyAlignment="1">
      <alignment horizontal="center" vertical="center" wrapText="1"/>
    </xf>
    <xf numFmtId="0" fontId="8" fillId="17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9" fillId="7" borderId="7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9" fillId="17" borderId="48" xfId="0" applyFont="1" applyFill="1" applyBorder="1" applyAlignment="1">
      <alignment horizontal="center" vertical="center" wrapText="1"/>
    </xf>
    <xf numFmtId="0" fontId="19" fillId="17" borderId="49" xfId="0" applyFont="1" applyFill="1" applyBorder="1" applyAlignment="1">
      <alignment horizontal="center" vertical="center" wrapText="1"/>
    </xf>
    <xf numFmtId="0" fontId="19" fillId="17" borderId="50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11" fillId="0" borderId="39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 shrinkToFit="1"/>
    </xf>
    <xf numFmtId="0" fontId="1" fillId="0" borderId="38" xfId="0" applyFont="1" applyBorder="1" applyAlignment="1">
      <alignment horizontal="center" vertical="center" wrapText="1" shrinkToFit="1"/>
    </xf>
    <xf numFmtId="0" fontId="19" fillId="17" borderId="51" xfId="0" applyFont="1" applyFill="1" applyBorder="1" applyAlignment="1">
      <alignment horizontal="center" vertical="center" wrapText="1"/>
    </xf>
    <xf numFmtId="0" fontId="19" fillId="17" borderId="52" xfId="0" applyFont="1" applyFill="1" applyBorder="1" applyAlignment="1">
      <alignment horizontal="center" vertical="center" wrapText="1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33CC33"/>
      <color rgb="FFFF5050"/>
      <color rgb="FF0000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114300</xdr:rowOff>
    </xdr:from>
    <xdr:to>
      <xdr:col>2</xdr:col>
      <xdr:colOff>438150</xdr:colOff>
      <xdr:row>29</xdr:row>
      <xdr:rowOff>31483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84C6CB4-6EE0-4236-92BC-95D39486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4305300"/>
          <a:ext cx="1209675" cy="1250683"/>
        </a:xfrm>
        <a:prstGeom prst="rect">
          <a:avLst/>
        </a:prstGeom>
        <a:solidFill>
          <a:schemeClr val="bg1"/>
        </a:solidFill>
        <a:ln cap="flat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7</xdr:col>
      <xdr:colOff>685800</xdr:colOff>
      <xdr:row>12</xdr:row>
      <xdr:rowOff>2015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4030DCA-3439-4D8C-9F86-A0064706B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571500"/>
          <a:ext cx="5305425" cy="171651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lim.agriculture.gouv.fr/ift/bilan-ift/2018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U23"/>
  <sheetViews>
    <sheetView showGridLines="0" topLeftCell="A15" zoomScaleNormal="100" workbookViewId="0">
      <selection activeCell="D26" sqref="D26"/>
    </sheetView>
  </sheetViews>
  <sheetFormatPr baseColWidth="10" defaultColWidth="11.54296875" defaultRowHeight="14.5" x14ac:dyDescent="0.35"/>
  <cols>
    <col min="1" max="5" width="11.54296875" style="296"/>
    <col min="6" max="6" width="11.453125" style="296" customWidth="1"/>
    <col min="7" max="8" width="11.54296875" style="296"/>
    <col min="9" max="9" width="4.54296875" style="296" customWidth="1"/>
    <col min="10" max="16384" width="11.54296875" style="296"/>
  </cols>
  <sheetData>
    <row r="4" spans="10:21" ht="15" customHeight="1" x14ac:dyDescent="0.35">
      <c r="J4" s="296" t="s">
        <v>270</v>
      </c>
    </row>
    <row r="5" spans="10:21" x14ac:dyDescent="0.35">
      <c r="J5" s="296" t="s">
        <v>269</v>
      </c>
    </row>
    <row r="7" spans="10:21" ht="15" customHeight="1" x14ac:dyDescent="0.35">
      <c r="J7" s="296" t="s">
        <v>271</v>
      </c>
    </row>
    <row r="8" spans="10:21" x14ac:dyDescent="0.35">
      <c r="J8" s="296" t="s">
        <v>263</v>
      </c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</row>
    <row r="9" spans="10:21" x14ac:dyDescent="0.35">
      <c r="K9" s="296" t="s">
        <v>264</v>
      </c>
    </row>
    <row r="10" spans="10:21" x14ac:dyDescent="0.35">
      <c r="K10" s="296" t="s">
        <v>265</v>
      </c>
    </row>
    <row r="11" spans="10:21" x14ac:dyDescent="0.35">
      <c r="K11" s="296" t="s">
        <v>266</v>
      </c>
    </row>
    <row r="12" spans="10:21" x14ac:dyDescent="0.35">
      <c r="K12" s="296" t="s">
        <v>267</v>
      </c>
    </row>
    <row r="13" spans="10:21" x14ac:dyDescent="0.35">
      <c r="J13" s="296" t="s">
        <v>268</v>
      </c>
    </row>
    <row r="16" spans="10:21" x14ac:dyDescent="0.35">
      <c r="J16" s="297"/>
      <c r="K16" s="296" t="s">
        <v>0</v>
      </c>
    </row>
    <row r="17" spans="2:11" x14ac:dyDescent="0.35">
      <c r="K17" s="298" t="s">
        <v>1</v>
      </c>
    </row>
    <row r="19" spans="2:11" x14ac:dyDescent="0.35">
      <c r="J19" s="299"/>
      <c r="K19" s="296" t="s">
        <v>2</v>
      </c>
    </row>
    <row r="21" spans="2:11" x14ac:dyDescent="0.35">
      <c r="J21" s="300"/>
      <c r="K21" s="296" t="s">
        <v>3</v>
      </c>
    </row>
    <row r="22" spans="2:11" x14ac:dyDescent="0.35">
      <c r="B22" s="296" t="s">
        <v>272</v>
      </c>
    </row>
    <row r="23" spans="2:11" x14ac:dyDescent="0.35">
      <c r="K23" s="296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6"/>
  <sheetViews>
    <sheetView zoomScale="80" zoomScaleNormal="80" workbookViewId="0">
      <selection activeCell="K18" sqref="K18"/>
    </sheetView>
  </sheetViews>
  <sheetFormatPr baseColWidth="10" defaultColWidth="11.54296875" defaultRowHeight="14.5" x14ac:dyDescent="0.35"/>
  <cols>
    <col min="1" max="2" width="11.54296875" style="98"/>
    <col min="3" max="3" width="23.7265625" style="98" customWidth="1"/>
    <col min="4" max="4" width="16.26953125" style="98" customWidth="1"/>
    <col min="5" max="5" width="17.26953125" style="98" customWidth="1"/>
    <col min="6" max="6" width="15.1796875" style="98" customWidth="1"/>
    <col min="7" max="7" width="12.54296875" style="98" bestFit="1" customWidth="1"/>
    <col min="8" max="8" width="11.54296875" style="98" customWidth="1"/>
    <col min="9" max="9" width="16.453125" style="98" customWidth="1"/>
    <col min="10" max="10" width="11.54296875" style="98"/>
    <col min="11" max="11" width="12.54296875" style="98" bestFit="1" customWidth="1"/>
    <col min="12" max="12" width="13.7265625" style="98" bestFit="1" customWidth="1"/>
    <col min="13" max="13" width="16.7265625" style="98" customWidth="1"/>
    <col min="14" max="14" width="15.1796875" style="98" customWidth="1"/>
    <col min="15" max="15" width="14.7265625" style="98" bestFit="1" customWidth="1"/>
    <col min="16" max="19" width="11.54296875" style="98"/>
    <col min="20" max="20" width="19.81640625" style="98" customWidth="1"/>
    <col min="21" max="16384" width="11.54296875" style="98"/>
  </cols>
  <sheetData>
    <row r="1" spans="2:14" x14ac:dyDescent="0.35">
      <c r="K1" s="164"/>
    </row>
    <row r="2" spans="2:14" ht="15" thickBot="1" x14ac:dyDescent="0.4">
      <c r="B2" s="105" t="s">
        <v>5</v>
      </c>
      <c r="K2" s="164"/>
    </row>
    <row r="3" spans="2:14" ht="15" thickBot="1" x14ac:dyDescent="0.4">
      <c r="B3" s="98" t="s">
        <v>6</v>
      </c>
      <c r="D3" s="289">
        <f>'GES AVANT NOTIFICATION'!AX45</f>
        <v>2567.3668417343706</v>
      </c>
      <c r="E3" s="98" t="s">
        <v>255</v>
      </c>
      <c r="G3" s="283">
        <f>IFERROR(D3/SUM('SUIVI RABAIS PRODUCTION ET C '!D9:H9),"-")</f>
        <v>1.7144123896404526</v>
      </c>
      <c r="H3" s="98" t="s">
        <v>256</v>
      </c>
      <c r="K3" s="164"/>
    </row>
    <row r="4" spans="2:14" ht="15" thickBot="1" x14ac:dyDescent="0.4">
      <c r="B4" s="98" t="s">
        <v>251</v>
      </c>
      <c r="D4" s="289" cm="1">
        <f t="array" ref="D4">IFERROR(SUM(AVERAGE('GES AVANT NOTIFICATION'!AP31:AP35+'GES AVANT NOTIFICATION'!AV41:AV45)/1000*'SUIVI RABAIS PRODUCTION ET C '!O9:S9),"-")</f>
        <v>2636.9190278984806</v>
      </c>
      <c r="E4" s="98" t="s">
        <v>255</v>
      </c>
      <c r="G4" s="283">
        <f>IFERROR(D4/SUM('SUIVI RABAIS PRODUCTION ET C '!O9:S9),"-")</f>
        <v>1.7203057292431472</v>
      </c>
      <c r="H4" s="98" t="s">
        <v>256</v>
      </c>
      <c r="I4" s="164"/>
      <c r="K4" s="164"/>
    </row>
    <row r="5" spans="2:14" ht="15" thickBot="1" x14ac:dyDescent="0.4">
      <c r="B5" s="98" t="s">
        <v>7</v>
      </c>
      <c r="D5" s="289">
        <f>'GES APRES NOTIFICATION '!AX45</f>
        <v>1779.8194606358572</v>
      </c>
      <c r="E5" s="98" t="s">
        <v>255</v>
      </c>
      <c r="G5" s="283">
        <f>IFERROR(D5/SUM('SUIVI RABAIS PRODUCTION ET C '!O9:S9),"-")</f>
        <v>1.1611405518168196</v>
      </c>
      <c r="H5" s="98" t="s">
        <v>256</v>
      </c>
      <c r="I5" s="164"/>
      <c r="K5" s="164"/>
    </row>
    <row r="6" spans="2:14" x14ac:dyDescent="0.35">
      <c r="K6" s="164"/>
    </row>
    <row r="7" spans="2:14" ht="15.75" customHeight="1" thickBot="1" x14ac:dyDescent="0.4">
      <c r="B7" s="286" t="s">
        <v>252</v>
      </c>
      <c r="C7" s="285"/>
      <c r="D7" s="285"/>
      <c r="E7" s="285"/>
      <c r="F7" s="285"/>
      <c r="K7" s="164"/>
    </row>
    <row r="8" spans="2:14" ht="15" thickBot="1" x14ac:dyDescent="0.4">
      <c r="B8" s="285"/>
      <c r="C8" s="98" t="s">
        <v>253</v>
      </c>
      <c r="D8" s="285"/>
      <c r="E8" s="285"/>
      <c r="F8" s="285"/>
      <c r="G8" s="282">
        <f>IFERROR(D4-D5,"-")</f>
        <v>857.0995672626234</v>
      </c>
      <c r="H8" s="98" t="s">
        <v>257</v>
      </c>
      <c r="K8" s="164"/>
    </row>
    <row r="9" spans="2:14" ht="15" thickBot="1" x14ac:dyDescent="0.4">
      <c r="B9" s="284"/>
      <c r="C9" s="98" t="s">
        <v>254</v>
      </c>
      <c r="D9" s="284"/>
      <c r="E9" s="284"/>
      <c r="F9" s="284"/>
      <c r="G9" s="287">
        <f>IFERROR((D4-D5)/D4,"-")</f>
        <v>0.32503825798007063</v>
      </c>
      <c r="K9" s="164"/>
    </row>
    <row r="10" spans="2:14" x14ac:dyDescent="0.35">
      <c r="B10" s="185"/>
      <c r="C10" s="185"/>
      <c r="D10" s="185"/>
      <c r="E10" s="185"/>
      <c r="F10" s="185"/>
    </row>
    <row r="11" spans="2:14" ht="15" thickBot="1" x14ac:dyDescent="0.4">
      <c r="E11" s="107" t="s">
        <v>260</v>
      </c>
      <c r="F11" s="106"/>
    </row>
    <row r="12" spans="2:14" ht="15" thickBot="1" x14ac:dyDescent="0.4">
      <c r="B12" s="98" t="s">
        <v>258</v>
      </c>
      <c r="E12" s="108" t="str">
        <f>IF(G12="-","-",IF(G12&gt;=0.3,"O","N"))</f>
        <v>O</v>
      </c>
      <c r="G12" s="193">
        <f>IFERROR(((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
-
(SUMIFS('GES APRES NOTIFICATION '!C24:CL24,'GES APRES NOTIFICATION '!C18:CL18,"=Unités de N")/'SUIVI RABAIS PRODUCTION ET C '!O9 +
SUMIFS('GES APRES NOTIFICATION '!C25:CL25,'GES APRES NOTIFICATION '!C18:CL18,"=Unités de N")/'SUIVI RABAIS PRODUCTION ET C '!P9 +
SUMIFS('GES APRES NOTIFICATION '!C26:CL26,'GES APRES NOTIFICATION '!C18:CL18,"=Unités de N")/'SUIVI RABAIS PRODUCTION ET C '!Q9 +
SUMIFS('GES APRES NOTIFICATION '!C27:CL27,'GES APRES NOTIFICATION '!C18:CL18,"=Unités de N")/'SUIVI RABAIS PRODUCTION ET C '!R9 +
SUMIFS('GES APRES NOTIFICATION '!C28:CL28,'GES APRES NOTIFICATION '!C18:CL18,"=Unités de N")/'SUIVI RABAIS PRODUCTION ET C '!S9 ))
/
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'!H9),"-")</f>
        <v>0.36317984592125863</v>
      </c>
    </row>
    <row r="13" spans="2:14" ht="15" thickBot="1" x14ac:dyDescent="0.4">
      <c r="B13" s="98" t="s">
        <v>259</v>
      </c>
      <c r="E13" s="108" t="str">
        <f>IF(SUM('GES AVANT NOTIFICATION'!AX44,'GES APRES NOTIFICATION '!AX44)=0,"-",IF(SUM('GES APRES NOTIFICATION '!AA24,'GES APRES NOTIFICATION '!AE24,'GES APRES NOTIFICATION '!AI24,'GES APRES NOTIFICATION '!AM24,'GES APRES NOTIFICATION '!AQ24,'GES APRES NOTIFICATION '!AX19:AX23,'GES APRES NOTIFICATION '!BB24,'GES APRES NOTIFICATION '!BI19:BI23,'GES APRES NOTIFICATION '!BM19:BM23,'GES APRES NOTIFICATION '!BQ24,'GES APRES NOTIFICATION '!CA24)=0,"O","N"))</f>
        <v>O</v>
      </c>
    </row>
    <row r="14" spans="2:14" ht="15" thickBot="1" x14ac:dyDescent="0.4">
      <c r="B14" s="98" t="s">
        <v>262</v>
      </c>
      <c r="E14" s="108" t="str">
        <f>IF(SUM('GES AVANT NOTIFICATION'!AX44,'GES APRES NOTIFICATION '!AX44)=0,"-",IF(SUM('GES APRES NOTIFICATION '!CM24,'GES APRES NOTIFICATION '!CQ24,'GES APRES NOTIFICATION '!CU24,'GES APRES NOTIFICATION '!CY24)=0,"O","N"))</f>
        <v>O</v>
      </c>
      <c r="N14" s="163"/>
    </row>
    <row r="15" spans="2:14" x14ac:dyDescent="0.35">
      <c r="B15" s="105"/>
    </row>
    <row r="16" spans="2:14" x14ac:dyDescent="0.35">
      <c r="B16" s="105" t="s">
        <v>8</v>
      </c>
    </row>
    <row r="18" spans="2:19" ht="15" thickBot="1" x14ac:dyDescent="0.4">
      <c r="B18" s="105"/>
      <c r="E18" s="107" t="s">
        <v>9</v>
      </c>
      <c r="F18" s="107" t="s">
        <v>10</v>
      </c>
      <c r="G18" s="98" t="s">
        <v>261</v>
      </c>
    </row>
    <row r="19" spans="2:19" ht="15" thickBot="1" x14ac:dyDescent="0.4">
      <c r="B19" s="98" t="s">
        <v>11</v>
      </c>
      <c r="E19" s="108" t="str">
        <f>IF('CO-BENEFICES '!L22="Ni rabais ni bonus","O",IF('CO-BENEFICES '!L22="le co-bénéfice préservation de la ressource en eau n'est pas effectif", "N", "O"))</f>
        <v>O</v>
      </c>
      <c r="F19" s="109" t="str">
        <f>IF('CO-BENEFICES '!L22="Ni rabais ni bonus","-",'CO-BENEFICES '!P26)</f>
        <v>-</v>
      </c>
      <c r="G19" s="193" t="str">
        <f>IF('CO-BENEFICES '!L22="Ni rabais ni bonus","-",'CO-BENEFICES '!P21*-1)</f>
        <v>-</v>
      </c>
    </row>
    <row r="20" spans="2:19" ht="15" thickBot="1" x14ac:dyDescent="0.4">
      <c r="B20" s="98" t="s">
        <v>12</v>
      </c>
      <c r="E20" s="108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0" s="108">
        <f>IF(AND('CO-BENEFICES '!M13="Ni rabais ni bonus",'CO-BENEFICES '!M16="Ni rabais ni bonus"),"-",IF(E20="N", "/", 'CO-BENEFICES '!R18+'CO-BENEFICES '!R19))</f>
        <v>13</v>
      </c>
      <c r="G20" s="193">
        <f>IF(AND('CO-BENEFICES '!M13="Ni rabais ni bonus",'CO-BENEFICES '!M16="Ni rabais ni bonus"),"-",F20/32)</f>
        <v>0.40625</v>
      </c>
    </row>
    <row r="21" spans="2:19" ht="15" thickBot="1" x14ac:dyDescent="0.4">
      <c r="B21" s="98" t="s">
        <v>13</v>
      </c>
      <c r="E21" s="108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1" s="110">
        <f>IF(AND('CO-BENEFICES '!M13="Ni rabais ni bonus",'CO-BENEFICES '!M16="Ni rabais ni bonus"),"-",IF(E21="N", "/", 'CO-BENEFICES '!R18+'CO-BENEFICES '!R19))</f>
        <v>13</v>
      </c>
      <c r="G21" s="193">
        <f>IF(AND('CO-BENEFICES '!M13="Ni rabais ni bonus",'CO-BENEFICES '!M16="Ni rabais ni bonus"),"-",F21/32)</f>
        <v>0.40625</v>
      </c>
    </row>
    <row r="23" spans="2:19" x14ac:dyDescent="0.35">
      <c r="B23" s="105" t="s">
        <v>14</v>
      </c>
    </row>
    <row r="24" spans="2:19" ht="15" thickBot="1" x14ac:dyDescent="0.4">
      <c r="B24" s="105"/>
    </row>
    <row r="25" spans="2:19" ht="15" customHeight="1" thickBot="1" x14ac:dyDescent="0.4">
      <c r="B25" s="98" t="s">
        <v>237</v>
      </c>
      <c r="E25" s="108" t="str">
        <f>'SUIVI RABAIS PRODUCTION ET C '!C75</f>
        <v>Ni rabais ni bonus</v>
      </c>
      <c r="G25" s="193">
        <f>'SUIVI RABAIS PRODUCTION ET C '!D75</f>
        <v>0</v>
      </c>
    </row>
    <row r="26" spans="2:19" x14ac:dyDescent="0.35">
      <c r="B26" s="105"/>
    </row>
    <row r="27" spans="2:19" ht="15" thickBot="1" x14ac:dyDescent="0.4">
      <c r="E27" s="107" t="s">
        <v>15</v>
      </c>
      <c r="F27" s="107"/>
      <c r="G27" s="107" t="s">
        <v>16</v>
      </c>
      <c r="M27"/>
      <c r="N27"/>
      <c r="O27" s="159"/>
      <c r="P27" s="208"/>
      <c r="Q27" s="159"/>
      <c r="R27" s="159"/>
      <c r="S27" s="159"/>
    </row>
    <row r="28" spans="2:19" ht="15" thickBot="1" x14ac:dyDescent="0.4">
      <c r="B28" s="98" t="s">
        <v>17</v>
      </c>
      <c r="E28" s="108" t="str">
        <f>IF(ISBLANK('SUIVI RABAIS PRODUCTION ET C '!M64),"-",IF('SUIVI RABAIS PRODUCTION ET C '!M64="O","Rabais","/"))</f>
        <v>/</v>
      </c>
      <c r="G28" s="193">
        <f>'SUIVI RABAIS PRODUCTION ET C '!O64</f>
        <v>0</v>
      </c>
      <c r="H28" s="184"/>
      <c r="L28" s="184"/>
      <c r="M28"/>
      <c r="N28"/>
      <c r="O28"/>
      <c r="P28" s="209"/>
      <c r="Q28"/>
      <c r="R28"/>
      <c r="S28"/>
    </row>
    <row r="29" spans="2:19" ht="15" thickBot="1" x14ac:dyDescent="0.4">
      <c r="B29" s="98" t="s">
        <v>18</v>
      </c>
      <c r="E29" s="108" t="str">
        <f>IF(ISBLANK('SUIVI RABAIS PRODUCTION ET C '!M66),"-",IF('SUIVI RABAIS PRODUCTION ET C '!M66="O","Rabais","/"))</f>
        <v>/</v>
      </c>
      <c r="G29" s="193">
        <f>'SUIVI RABAIS PRODUCTION ET C '!O66</f>
        <v>0</v>
      </c>
      <c r="H29" s="184"/>
      <c r="L29" s="184"/>
      <c r="M29"/>
      <c r="N29"/>
      <c r="O29"/>
      <c r="P29" s="209"/>
      <c r="Q29"/>
      <c r="R29"/>
      <c r="S29"/>
    </row>
    <row r="30" spans="2:19" ht="15" thickBot="1" x14ac:dyDescent="0.4">
      <c r="B30" s="98" t="s">
        <v>19</v>
      </c>
      <c r="E30" s="110" t="str">
        <f>'SUIVI RABAIS PRODUCTION ET C '!AN21</f>
        <v>Ni rabais ni bonus</v>
      </c>
      <c r="G30" s="193">
        <f>'SUIVI RABAIS PRODUCTION ET C '!AO21</f>
        <v>0</v>
      </c>
      <c r="H30" s="184"/>
      <c r="L30" s="184"/>
      <c r="M30"/>
      <c r="N30"/>
      <c r="O30"/>
      <c r="P30" s="209"/>
      <c r="Q30"/>
      <c r="R30"/>
      <c r="S30"/>
    </row>
    <row r="31" spans="2:19" ht="15" thickBot="1" x14ac:dyDescent="0.4">
      <c r="B31" s="98" t="s">
        <v>20</v>
      </c>
      <c r="E31" s="108" t="str">
        <f>'SUIVI RABAIS PRODUCTION ET C '!I54</f>
        <v>Ni rabais ni bonus</v>
      </c>
      <c r="G31" s="193">
        <f>'SUIVI RABAIS PRODUCTION ET C '!J54</f>
        <v>0</v>
      </c>
      <c r="H31" s="184"/>
      <c r="L31" s="184"/>
      <c r="M31"/>
      <c r="N31"/>
      <c r="O31"/>
      <c r="P31" s="209"/>
      <c r="Q31"/>
      <c r="R31"/>
      <c r="S31"/>
    </row>
    <row r="32" spans="2:19" x14ac:dyDescent="0.35">
      <c r="R32" s="184"/>
    </row>
    <row r="33" spans="2:18" ht="15" thickBot="1" x14ac:dyDescent="0.4">
      <c r="B33" s="105" t="s">
        <v>21</v>
      </c>
      <c r="R33" s="184"/>
    </row>
    <row r="34" spans="2:18" ht="15" thickBot="1" x14ac:dyDescent="0.4">
      <c r="B34" s="98" t="str">
        <f>IF(AND(E12="-",E19="-",E20="-",E21="-"),"Les réductions d'émissions ne sont pas encore calculées",IF(AND(E12="O",E19="O",E20="O",E21="O"),"Les réductions d'émissions sont validables et atteignent","Les réductions d'émissions ne sont pas validables"))</f>
        <v>Les réductions d'émissions sont validables et atteignent</v>
      </c>
      <c r="G34" s="288">
        <f>IF(B34="Les réductions d'émissions ne sont pas encore calculées","-",IF(B34="Les réductions d'émissions ne sont pas validables","/",G8*(1+G28)*(1+G29)*(1+G30)*(1+G31)))</f>
        <v>857.0995672626234</v>
      </c>
      <c r="Q34" s="184"/>
    </row>
    <row r="35" spans="2:18" x14ac:dyDescent="0.35">
      <c r="G35" s="165"/>
      <c r="K35" s="164"/>
      <c r="L35" s="164"/>
      <c r="M35" s="163"/>
      <c r="N35" s="163"/>
      <c r="O35" s="164"/>
    </row>
    <row r="36" spans="2:18" x14ac:dyDescent="0.35">
      <c r="F36" s="16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I87"/>
  <sheetViews>
    <sheetView zoomScale="60" zoomScaleNormal="60" workbookViewId="0">
      <pane xSplit="2" topLeftCell="C1" activePane="topRight" state="frozenSplit"/>
      <selection pane="topRight" activeCell="G37" sqref="G37"/>
    </sheetView>
  </sheetViews>
  <sheetFormatPr baseColWidth="10" defaultColWidth="11.54296875" defaultRowHeight="14.5" x14ac:dyDescent="0.35"/>
  <cols>
    <col min="9" max="9" width="12.54296875" bestFit="1" customWidth="1"/>
    <col min="22" max="22" width="13" customWidth="1"/>
    <col min="24" max="24" width="13.81640625" customWidth="1"/>
    <col min="41" max="41" width="13.1796875" bestFit="1" customWidth="1"/>
    <col min="47" max="47" width="13.1796875" bestFit="1" customWidth="1"/>
    <col min="48" max="48" width="11.7265625" bestFit="1" customWidth="1"/>
    <col min="50" max="50" width="14.1796875" bestFit="1" customWidth="1"/>
  </cols>
  <sheetData>
    <row r="1" spans="1:139" ht="15" customHeight="1" x14ac:dyDescent="0.35">
      <c r="A1" s="7"/>
      <c r="B1" s="392" t="s">
        <v>22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392"/>
      <c r="BM1" s="392"/>
      <c r="BN1" s="392"/>
      <c r="BO1" s="392"/>
      <c r="BP1" s="392"/>
      <c r="BQ1" s="392"/>
      <c r="BR1" s="392"/>
      <c r="BS1" s="392"/>
      <c r="BT1" s="392"/>
      <c r="BU1" s="392"/>
      <c r="BV1" s="392"/>
      <c r="BW1" s="392"/>
      <c r="BX1" s="392"/>
      <c r="BY1" s="392"/>
      <c r="BZ1" s="392"/>
      <c r="CA1" s="392"/>
      <c r="CB1" s="392"/>
      <c r="CC1" s="392"/>
      <c r="CD1" s="392"/>
      <c r="CE1" s="392"/>
      <c r="CF1" s="392"/>
      <c r="CG1" s="392"/>
      <c r="CH1" s="392"/>
    </row>
    <row r="2" spans="1:139" ht="15" customHeight="1" x14ac:dyDescent="0.35"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2"/>
      <c r="AQ2" s="392"/>
      <c r="AR2" s="392"/>
      <c r="AS2" s="392"/>
      <c r="AT2" s="392"/>
      <c r="AU2" s="392"/>
      <c r="AV2" s="392"/>
      <c r="AW2" s="392"/>
      <c r="AX2" s="392"/>
      <c r="AY2" s="392"/>
      <c r="AZ2" s="392"/>
      <c r="BA2" s="392"/>
      <c r="BB2" s="392"/>
      <c r="BC2" s="392"/>
      <c r="BD2" s="392"/>
      <c r="BE2" s="392"/>
      <c r="BF2" s="392"/>
      <c r="BG2" s="392"/>
      <c r="BH2" s="392"/>
      <c r="BI2" s="392"/>
      <c r="BJ2" s="392"/>
      <c r="BK2" s="392"/>
      <c r="BL2" s="392"/>
      <c r="BM2" s="392"/>
      <c r="BN2" s="392"/>
      <c r="BO2" s="392"/>
      <c r="BP2" s="392"/>
      <c r="BQ2" s="392"/>
      <c r="BR2" s="392"/>
      <c r="BS2" s="392"/>
      <c r="BT2" s="392"/>
      <c r="BU2" s="392"/>
      <c r="BV2" s="392"/>
      <c r="BW2" s="392"/>
      <c r="BX2" s="392"/>
      <c r="BY2" s="392"/>
      <c r="BZ2" s="392"/>
      <c r="CA2" s="392"/>
      <c r="CB2" s="392"/>
      <c r="CC2" s="392"/>
      <c r="CD2" s="392"/>
      <c r="CE2" s="392"/>
      <c r="CF2" s="392"/>
      <c r="CG2" s="392"/>
      <c r="CH2" s="392"/>
    </row>
    <row r="3" spans="1:139" ht="15" customHeight="1" thickBot="1" x14ac:dyDescent="0.8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394"/>
      <c r="BQ3" s="394"/>
      <c r="BR3" s="394"/>
      <c r="BS3" s="394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2"/>
      <c r="CG3" s="232"/>
      <c r="CH3" s="232"/>
      <c r="CI3" s="232"/>
      <c r="CJ3" s="394"/>
      <c r="CK3" s="394"/>
      <c r="CL3" s="394"/>
      <c r="CM3" s="394"/>
      <c r="CN3" s="231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9" ht="15" customHeight="1" x14ac:dyDescent="0.75">
      <c r="B4" s="12"/>
      <c r="C4" s="380" t="s">
        <v>24</v>
      </c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381"/>
      <c r="AE4" s="381"/>
      <c r="AF4" s="382"/>
      <c r="AG4" s="380" t="s">
        <v>25</v>
      </c>
      <c r="AH4" s="381"/>
      <c r="AI4" s="381"/>
      <c r="AJ4" s="381"/>
      <c r="AK4" s="381"/>
      <c r="AL4" s="381"/>
      <c r="AM4" s="381"/>
      <c r="AN4" s="381"/>
      <c r="AO4" s="381"/>
      <c r="AP4" s="381"/>
      <c r="AQ4" s="381"/>
      <c r="AR4" s="381"/>
      <c r="AS4" s="381"/>
      <c r="AT4" s="381"/>
      <c r="AU4" s="382"/>
      <c r="AV4" s="380" t="s">
        <v>26</v>
      </c>
      <c r="AW4" s="381"/>
      <c r="AX4" s="440"/>
      <c r="AY4" s="393" t="s">
        <v>26</v>
      </c>
      <c r="AZ4" s="381"/>
      <c r="BA4" s="382"/>
      <c r="BB4" s="446" t="s">
        <v>27</v>
      </c>
      <c r="BC4" s="447"/>
      <c r="BD4" s="448"/>
      <c r="BE4" s="443" t="s">
        <v>28</v>
      </c>
      <c r="BF4" s="444"/>
      <c r="BG4" s="444"/>
      <c r="BH4" s="444"/>
      <c r="BI4" s="444"/>
      <c r="BJ4" s="444"/>
      <c r="BK4" s="444"/>
      <c r="BL4" s="444"/>
      <c r="BM4" s="444"/>
      <c r="BN4" s="444"/>
      <c r="BO4" s="444"/>
      <c r="BP4" s="445"/>
      <c r="BQ4" s="449" t="s">
        <v>29</v>
      </c>
      <c r="BR4" s="411"/>
      <c r="BS4" s="411"/>
      <c r="BT4" s="411"/>
      <c r="BU4" s="411"/>
      <c r="BV4" s="411"/>
      <c r="BW4" s="411"/>
      <c r="BX4" s="411"/>
      <c r="BY4" s="411"/>
      <c r="BZ4" s="411"/>
      <c r="CA4" s="411"/>
      <c r="CB4" s="411"/>
      <c r="CC4" s="411"/>
      <c r="CD4" s="411"/>
      <c r="CE4" s="411"/>
      <c r="CF4" s="411"/>
      <c r="CG4" s="411"/>
      <c r="CH4" s="450"/>
      <c r="CI4" s="410" t="s">
        <v>29</v>
      </c>
      <c r="CJ4" s="411"/>
      <c r="CK4" s="411"/>
      <c r="CL4" s="411"/>
      <c r="CM4" s="411"/>
      <c r="CN4" s="411"/>
      <c r="CO4" s="411"/>
      <c r="CP4" s="411"/>
      <c r="CQ4" s="411"/>
      <c r="CR4" s="411"/>
      <c r="CS4" s="411"/>
      <c r="CT4" s="411"/>
      <c r="CU4" s="411"/>
      <c r="CV4" s="411"/>
      <c r="CW4" s="411"/>
      <c r="CX4" s="411"/>
      <c r="CY4" s="411"/>
      <c r="CZ4" s="411"/>
      <c r="DA4" s="411"/>
      <c r="DB4" s="411"/>
      <c r="DC4" s="411"/>
      <c r="DD4" s="411"/>
      <c r="DE4" s="411"/>
      <c r="DF4" s="411"/>
      <c r="DG4" s="411"/>
      <c r="DH4" s="411"/>
      <c r="DI4" s="411"/>
      <c r="DJ4" s="411"/>
      <c r="DK4" s="411"/>
      <c r="DL4" s="412"/>
    </row>
    <row r="5" spans="1:139" s="67" customFormat="1" ht="36.75" customHeight="1" x14ac:dyDescent="0.35">
      <c r="B5" s="68"/>
      <c r="C5" s="356" t="s">
        <v>30</v>
      </c>
      <c r="D5" s="355"/>
      <c r="E5" s="355"/>
      <c r="F5" s="355" t="s">
        <v>31</v>
      </c>
      <c r="G5" s="355"/>
      <c r="H5" s="355"/>
      <c r="I5" s="355" t="s">
        <v>32</v>
      </c>
      <c r="J5" s="355"/>
      <c r="K5" s="355"/>
      <c r="L5" s="355" t="s">
        <v>33</v>
      </c>
      <c r="M5" s="355"/>
      <c r="N5" s="355"/>
      <c r="O5" s="355" t="s">
        <v>34</v>
      </c>
      <c r="P5" s="355"/>
      <c r="Q5" s="355"/>
      <c r="R5" s="355" t="s">
        <v>273</v>
      </c>
      <c r="S5" s="355"/>
      <c r="T5" s="355"/>
      <c r="U5" s="355" t="s">
        <v>36</v>
      </c>
      <c r="V5" s="355"/>
      <c r="W5" s="355"/>
      <c r="X5" s="355" t="s">
        <v>37</v>
      </c>
      <c r="Y5" s="355"/>
      <c r="Z5" s="355"/>
      <c r="AA5" s="355" t="s">
        <v>38</v>
      </c>
      <c r="AB5" s="355"/>
      <c r="AC5" s="355"/>
      <c r="AD5" s="355" t="s">
        <v>39</v>
      </c>
      <c r="AE5" s="355"/>
      <c r="AF5" s="395"/>
      <c r="AG5" s="356" t="s">
        <v>40</v>
      </c>
      <c r="AH5" s="355"/>
      <c r="AI5" s="355"/>
      <c r="AJ5" s="383" t="s">
        <v>41</v>
      </c>
      <c r="AK5" s="384"/>
      <c r="AL5" s="385"/>
      <c r="AM5" s="355" t="s">
        <v>42</v>
      </c>
      <c r="AN5" s="355"/>
      <c r="AO5" s="355"/>
      <c r="AP5" s="355" t="s">
        <v>43</v>
      </c>
      <c r="AQ5" s="355"/>
      <c r="AR5" s="355"/>
      <c r="AS5" s="355" t="s">
        <v>275</v>
      </c>
      <c r="AT5" s="355"/>
      <c r="AU5" s="395"/>
      <c r="AV5" s="356" t="s">
        <v>44</v>
      </c>
      <c r="AW5" s="355"/>
      <c r="AX5" s="355"/>
      <c r="AY5" s="355" t="s">
        <v>277</v>
      </c>
      <c r="AZ5" s="355"/>
      <c r="BA5" s="395"/>
      <c r="BB5" s="369" t="s">
        <v>274</v>
      </c>
      <c r="BC5" s="370"/>
      <c r="BD5" s="371"/>
      <c r="BE5" s="441" t="s">
        <v>45</v>
      </c>
      <c r="BF5" s="442"/>
      <c r="BG5" s="442"/>
      <c r="BH5" s="442" t="s">
        <v>46</v>
      </c>
      <c r="BI5" s="442"/>
      <c r="BJ5" s="442"/>
      <c r="BK5" s="442" t="s">
        <v>47</v>
      </c>
      <c r="BL5" s="442"/>
      <c r="BM5" s="442"/>
      <c r="BN5" s="442" t="s">
        <v>48</v>
      </c>
      <c r="BO5" s="442"/>
      <c r="BP5" s="451"/>
      <c r="BQ5" s="397"/>
      <c r="BR5" s="398"/>
      <c r="BS5" s="398"/>
      <c r="BT5" s="398"/>
      <c r="BU5" s="398"/>
      <c r="BV5" s="398"/>
      <c r="BW5" s="398"/>
      <c r="BX5" s="398"/>
      <c r="BY5" s="398"/>
      <c r="BZ5" s="398"/>
      <c r="CA5" s="398"/>
      <c r="CB5" s="398"/>
      <c r="CC5" s="398"/>
      <c r="CD5" s="398"/>
      <c r="CE5" s="398"/>
      <c r="CF5" s="398"/>
      <c r="CG5" s="398"/>
      <c r="CH5" s="398"/>
      <c r="CI5" s="413" t="s">
        <v>50</v>
      </c>
      <c r="CJ5" s="413"/>
      <c r="CK5" s="413"/>
      <c r="CL5" s="413" t="s">
        <v>51</v>
      </c>
      <c r="CM5" s="413"/>
      <c r="CN5" s="413"/>
      <c r="CO5" s="413" t="s">
        <v>52</v>
      </c>
      <c r="CP5" s="413"/>
      <c r="CQ5" s="413"/>
      <c r="CR5" s="413" t="s">
        <v>53</v>
      </c>
      <c r="CS5" s="413"/>
      <c r="CT5" s="413"/>
      <c r="CU5" s="413" t="s">
        <v>54</v>
      </c>
      <c r="CV5" s="413"/>
      <c r="CW5" s="413"/>
      <c r="CX5" s="414" t="s">
        <v>55</v>
      </c>
      <c r="CY5" s="414"/>
      <c r="CZ5" s="414"/>
      <c r="DA5" s="413" t="s">
        <v>56</v>
      </c>
      <c r="DB5" s="413"/>
      <c r="DC5" s="413"/>
      <c r="DD5" s="413" t="s">
        <v>57</v>
      </c>
      <c r="DE5" s="413"/>
      <c r="DF5" s="413"/>
      <c r="DG5" s="414" t="s">
        <v>58</v>
      </c>
      <c r="DH5" s="414"/>
      <c r="DI5" s="414"/>
      <c r="DJ5" s="413" t="s">
        <v>59</v>
      </c>
      <c r="DK5" s="413"/>
      <c r="DL5" s="415"/>
    </row>
    <row r="6" spans="1:139" ht="33.75" customHeight="1" x14ac:dyDescent="0.35">
      <c r="B6" s="18"/>
      <c r="C6" s="20" t="s">
        <v>60</v>
      </c>
      <c r="D6" s="19" t="s">
        <v>61</v>
      </c>
      <c r="E6" s="19" t="s">
        <v>62</v>
      </c>
      <c r="F6" s="19" t="s">
        <v>60</v>
      </c>
      <c r="G6" s="19" t="s">
        <v>61</v>
      </c>
      <c r="H6" s="19" t="s">
        <v>62</v>
      </c>
      <c r="I6" s="19" t="s">
        <v>60</v>
      </c>
      <c r="J6" s="19" t="s">
        <v>61</v>
      </c>
      <c r="K6" s="19" t="s">
        <v>62</v>
      </c>
      <c r="L6" s="19" t="s">
        <v>60</v>
      </c>
      <c r="M6" s="19" t="s">
        <v>61</v>
      </c>
      <c r="N6" s="19" t="s">
        <v>62</v>
      </c>
      <c r="O6" s="19" t="s">
        <v>60</v>
      </c>
      <c r="P6" s="19" t="s">
        <v>61</v>
      </c>
      <c r="Q6" s="19" t="s">
        <v>62</v>
      </c>
      <c r="R6" s="19" t="s">
        <v>60</v>
      </c>
      <c r="S6" s="19" t="s">
        <v>61</v>
      </c>
      <c r="T6" s="19" t="s">
        <v>62</v>
      </c>
      <c r="U6" s="19" t="s">
        <v>60</v>
      </c>
      <c r="V6" s="19" t="s">
        <v>61</v>
      </c>
      <c r="W6" s="19" t="s">
        <v>62</v>
      </c>
      <c r="X6" s="19" t="s">
        <v>60</v>
      </c>
      <c r="Y6" s="19" t="s">
        <v>61</v>
      </c>
      <c r="Z6" s="19" t="s">
        <v>62</v>
      </c>
      <c r="AA6" s="19" t="s">
        <v>60</v>
      </c>
      <c r="AB6" s="19" t="s">
        <v>61</v>
      </c>
      <c r="AC6" s="19" t="s">
        <v>62</v>
      </c>
      <c r="AD6" s="19" t="s">
        <v>60</v>
      </c>
      <c r="AE6" s="19" t="s">
        <v>61</v>
      </c>
      <c r="AF6" s="21" t="s">
        <v>62</v>
      </c>
      <c r="AG6" s="20" t="s">
        <v>60</v>
      </c>
      <c r="AH6" s="19" t="s">
        <v>61</v>
      </c>
      <c r="AI6" s="19" t="s">
        <v>62</v>
      </c>
      <c r="AJ6" s="19" t="s">
        <v>60</v>
      </c>
      <c r="AK6" s="19" t="s">
        <v>61</v>
      </c>
      <c r="AL6" s="19" t="s">
        <v>62</v>
      </c>
      <c r="AM6" s="19" t="s">
        <v>60</v>
      </c>
      <c r="AN6" s="19" t="s">
        <v>61</v>
      </c>
      <c r="AO6" s="19" t="s">
        <v>62</v>
      </c>
      <c r="AP6" s="19" t="s">
        <v>60</v>
      </c>
      <c r="AQ6" s="19" t="s">
        <v>61</v>
      </c>
      <c r="AR6" s="19" t="s">
        <v>62</v>
      </c>
      <c r="AS6" s="19" t="s">
        <v>60</v>
      </c>
      <c r="AT6" s="19" t="s">
        <v>61</v>
      </c>
      <c r="AU6" s="21" t="s">
        <v>62</v>
      </c>
      <c r="AV6" s="20" t="s">
        <v>60</v>
      </c>
      <c r="AW6" s="19" t="s">
        <v>61</v>
      </c>
      <c r="AX6" s="19" t="s">
        <v>62</v>
      </c>
      <c r="AY6" s="19" t="s">
        <v>60</v>
      </c>
      <c r="AZ6" s="19" t="s">
        <v>61</v>
      </c>
      <c r="BA6" s="21" t="s">
        <v>62</v>
      </c>
      <c r="BB6" s="20" t="s">
        <v>60</v>
      </c>
      <c r="BC6" s="19" t="s">
        <v>61</v>
      </c>
      <c r="BD6" s="21" t="s">
        <v>62</v>
      </c>
      <c r="BE6" s="20" t="s">
        <v>60</v>
      </c>
      <c r="BF6" s="19" t="s">
        <v>61</v>
      </c>
      <c r="BG6" s="19" t="s">
        <v>62</v>
      </c>
      <c r="BH6" s="19" t="s">
        <v>60</v>
      </c>
      <c r="BI6" s="19" t="s">
        <v>61</v>
      </c>
      <c r="BJ6" s="19" t="s">
        <v>62</v>
      </c>
      <c r="BK6" s="19" t="s">
        <v>60</v>
      </c>
      <c r="BL6" s="19" t="s">
        <v>61</v>
      </c>
      <c r="BM6" s="19" t="s">
        <v>62</v>
      </c>
      <c r="BN6" s="19" t="s">
        <v>60</v>
      </c>
      <c r="BO6" s="19" t="s">
        <v>61</v>
      </c>
      <c r="BP6" s="21" t="s">
        <v>62</v>
      </c>
      <c r="BQ6" s="20" t="s">
        <v>60</v>
      </c>
      <c r="BR6" s="19" t="s">
        <v>61</v>
      </c>
      <c r="BS6" s="19" t="s">
        <v>62</v>
      </c>
      <c r="BT6" s="19" t="s">
        <v>60</v>
      </c>
      <c r="BU6" s="19" t="s">
        <v>61</v>
      </c>
      <c r="BV6" s="19" t="s">
        <v>62</v>
      </c>
      <c r="BW6" s="19" t="s">
        <v>60</v>
      </c>
      <c r="BX6" s="19" t="s">
        <v>61</v>
      </c>
      <c r="BY6" s="19" t="s">
        <v>62</v>
      </c>
      <c r="BZ6" s="19" t="s">
        <v>60</v>
      </c>
      <c r="CA6" s="19" t="s">
        <v>61</v>
      </c>
      <c r="CB6" s="19" t="s">
        <v>62</v>
      </c>
      <c r="CC6" s="19" t="s">
        <v>60</v>
      </c>
      <c r="CD6" s="19" t="s">
        <v>61</v>
      </c>
      <c r="CE6" s="19" t="s">
        <v>62</v>
      </c>
      <c r="CF6" s="19" t="s">
        <v>60</v>
      </c>
      <c r="CG6" s="19" t="s">
        <v>61</v>
      </c>
      <c r="CH6" s="19" t="s">
        <v>62</v>
      </c>
      <c r="CI6" s="19" t="s">
        <v>63</v>
      </c>
      <c r="CJ6" s="19" t="s">
        <v>64</v>
      </c>
      <c r="CK6" s="19" t="s">
        <v>65</v>
      </c>
      <c r="CL6" s="19" t="s">
        <v>63</v>
      </c>
      <c r="CM6" s="19" t="s">
        <v>64</v>
      </c>
      <c r="CN6" s="19" t="s">
        <v>65</v>
      </c>
      <c r="CO6" s="19" t="s">
        <v>63</v>
      </c>
      <c r="CP6" s="19" t="s">
        <v>64</v>
      </c>
      <c r="CQ6" s="19" t="s">
        <v>65</v>
      </c>
      <c r="CR6" s="19" t="s">
        <v>63</v>
      </c>
      <c r="CS6" s="19" t="s">
        <v>64</v>
      </c>
      <c r="CT6" s="19" t="s">
        <v>65</v>
      </c>
      <c r="CU6" s="19" t="s">
        <v>63</v>
      </c>
      <c r="CV6" s="19" t="s">
        <v>64</v>
      </c>
      <c r="CW6" s="19" t="s">
        <v>65</v>
      </c>
      <c r="CX6" s="19" t="s">
        <v>63</v>
      </c>
      <c r="CY6" s="19" t="s">
        <v>64</v>
      </c>
      <c r="CZ6" s="19" t="s">
        <v>65</v>
      </c>
      <c r="DA6" s="19" t="s">
        <v>63</v>
      </c>
      <c r="DB6" s="19" t="s">
        <v>64</v>
      </c>
      <c r="DC6" s="19" t="s">
        <v>65</v>
      </c>
      <c r="DD6" s="19" t="s">
        <v>63</v>
      </c>
      <c r="DE6" s="19" t="s">
        <v>64</v>
      </c>
      <c r="DF6" s="19" t="s">
        <v>65</v>
      </c>
      <c r="DG6" s="19" t="s">
        <v>63</v>
      </c>
      <c r="DH6" s="19" t="s">
        <v>64</v>
      </c>
      <c r="DI6" s="19" t="s">
        <v>65</v>
      </c>
      <c r="DJ6" s="19" t="s">
        <v>63</v>
      </c>
      <c r="DK6" s="19" t="s">
        <v>64</v>
      </c>
      <c r="DL6" s="21" t="s">
        <v>65</v>
      </c>
      <c r="EI6" s="69"/>
    </row>
    <row r="7" spans="1:139" x14ac:dyDescent="0.35">
      <c r="B7" s="27" t="s">
        <v>66</v>
      </c>
      <c r="C7" s="111">
        <v>0</v>
      </c>
      <c r="D7" s="112">
        <v>0</v>
      </c>
      <c r="E7" s="112">
        <v>0</v>
      </c>
      <c r="F7" s="112">
        <v>10584</v>
      </c>
      <c r="G7" s="112">
        <v>5250</v>
      </c>
      <c r="H7" s="112">
        <v>5292</v>
      </c>
      <c r="I7" s="112">
        <v>0</v>
      </c>
      <c r="J7" s="112">
        <v>0</v>
      </c>
      <c r="K7" s="112">
        <v>0</v>
      </c>
      <c r="L7" s="112">
        <v>4790</v>
      </c>
      <c r="M7" s="112">
        <v>0</v>
      </c>
      <c r="N7" s="112">
        <v>0</v>
      </c>
      <c r="O7" s="112">
        <v>0</v>
      </c>
      <c r="P7" s="112">
        <v>0</v>
      </c>
      <c r="Q7" s="112">
        <v>0</v>
      </c>
      <c r="R7" s="112">
        <v>65585.649999999994</v>
      </c>
      <c r="S7" s="112">
        <v>0</v>
      </c>
      <c r="T7" s="112">
        <v>0</v>
      </c>
      <c r="U7" s="112">
        <v>0</v>
      </c>
      <c r="V7" s="112">
        <v>0</v>
      </c>
      <c r="W7" s="112">
        <v>0</v>
      </c>
      <c r="X7" s="112">
        <v>0</v>
      </c>
      <c r="Y7" s="112">
        <v>0</v>
      </c>
      <c r="Z7" s="112">
        <v>0</v>
      </c>
      <c r="AA7" s="112">
        <v>0</v>
      </c>
      <c r="AB7" s="112">
        <v>0</v>
      </c>
      <c r="AC7" s="112">
        <v>0</v>
      </c>
      <c r="AD7" s="112">
        <v>0</v>
      </c>
      <c r="AE7" s="112">
        <v>0</v>
      </c>
      <c r="AF7" s="113">
        <v>0</v>
      </c>
      <c r="AG7" s="111">
        <v>0</v>
      </c>
      <c r="AH7" s="112">
        <v>0</v>
      </c>
      <c r="AI7" s="112">
        <v>0</v>
      </c>
      <c r="AJ7" s="112">
        <v>0</v>
      </c>
      <c r="AK7" s="112">
        <v>0</v>
      </c>
      <c r="AL7" s="112">
        <v>0</v>
      </c>
      <c r="AM7" s="112">
        <v>11340</v>
      </c>
      <c r="AN7" s="112">
        <v>0</v>
      </c>
      <c r="AO7" s="112">
        <v>0</v>
      </c>
      <c r="AP7" s="112">
        <v>0</v>
      </c>
      <c r="AQ7" s="112">
        <v>0</v>
      </c>
      <c r="AR7" s="112">
        <v>0</v>
      </c>
      <c r="AS7" s="112">
        <v>0</v>
      </c>
      <c r="AT7" s="112">
        <v>0</v>
      </c>
      <c r="AU7" s="113">
        <v>0</v>
      </c>
      <c r="AV7" s="111">
        <v>0</v>
      </c>
      <c r="AW7" s="112">
        <v>0</v>
      </c>
      <c r="AX7" s="97">
        <v>0</v>
      </c>
      <c r="AY7" s="112">
        <v>0</v>
      </c>
      <c r="AZ7" s="112">
        <v>0</v>
      </c>
      <c r="BA7" s="113">
        <v>0</v>
      </c>
      <c r="BB7" s="111">
        <v>1719.903</v>
      </c>
      <c r="BC7" s="112">
        <v>0</v>
      </c>
      <c r="BD7" s="113">
        <v>0</v>
      </c>
      <c r="BE7" s="111">
        <v>0</v>
      </c>
      <c r="BF7" s="112">
        <v>0</v>
      </c>
      <c r="BG7" s="112">
        <v>0</v>
      </c>
      <c r="BH7" s="112">
        <v>0</v>
      </c>
      <c r="BI7" s="112">
        <v>0</v>
      </c>
      <c r="BJ7" s="112">
        <v>0</v>
      </c>
      <c r="BK7" s="112">
        <v>0</v>
      </c>
      <c r="BL7" s="112">
        <v>0</v>
      </c>
      <c r="BM7" s="112">
        <v>0</v>
      </c>
      <c r="BN7" s="112">
        <v>0</v>
      </c>
      <c r="BO7" s="112">
        <v>0</v>
      </c>
      <c r="BP7" s="113">
        <v>0</v>
      </c>
      <c r="BQ7" s="111">
        <v>0</v>
      </c>
      <c r="BR7" s="112">
        <v>0</v>
      </c>
      <c r="BS7" s="112">
        <v>0</v>
      </c>
      <c r="BT7" s="112">
        <v>0</v>
      </c>
      <c r="BU7" s="112">
        <v>0</v>
      </c>
      <c r="BV7" s="112">
        <v>0</v>
      </c>
      <c r="BW7" s="112">
        <v>0</v>
      </c>
      <c r="BX7" s="112">
        <v>0</v>
      </c>
      <c r="BY7" s="112">
        <v>0</v>
      </c>
      <c r="BZ7" s="112">
        <v>0</v>
      </c>
      <c r="CA7" s="112">
        <v>0</v>
      </c>
      <c r="CB7" s="112">
        <v>0</v>
      </c>
      <c r="CC7" s="112">
        <v>0</v>
      </c>
      <c r="CD7" s="112">
        <v>0</v>
      </c>
      <c r="CE7" s="112">
        <v>0</v>
      </c>
      <c r="CF7" s="112">
        <v>0</v>
      </c>
      <c r="CG7" s="112">
        <v>0</v>
      </c>
      <c r="CH7" s="112">
        <v>0</v>
      </c>
      <c r="CI7" s="112">
        <v>0</v>
      </c>
      <c r="CJ7" s="112">
        <v>0</v>
      </c>
      <c r="CK7" s="112">
        <v>0</v>
      </c>
      <c r="CL7" s="112">
        <v>0</v>
      </c>
      <c r="CM7" s="112">
        <v>0</v>
      </c>
      <c r="CN7" s="112">
        <v>0</v>
      </c>
      <c r="CO7" s="112">
        <v>395.33000000000004</v>
      </c>
      <c r="CP7" s="112">
        <v>0</v>
      </c>
      <c r="CQ7" s="112">
        <v>0</v>
      </c>
      <c r="CR7" s="112">
        <v>0</v>
      </c>
      <c r="CS7" s="112">
        <v>0</v>
      </c>
      <c r="CT7" s="112">
        <v>0</v>
      </c>
      <c r="CU7" s="112">
        <v>0</v>
      </c>
      <c r="CV7" s="112">
        <v>0</v>
      </c>
      <c r="CW7" s="112">
        <v>0</v>
      </c>
      <c r="CX7" s="112">
        <v>0</v>
      </c>
      <c r="CY7" s="112">
        <v>0</v>
      </c>
      <c r="CZ7" s="112">
        <v>0</v>
      </c>
      <c r="DA7" s="112">
        <v>0</v>
      </c>
      <c r="DB7" s="112">
        <v>0</v>
      </c>
      <c r="DC7" s="112">
        <v>0</v>
      </c>
      <c r="DD7" s="112">
        <v>0</v>
      </c>
      <c r="DE7" s="112">
        <v>0</v>
      </c>
      <c r="DF7" s="112">
        <v>0</v>
      </c>
      <c r="DG7" s="112">
        <v>0</v>
      </c>
      <c r="DH7" s="112">
        <v>0</v>
      </c>
      <c r="DI7" s="112">
        <v>0</v>
      </c>
      <c r="DJ7" s="112">
        <v>0</v>
      </c>
      <c r="DK7" s="112">
        <v>0</v>
      </c>
      <c r="DL7" s="113">
        <v>0</v>
      </c>
      <c r="EI7" s="69"/>
    </row>
    <row r="8" spans="1:139" x14ac:dyDescent="0.35">
      <c r="B8" s="27" t="s">
        <v>67</v>
      </c>
      <c r="C8" s="111"/>
      <c r="D8" s="112"/>
      <c r="E8" s="112"/>
      <c r="F8" s="112">
        <v>75600</v>
      </c>
      <c r="G8" s="112">
        <v>25200</v>
      </c>
      <c r="H8" s="112">
        <v>0</v>
      </c>
      <c r="I8" s="112"/>
      <c r="J8" s="112"/>
      <c r="K8" s="112"/>
      <c r="L8" s="112">
        <v>11800</v>
      </c>
      <c r="M8" s="112"/>
      <c r="N8" s="112"/>
      <c r="O8" s="112"/>
      <c r="P8" s="112"/>
      <c r="Q8" s="112"/>
      <c r="R8" s="112">
        <v>54000</v>
      </c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3"/>
      <c r="AG8" s="111">
        <v>168</v>
      </c>
      <c r="AH8" s="112">
        <v>0</v>
      </c>
      <c r="AI8" s="112">
        <v>0</v>
      </c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3"/>
      <c r="AV8" s="111">
        <v>6025</v>
      </c>
      <c r="AW8" s="112"/>
      <c r="AX8" s="97"/>
      <c r="AY8" s="112"/>
      <c r="AZ8" s="112"/>
      <c r="BA8" s="113"/>
      <c r="BB8" s="111">
        <v>1039.2239999999999</v>
      </c>
      <c r="BC8" s="112"/>
      <c r="BD8" s="113"/>
      <c r="BE8" s="111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3"/>
      <c r="BQ8" s="111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>
        <v>152.97999999999999</v>
      </c>
      <c r="CS8" s="112">
        <v>0</v>
      </c>
      <c r="CT8" s="112">
        <v>0</v>
      </c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3"/>
      <c r="EI8" s="69"/>
    </row>
    <row r="9" spans="1:139" ht="15" customHeight="1" x14ac:dyDescent="0.35">
      <c r="B9" s="27" t="s">
        <v>68</v>
      </c>
      <c r="C9" s="111"/>
      <c r="D9" s="112"/>
      <c r="E9" s="112"/>
      <c r="F9" s="112"/>
      <c r="G9" s="112"/>
      <c r="H9" s="112"/>
      <c r="I9" s="112"/>
      <c r="J9" s="112"/>
      <c r="K9" s="112"/>
      <c r="L9" s="112">
        <v>26140</v>
      </c>
      <c r="M9" s="112"/>
      <c r="N9" s="112"/>
      <c r="O9" s="112"/>
      <c r="P9" s="112"/>
      <c r="Q9" s="112"/>
      <c r="R9" s="271">
        <v>55000</v>
      </c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3"/>
      <c r="AG9" s="111">
        <v>476</v>
      </c>
      <c r="AH9" s="112">
        <v>0</v>
      </c>
      <c r="AI9" s="112">
        <v>0</v>
      </c>
      <c r="AJ9" s="112"/>
      <c r="AK9" s="112"/>
      <c r="AL9" s="112"/>
      <c r="AM9" s="112">
        <v>50400</v>
      </c>
      <c r="AN9" s="112"/>
      <c r="AO9" s="112"/>
      <c r="AP9" s="112"/>
      <c r="AQ9" s="112"/>
      <c r="AR9" s="112"/>
      <c r="AS9" s="112"/>
      <c r="AT9" s="112"/>
      <c r="AU9" s="113"/>
      <c r="AV9" s="111"/>
      <c r="AW9" s="112"/>
      <c r="AX9" s="97"/>
      <c r="AY9" s="112"/>
      <c r="AZ9" s="112"/>
      <c r="BA9" s="113"/>
      <c r="BB9" s="111">
        <v>704.04200000000003</v>
      </c>
      <c r="BC9" s="112"/>
      <c r="BD9" s="113"/>
      <c r="BE9" s="111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3"/>
      <c r="BQ9" s="111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112"/>
      <c r="CP9" s="112"/>
      <c r="CQ9" s="112"/>
      <c r="CR9" s="112"/>
      <c r="CS9" s="112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3"/>
      <c r="EI9" s="69"/>
    </row>
    <row r="10" spans="1:139" x14ac:dyDescent="0.35">
      <c r="B10" s="27" t="s">
        <v>69</v>
      </c>
      <c r="C10" s="111"/>
      <c r="D10" s="112"/>
      <c r="E10" s="112"/>
      <c r="F10" s="112"/>
      <c r="G10" s="112"/>
      <c r="H10" s="112"/>
      <c r="I10" s="112"/>
      <c r="J10" s="112"/>
      <c r="K10" s="112"/>
      <c r="L10" s="112">
        <v>33120</v>
      </c>
      <c r="M10" s="112"/>
      <c r="N10" s="112"/>
      <c r="O10" s="112"/>
      <c r="P10" s="112"/>
      <c r="Q10" s="112"/>
      <c r="R10" s="112">
        <v>83450</v>
      </c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3"/>
      <c r="AG10" s="111">
        <v>28200</v>
      </c>
      <c r="AH10" s="112">
        <v>0</v>
      </c>
      <c r="AI10" s="112">
        <v>0</v>
      </c>
      <c r="AJ10" s="112"/>
      <c r="AK10" s="112"/>
      <c r="AL10" s="112"/>
      <c r="AM10" s="112"/>
      <c r="AN10" s="112"/>
      <c r="AO10" s="112"/>
      <c r="AP10" s="112"/>
      <c r="AQ10" s="112"/>
      <c r="AR10" s="112"/>
      <c r="AS10" s="112">
        <v>28200</v>
      </c>
      <c r="AT10" s="112">
        <v>0</v>
      </c>
      <c r="AU10" s="113">
        <v>15000</v>
      </c>
      <c r="AV10" s="111">
        <v>308</v>
      </c>
      <c r="AW10" s="112"/>
      <c r="AX10" s="97"/>
      <c r="AY10" s="112"/>
      <c r="AZ10" s="112"/>
      <c r="BA10" s="113"/>
      <c r="BB10" s="111">
        <v>573.61599999999999</v>
      </c>
      <c r="BC10" s="112"/>
      <c r="BD10" s="113"/>
      <c r="BE10" s="111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3"/>
      <c r="BQ10" s="111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3"/>
      <c r="EI10" s="69"/>
    </row>
    <row r="11" spans="1:139" ht="15" customHeight="1" thickBot="1" x14ac:dyDescent="0.4">
      <c r="B11" s="27" t="s">
        <v>70</v>
      </c>
      <c r="C11" s="115"/>
      <c r="D11" s="116"/>
      <c r="E11" s="116"/>
      <c r="F11" s="116"/>
      <c r="G11" s="116"/>
      <c r="H11" s="116"/>
      <c r="I11" s="116"/>
      <c r="J11" s="116"/>
      <c r="K11" s="116"/>
      <c r="L11" s="116">
        <v>3320</v>
      </c>
      <c r="M11" s="116"/>
      <c r="N11" s="116"/>
      <c r="O11" s="116"/>
      <c r="P11" s="116"/>
      <c r="Q11" s="116"/>
      <c r="R11" s="116">
        <v>84750</v>
      </c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7"/>
      <c r="AG11" s="115">
        <v>140</v>
      </c>
      <c r="AH11" s="116">
        <v>0</v>
      </c>
      <c r="AI11" s="116">
        <v>0</v>
      </c>
      <c r="AJ11" s="116"/>
      <c r="AK11" s="116"/>
      <c r="AL11" s="116"/>
      <c r="AM11" s="116"/>
      <c r="AN11" s="116"/>
      <c r="AO11" s="116"/>
      <c r="AP11" s="116"/>
      <c r="AQ11" s="116"/>
      <c r="AR11" s="116"/>
      <c r="AS11" s="116">
        <v>0</v>
      </c>
      <c r="AT11" s="116">
        <v>28200</v>
      </c>
      <c r="AU11" s="117">
        <v>0</v>
      </c>
      <c r="AV11" s="115">
        <v>29632</v>
      </c>
      <c r="AW11" s="116"/>
      <c r="AX11" s="131"/>
      <c r="AY11" s="116"/>
      <c r="AZ11" s="116"/>
      <c r="BA11" s="117"/>
      <c r="BB11" s="115">
        <v>1851.3</v>
      </c>
      <c r="BC11" s="116"/>
      <c r="BD11" s="117"/>
      <c r="BE11" s="115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7"/>
      <c r="BQ11" s="115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>
        <v>459.8</v>
      </c>
      <c r="CP11" s="116">
        <v>0</v>
      </c>
      <c r="CQ11" s="116">
        <v>0</v>
      </c>
      <c r="CR11" s="116"/>
      <c r="CS11" s="116"/>
      <c r="CT11" s="116"/>
      <c r="CU11" s="112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7"/>
      <c r="EI11" s="69"/>
    </row>
    <row r="12" spans="1:139" x14ac:dyDescent="0.35">
      <c r="EI12" s="69"/>
    </row>
    <row r="13" spans="1:139" ht="14.5" customHeight="1" x14ac:dyDescent="0.35">
      <c r="B13" s="416" t="s">
        <v>244</v>
      </c>
      <c r="C13" s="417"/>
      <c r="D13" s="417"/>
      <c r="E13" s="417"/>
      <c r="F13" s="417"/>
      <c r="G13" s="417"/>
      <c r="H13" s="417"/>
      <c r="I13" s="417"/>
      <c r="J13" s="417"/>
      <c r="K13" s="417"/>
      <c r="L13" s="417"/>
      <c r="M13" s="417"/>
      <c r="N13" s="417"/>
      <c r="O13" s="417"/>
      <c r="P13" s="417"/>
      <c r="Q13" s="417"/>
      <c r="R13" s="417"/>
      <c r="S13" s="417"/>
      <c r="T13" s="417"/>
      <c r="U13" s="417"/>
      <c r="V13" s="417"/>
      <c r="W13" s="417"/>
      <c r="X13" s="417"/>
      <c r="Y13" s="417"/>
      <c r="Z13" s="417"/>
      <c r="AA13" s="417"/>
      <c r="AB13" s="417"/>
      <c r="AC13" s="417"/>
      <c r="AD13" s="417"/>
      <c r="AE13" s="417"/>
      <c r="AF13" s="417"/>
      <c r="AG13" s="417"/>
      <c r="AH13" s="417"/>
      <c r="AI13" s="417"/>
      <c r="AJ13" s="417"/>
      <c r="AK13" s="417"/>
      <c r="AL13" s="417"/>
      <c r="AM13" s="417"/>
      <c r="AN13" s="417"/>
      <c r="AO13" s="417"/>
      <c r="AP13" s="417"/>
      <c r="AQ13" s="417"/>
      <c r="AR13" s="417"/>
      <c r="AS13" s="417"/>
      <c r="AT13" s="417"/>
      <c r="AU13" s="417"/>
      <c r="AV13" s="417"/>
      <c r="AW13" s="417"/>
      <c r="AX13" s="417"/>
      <c r="AY13" s="417"/>
      <c r="AZ13" s="417"/>
      <c r="BA13" s="417"/>
      <c r="BB13" s="417"/>
      <c r="BC13" s="417"/>
      <c r="BD13" s="417"/>
      <c r="BE13" s="417"/>
      <c r="BF13" s="417"/>
      <c r="BG13" s="417"/>
      <c r="BH13" s="417"/>
      <c r="BI13" s="417"/>
      <c r="BJ13" s="417"/>
      <c r="BK13" s="417"/>
      <c r="BL13" s="417"/>
      <c r="BM13" s="417"/>
      <c r="BN13" s="417"/>
      <c r="BO13" s="417"/>
      <c r="BP13" s="417"/>
      <c r="BQ13" s="417"/>
      <c r="BR13" s="417"/>
      <c r="BS13" s="417"/>
      <c r="BT13" s="417"/>
      <c r="BU13" s="417"/>
      <c r="BV13" s="417"/>
      <c r="BW13" s="417"/>
      <c r="BX13" s="417"/>
      <c r="BY13" s="417"/>
      <c r="BZ13" s="417"/>
      <c r="CA13" s="417"/>
      <c r="CB13" s="417"/>
      <c r="CC13" s="417"/>
      <c r="CD13" s="417"/>
      <c r="CE13" s="417"/>
      <c r="CF13" s="417"/>
      <c r="CG13" s="417"/>
      <c r="CH13" s="417"/>
      <c r="CI13" s="417"/>
      <c r="CJ13" s="417"/>
      <c r="CK13" s="417"/>
      <c r="CL13" s="417"/>
      <c r="CM13" s="417"/>
      <c r="CN13" s="417"/>
      <c r="CO13" s="417"/>
      <c r="CP13" s="417"/>
      <c r="CQ13" s="417"/>
      <c r="CR13" s="417"/>
      <c r="CS13" s="417"/>
      <c r="CT13" s="417"/>
      <c r="CU13" s="417"/>
      <c r="CV13" s="417"/>
      <c r="CW13" s="417"/>
      <c r="CX13" s="417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69"/>
    </row>
    <row r="14" spans="1:139" ht="15" customHeight="1" thickBot="1" x14ac:dyDescent="0.4">
      <c r="B14" s="399"/>
      <c r="C14" s="418" t="s">
        <v>71</v>
      </c>
      <c r="D14" s="419"/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  <c r="AL14" s="419"/>
      <c r="AM14" s="419"/>
      <c r="AN14" s="419"/>
      <c r="AO14" s="419"/>
      <c r="AP14" s="419"/>
      <c r="AQ14" s="419"/>
      <c r="AR14" s="419"/>
      <c r="AS14" s="419"/>
      <c r="AT14" s="419"/>
      <c r="AU14" s="419"/>
      <c r="AV14" s="419"/>
      <c r="AW14" s="419"/>
      <c r="AX14" s="419"/>
      <c r="AY14" s="419"/>
      <c r="AZ14" s="419"/>
      <c r="BA14" s="419"/>
      <c r="BB14" s="419"/>
      <c r="BC14" s="419"/>
      <c r="BD14" s="419"/>
      <c r="BE14" s="419"/>
      <c r="BF14" s="419"/>
      <c r="BG14" s="419"/>
      <c r="BH14" s="419"/>
      <c r="BI14" s="419"/>
      <c r="BJ14" s="419"/>
      <c r="BK14" s="419"/>
      <c r="BL14" s="419"/>
      <c r="BM14" s="419"/>
      <c r="BN14" s="419"/>
      <c r="BO14" s="419"/>
      <c r="BP14" s="419"/>
      <c r="BQ14" s="419"/>
      <c r="BR14" s="420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341" t="s">
        <v>27</v>
      </c>
      <c r="CL14" s="342"/>
      <c r="CM14" s="338" t="s">
        <v>72</v>
      </c>
      <c r="CN14" s="339"/>
      <c r="CO14" s="339"/>
      <c r="CP14" s="339"/>
      <c r="CQ14" s="339"/>
      <c r="CR14" s="339"/>
      <c r="CS14" s="339"/>
      <c r="CT14" s="339"/>
      <c r="CU14" s="339"/>
      <c r="CV14" s="339"/>
      <c r="CW14" s="339"/>
      <c r="CX14" s="339"/>
      <c r="CY14" s="339"/>
      <c r="CZ14" s="339"/>
      <c r="DA14" s="339"/>
      <c r="DB14" s="340"/>
      <c r="DC14" s="309" t="s">
        <v>29</v>
      </c>
      <c r="DD14" s="310"/>
      <c r="DE14" s="310"/>
      <c r="DF14" s="310"/>
      <c r="DG14" s="310"/>
      <c r="DH14" s="310"/>
      <c r="DI14" s="310"/>
      <c r="DJ14" s="310"/>
      <c r="DK14" s="310"/>
      <c r="DL14" s="310"/>
      <c r="DM14" s="310"/>
      <c r="DN14" s="311"/>
      <c r="DO14" s="452" t="s">
        <v>29</v>
      </c>
      <c r="DP14" s="453"/>
      <c r="DQ14" s="453"/>
      <c r="DR14" s="453"/>
      <c r="DS14" s="453"/>
      <c r="DT14" s="453"/>
      <c r="DU14" s="453"/>
      <c r="DV14" s="453"/>
      <c r="DW14" s="453"/>
      <c r="DX14" s="453"/>
      <c r="DY14" s="453"/>
      <c r="DZ14" s="453"/>
      <c r="EA14" s="453"/>
      <c r="EB14" s="453"/>
      <c r="EC14" s="453"/>
      <c r="ED14" s="453"/>
      <c r="EE14" s="453"/>
      <c r="EF14" s="453"/>
      <c r="EG14" s="453"/>
      <c r="EH14" s="454"/>
      <c r="EI14" s="69"/>
    </row>
    <row r="15" spans="1:139" ht="15" customHeight="1" x14ac:dyDescent="0.35">
      <c r="B15" s="401"/>
      <c r="C15" s="380" t="s">
        <v>24</v>
      </c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  <c r="AJ15" s="381"/>
      <c r="AK15" s="381"/>
      <c r="AL15" s="381"/>
      <c r="AM15" s="381"/>
      <c r="AN15" s="381"/>
      <c r="AO15" s="381"/>
      <c r="AP15" s="382"/>
      <c r="AQ15" s="346" t="s">
        <v>25</v>
      </c>
      <c r="AR15" s="347"/>
      <c r="AS15" s="347"/>
      <c r="AT15" s="347"/>
      <c r="AU15" s="347"/>
      <c r="AV15" s="347"/>
      <c r="AW15" s="347"/>
      <c r="AX15" s="347"/>
      <c r="AY15" s="347"/>
      <c r="AZ15" s="347"/>
      <c r="BA15" s="347"/>
      <c r="BB15" s="347"/>
      <c r="BC15" s="347"/>
      <c r="BD15" s="347"/>
      <c r="BE15" s="347"/>
      <c r="BF15" s="347"/>
      <c r="BG15" s="347"/>
      <c r="BH15" s="347"/>
      <c r="BI15" s="347"/>
      <c r="BJ15" s="347"/>
      <c r="BK15" s="347"/>
      <c r="BL15" s="347"/>
      <c r="BM15" s="347"/>
      <c r="BN15" s="347"/>
      <c r="BO15" s="347"/>
      <c r="BP15" s="348"/>
      <c r="BQ15" s="346" t="s">
        <v>26</v>
      </c>
      <c r="BR15" s="347"/>
      <c r="BS15" s="347"/>
      <c r="BT15" s="347"/>
      <c r="BU15" s="347"/>
      <c r="BV15" s="347"/>
      <c r="BW15" s="347"/>
      <c r="BX15" s="347"/>
      <c r="BY15" s="347"/>
      <c r="BZ15" s="347"/>
      <c r="CA15" s="347"/>
      <c r="CB15" s="347"/>
      <c r="CC15" s="347"/>
      <c r="CD15" s="347"/>
      <c r="CE15" s="347"/>
      <c r="CF15" s="347"/>
      <c r="CG15" s="347"/>
      <c r="CH15" s="347"/>
      <c r="CI15" s="347"/>
      <c r="CJ15" s="348"/>
      <c r="CK15" s="425" t="s">
        <v>73</v>
      </c>
      <c r="CL15" s="426"/>
      <c r="CM15" s="431" t="s">
        <v>74</v>
      </c>
      <c r="CN15" s="432"/>
      <c r="CO15" s="432"/>
      <c r="CP15" s="433"/>
      <c r="CQ15" s="329" t="s">
        <v>75</v>
      </c>
      <c r="CR15" s="330"/>
      <c r="CS15" s="330"/>
      <c r="CT15" s="422"/>
      <c r="CU15" s="329" t="s">
        <v>76</v>
      </c>
      <c r="CV15" s="330"/>
      <c r="CW15" s="330"/>
      <c r="CX15" s="422"/>
      <c r="CY15" s="329" t="s">
        <v>77</v>
      </c>
      <c r="CZ15" s="330"/>
      <c r="DA15" s="330"/>
      <c r="DB15" s="331"/>
      <c r="DC15" s="320">
        <f>BQ5</f>
        <v>0</v>
      </c>
      <c r="DD15" s="321"/>
      <c r="DE15" s="326">
        <f>BT5</f>
        <v>0</v>
      </c>
      <c r="DF15" s="321"/>
      <c r="DG15" s="326">
        <f>BW5</f>
        <v>0</v>
      </c>
      <c r="DH15" s="321"/>
      <c r="DI15" s="326">
        <f>BZ5</f>
        <v>0</v>
      </c>
      <c r="DJ15" s="321"/>
      <c r="DK15" s="326">
        <f>CC5</f>
        <v>0</v>
      </c>
      <c r="DL15" s="321"/>
      <c r="DM15" s="326">
        <f>CF5</f>
        <v>0</v>
      </c>
      <c r="DN15" s="321"/>
      <c r="DO15" s="455" t="s">
        <v>50</v>
      </c>
      <c r="DP15" s="456"/>
      <c r="DQ15" s="455" t="s">
        <v>51</v>
      </c>
      <c r="DR15" s="456"/>
      <c r="DS15" s="455" t="s">
        <v>52</v>
      </c>
      <c r="DT15" s="456"/>
      <c r="DU15" s="455" t="s">
        <v>53</v>
      </c>
      <c r="DV15" s="456"/>
      <c r="DW15" s="461" t="s">
        <v>54</v>
      </c>
      <c r="DX15" s="462"/>
      <c r="DY15" s="461" t="s">
        <v>55</v>
      </c>
      <c r="DZ15" s="462"/>
      <c r="EA15" s="455" t="s">
        <v>56</v>
      </c>
      <c r="EB15" s="456"/>
      <c r="EC15" s="455" t="s">
        <v>57</v>
      </c>
      <c r="ED15" s="456"/>
      <c r="EE15" s="467" t="s">
        <v>58</v>
      </c>
      <c r="EF15" s="468"/>
      <c r="EG15" s="455" t="s">
        <v>59</v>
      </c>
      <c r="EH15" s="473"/>
      <c r="EI15" s="69"/>
    </row>
    <row r="16" spans="1:139" x14ac:dyDescent="0.35">
      <c r="B16" s="401"/>
      <c r="C16" s="360" t="s">
        <v>78</v>
      </c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1"/>
      <c r="Y16" s="361"/>
      <c r="Z16" s="362"/>
      <c r="AA16" s="379" t="s">
        <v>79</v>
      </c>
      <c r="AB16" s="361"/>
      <c r="AC16" s="361"/>
      <c r="AD16" s="361"/>
      <c r="AE16" s="361"/>
      <c r="AF16" s="361"/>
      <c r="AG16" s="361"/>
      <c r="AH16" s="362"/>
      <c r="AI16" s="314" t="s">
        <v>80</v>
      </c>
      <c r="AJ16" s="315"/>
      <c r="AK16" s="315"/>
      <c r="AL16" s="315"/>
      <c r="AM16" s="315"/>
      <c r="AN16" s="315"/>
      <c r="AO16" s="315"/>
      <c r="AP16" s="396"/>
      <c r="AQ16" s="360" t="s">
        <v>81</v>
      </c>
      <c r="AR16" s="361"/>
      <c r="AS16" s="361"/>
      <c r="AT16" s="361"/>
      <c r="AU16" s="361"/>
      <c r="AV16" s="361"/>
      <c r="AW16" s="362"/>
      <c r="AX16" s="379" t="s">
        <v>82</v>
      </c>
      <c r="AY16" s="361"/>
      <c r="AZ16" s="361"/>
      <c r="BA16" s="362"/>
      <c r="BB16" s="379" t="s">
        <v>83</v>
      </c>
      <c r="BC16" s="361"/>
      <c r="BD16" s="361"/>
      <c r="BE16" s="361"/>
      <c r="BF16" s="361"/>
      <c r="BG16" s="361"/>
      <c r="BH16" s="362"/>
      <c r="BI16" s="379" t="s">
        <v>84</v>
      </c>
      <c r="BJ16" s="361"/>
      <c r="BK16" s="361"/>
      <c r="BL16" s="362"/>
      <c r="BM16" s="379" t="s">
        <v>85</v>
      </c>
      <c r="BN16" s="361"/>
      <c r="BO16" s="361"/>
      <c r="BP16" s="421"/>
      <c r="BQ16" s="360" t="s">
        <v>86</v>
      </c>
      <c r="BR16" s="361"/>
      <c r="BS16" s="361"/>
      <c r="BT16" s="361"/>
      <c r="BU16" s="361"/>
      <c r="BV16" s="361"/>
      <c r="BW16" s="361"/>
      <c r="BX16" s="361"/>
      <c r="BY16" s="361"/>
      <c r="BZ16" s="362"/>
      <c r="CA16" s="379" t="s">
        <v>87</v>
      </c>
      <c r="CB16" s="361"/>
      <c r="CC16" s="361"/>
      <c r="CD16" s="361"/>
      <c r="CE16" s="361"/>
      <c r="CF16" s="361"/>
      <c r="CG16" s="361"/>
      <c r="CH16" s="361"/>
      <c r="CI16" s="361"/>
      <c r="CJ16" s="421"/>
      <c r="CK16" s="427"/>
      <c r="CL16" s="428"/>
      <c r="CM16" s="434"/>
      <c r="CN16" s="435"/>
      <c r="CO16" s="435"/>
      <c r="CP16" s="436"/>
      <c r="CQ16" s="332"/>
      <c r="CR16" s="333"/>
      <c r="CS16" s="333"/>
      <c r="CT16" s="423"/>
      <c r="CU16" s="332"/>
      <c r="CV16" s="333"/>
      <c r="CW16" s="333"/>
      <c r="CX16" s="423"/>
      <c r="CY16" s="332"/>
      <c r="CZ16" s="333"/>
      <c r="DA16" s="333"/>
      <c r="DB16" s="334"/>
      <c r="DC16" s="322"/>
      <c r="DD16" s="323"/>
      <c r="DE16" s="327"/>
      <c r="DF16" s="323"/>
      <c r="DG16" s="327"/>
      <c r="DH16" s="323"/>
      <c r="DI16" s="327"/>
      <c r="DJ16" s="323"/>
      <c r="DK16" s="327"/>
      <c r="DL16" s="323"/>
      <c r="DM16" s="327"/>
      <c r="DN16" s="323"/>
      <c r="DO16" s="457"/>
      <c r="DP16" s="458"/>
      <c r="DQ16" s="457"/>
      <c r="DR16" s="458"/>
      <c r="DS16" s="457"/>
      <c r="DT16" s="458"/>
      <c r="DU16" s="457"/>
      <c r="DV16" s="458"/>
      <c r="DW16" s="463"/>
      <c r="DX16" s="464"/>
      <c r="DY16" s="463"/>
      <c r="DZ16" s="464"/>
      <c r="EA16" s="457"/>
      <c r="EB16" s="458"/>
      <c r="EC16" s="457"/>
      <c r="ED16" s="458"/>
      <c r="EE16" s="469"/>
      <c r="EF16" s="470"/>
      <c r="EG16" s="457"/>
      <c r="EH16" s="474"/>
    </row>
    <row r="17" spans="2:138" x14ac:dyDescent="0.35">
      <c r="B17" s="401"/>
      <c r="C17" s="360" t="s">
        <v>30</v>
      </c>
      <c r="D17" s="361"/>
      <c r="E17" s="361"/>
      <c r="F17" s="362"/>
      <c r="G17" s="379" t="s">
        <v>31</v>
      </c>
      <c r="H17" s="361"/>
      <c r="I17" s="361"/>
      <c r="J17" s="362"/>
      <c r="K17" s="379" t="s">
        <v>32</v>
      </c>
      <c r="L17" s="361"/>
      <c r="M17" s="361"/>
      <c r="N17" s="362"/>
      <c r="O17" s="379" t="s">
        <v>33</v>
      </c>
      <c r="P17" s="361"/>
      <c r="Q17" s="361"/>
      <c r="R17" s="362"/>
      <c r="S17" s="379" t="s">
        <v>34</v>
      </c>
      <c r="T17" s="361"/>
      <c r="U17" s="361"/>
      <c r="V17" s="362"/>
      <c r="W17" s="314" t="s">
        <v>273</v>
      </c>
      <c r="X17" s="315"/>
      <c r="Y17" s="315"/>
      <c r="Z17" s="316"/>
      <c r="AA17" s="379" t="s">
        <v>36</v>
      </c>
      <c r="AB17" s="361"/>
      <c r="AC17" s="361"/>
      <c r="AD17" s="362"/>
      <c r="AE17" s="314" t="s">
        <v>37</v>
      </c>
      <c r="AF17" s="315"/>
      <c r="AG17" s="315"/>
      <c r="AH17" s="316"/>
      <c r="AI17" s="314" t="s">
        <v>38</v>
      </c>
      <c r="AJ17" s="315"/>
      <c r="AK17" s="315"/>
      <c r="AL17" s="316"/>
      <c r="AM17" s="314" t="s">
        <v>39</v>
      </c>
      <c r="AN17" s="315"/>
      <c r="AO17" s="315"/>
      <c r="AP17" s="396"/>
      <c r="AQ17" s="312" t="s">
        <v>88</v>
      </c>
      <c r="AR17" s="314" t="s">
        <v>89</v>
      </c>
      <c r="AS17" s="315"/>
      <c r="AT17" s="316"/>
      <c r="AU17" s="314" t="s">
        <v>90</v>
      </c>
      <c r="AV17" s="315"/>
      <c r="AW17" s="316"/>
      <c r="AX17" s="363" t="s">
        <v>88</v>
      </c>
      <c r="AY17" s="314" t="s">
        <v>90</v>
      </c>
      <c r="AZ17" s="315"/>
      <c r="BA17" s="316"/>
      <c r="BB17" s="363" t="s">
        <v>88</v>
      </c>
      <c r="BC17" s="314" t="s">
        <v>91</v>
      </c>
      <c r="BD17" s="315"/>
      <c r="BE17" s="316"/>
      <c r="BF17" s="314" t="s">
        <v>90</v>
      </c>
      <c r="BG17" s="315"/>
      <c r="BH17" s="316"/>
      <c r="BI17" s="363" t="s">
        <v>88</v>
      </c>
      <c r="BJ17" s="314" t="s">
        <v>90</v>
      </c>
      <c r="BK17" s="315"/>
      <c r="BL17" s="316"/>
      <c r="BM17" s="363" t="s">
        <v>88</v>
      </c>
      <c r="BN17" s="314" t="s">
        <v>90</v>
      </c>
      <c r="BO17" s="315"/>
      <c r="BP17" s="396"/>
      <c r="BQ17" s="312" t="s">
        <v>88</v>
      </c>
      <c r="BR17" s="314" t="s">
        <v>91</v>
      </c>
      <c r="BS17" s="315"/>
      <c r="BT17" s="316"/>
      <c r="BU17" s="314" t="s">
        <v>89</v>
      </c>
      <c r="BV17" s="315"/>
      <c r="BW17" s="316"/>
      <c r="BX17" s="314" t="s">
        <v>90</v>
      </c>
      <c r="BY17" s="315"/>
      <c r="BZ17" s="316"/>
      <c r="CA17" s="363" t="s">
        <v>88</v>
      </c>
      <c r="CB17" s="314" t="s">
        <v>91</v>
      </c>
      <c r="CC17" s="315"/>
      <c r="CD17" s="316"/>
      <c r="CE17" s="314" t="s">
        <v>89</v>
      </c>
      <c r="CF17" s="315"/>
      <c r="CG17" s="316"/>
      <c r="CH17" s="314" t="s">
        <v>90</v>
      </c>
      <c r="CI17" s="315"/>
      <c r="CJ17" s="396"/>
      <c r="CK17" s="429"/>
      <c r="CL17" s="430"/>
      <c r="CM17" s="437"/>
      <c r="CN17" s="438"/>
      <c r="CO17" s="438"/>
      <c r="CP17" s="439"/>
      <c r="CQ17" s="335"/>
      <c r="CR17" s="336"/>
      <c r="CS17" s="336"/>
      <c r="CT17" s="424"/>
      <c r="CU17" s="335"/>
      <c r="CV17" s="336"/>
      <c r="CW17" s="336"/>
      <c r="CX17" s="424"/>
      <c r="CY17" s="335"/>
      <c r="CZ17" s="336"/>
      <c r="DA17" s="336"/>
      <c r="DB17" s="337"/>
      <c r="DC17" s="324"/>
      <c r="DD17" s="325"/>
      <c r="DE17" s="328"/>
      <c r="DF17" s="325"/>
      <c r="DG17" s="328"/>
      <c r="DH17" s="325"/>
      <c r="DI17" s="328"/>
      <c r="DJ17" s="325"/>
      <c r="DK17" s="328"/>
      <c r="DL17" s="325"/>
      <c r="DM17" s="328"/>
      <c r="DN17" s="325"/>
      <c r="DO17" s="459"/>
      <c r="DP17" s="460"/>
      <c r="DQ17" s="459"/>
      <c r="DR17" s="460"/>
      <c r="DS17" s="459"/>
      <c r="DT17" s="460"/>
      <c r="DU17" s="459"/>
      <c r="DV17" s="460"/>
      <c r="DW17" s="465"/>
      <c r="DX17" s="466"/>
      <c r="DY17" s="465"/>
      <c r="DZ17" s="466"/>
      <c r="EA17" s="459"/>
      <c r="EB17" s="460"/>
      <c r="EC17" s="459"/>
      <c r="ED17" s="460"/>
      <c r="EE17" s="471"/>
      <c r="EF17" s="472"/>
      <c r="EG17" s="459"/>
      <c r="EH17" s="475"/>
    </row>
    <row r="18" spans="2:138" x14ac:dyDescent="0.35">
      <c r="B18" s="402"/>
      <c r="C18" s="234" t="s">
        <v>88</v>
      </c>
      <c r="D18" s="76" t="s">
        <v>92</v>
      </c>
      <c r="E18" s="76" t="s">
        <v>93</v>
      </c>
      <c r="F18" s="76" t="s">
        <v>94</v>
      </c>
      <c r="G18" s="76" t="s">
        <v>88</v>
      </c>
      <c r="H18" s="76" t="s">
        <v>92</v>
      </c>
      <c r="I18" s="76" t="s">
        <v>93</v>
      </c>
      <c r="J18" s="76" t="s">
        <v>94</v>
      </c>
      <c r="K18" s="76" t="s">
        <v>88</v>
      </c>
      <c r="L18" s="76" t="s">
        <v>92</v>
      </c>
      <c r="M18" s="76" t="s">
        <v>93</v>
      </c>
      <c r="N18" s="76" t="s">
        <v>94</v>
      </c>
      <c r="O18" s="76" t="s">
        <v>88</v>
      </c>
      <c r="P18" s="76" t="s">
        <v>92</v>
      </c>
      <c r="Q18" s="76" t="s">
        <v>93</v>
      </c>
      <c r="R18" s="76" t="s">
        <v>94</v>
      </c>
      <c r="S18" s="76" t="s">
        <v>88</v>
      </c>
      <c r="T18" s="76" t="s">
        <v>92</v>
      </c>
      <c r="U18" s="76" t="s">
        <v>93</v>
      </c>
      <c r="V18" s="76" t="s">
        <v>94</v>
      </c>
      <c r="W18" s="76" t="s">
        <v>88</v>
      </c>
      <c r="X18" s="76" t="s">
        <v>92</v>
      </c>
      <c r="Y18" s="76" t="s">
        <v>93</v>
      </c>
      <c r="Z18" s="205" t="s">
        <v>94</v>
      </c>
      <c r="AA18" s="76" t="s">
        <v>88</v>
      </c>
      <c r="AB18" s="76" t="s">
        <v>95</v>
      </c>
      <c r="AC18" s="76" t="s">
        <v>96</v>
      </c>
      <c r="AD18" s="76" t="s">
        <v>97</v>
      </c>
      <c r="AE18" s="76" t="s">
        <v>88</v>
      </c>
      <c r="AF18" s="76" t="s">
        <v>95</v>
      </c>
      <c r="AG18" s="76" t="s">
        <v>96</v>
      </c>
      <c r="AH18" s="76" t="s">
        <v>97</v>
      </c>
      <c r="AI18" s="76" t="s">
        <v>88</v>
      </c>
      <c r="AJ18" s="76" t="s">
        <v>98</v>
      </c>
      <c r="AK18" s="76" t="s">
        <v>99</v>
      </c>
      <c r="AL18" s="76" t="s">
        <v>100</v>
      </c>
      <c r="AM18" s="76" t="s">
        <v>88</v>
      </c>
      <c r="AN18" s="76" t="s">
        <v>101</v>
      </c>
      <c r="AO18" s="76" t="s">
        <v>99</v>
      </c>
      <c r="AP18" s="235" t="s">
        <v>100</v>
      </c>
      <c r="AQ18" s="313"/>
      <c r="AR18" s="76" t="s">
        <v>95</v>
      </c>
      <c r="AS18" s="76" t="s">
        <v>96</v>
      </c>
      <c r="AT18" s="76" t="s">
        <v>97</v>
      </c>
      <c r="AU18" s="76" t="s">
        <v>101</v>
      </c>
      <c r="AV18" s="76" t="s">
        <v>99</v>
      </c>
      <c r="AW18" s="205" t="s">
        <v>100</v>
      </c>
      <c r="AX18" s="365"/>
      <c r="AY18" s="76" t="s">
        <v>101</v>
      </c>
      <c r="AZ18" s="76" t="s">
        <v>99</v>
      </c>
      <c r="BA18" s="205" t="s">
        <v>100</v>
      </c>
      <c r="BB18" s="365"/>
      <c r="BC18" s="76" t="s">
        <v>92</v>
      </c>
      <c r="BD18" s="76" t="s">
        <v>93</v>
      </c>
      <c r="BE18" s="76" t="s">
        <v>94</v>
      </c>
      <c r="BF18" s="76" t="s">
        <v>98</v>
      </c>
      <c r="BG18" s="76" t="s">
        <v>99</v>
      </c>
      <c r="BH18" s="76" t="s">
        <v>100</v>
      </c>
      <c r="BI18" s="365"/>
      <c r="BJ18" s="76" t="s">
        <v>102</v>
      </c>
      <c r="BK18" s="76" t="s">
        <v>103</v>
      </c>
      <c r="BL18" s="205" t="s">
        <v>104</v>
      </c>
      <c r="BM18" s="365"/>
      <c r="BN18" s="76" t="s">
        <v>102</v>
      </c>
      <c r="BO18" s="76" t="s">
        <v>103</v>
      </c>
      <c r="BP18" s="235" t="s">
        <v>104</v>
      </c>
      <c r="BQ18" s="313"/>
      <c r="BR18" s="76" t="s">
        <v>92</v>
      </c>
      <c r="BS18" s="76" t="s">
        <v>93</v>
      </c>
      <c r="BT18" s="76" t="s">
        <v>94</v>
      </c>
      <c r="BU18" s="76" t="s">
        <v>95</v>
      </c>
      <c r="BV18" s="76" t="s">
        <v>96</v>
      </c>
      <c r="BW18" s="76" t="s">
        <v>97</v>
      </c>
      <c r="BX18" s="76" t="s">
        <v>98</v>
      </c>
      <c r="BY18" s="76" t="s">
        <v>99</v>
      </c>
      <c r="BZ18" s="76" t="s">
        <v>100</v>
      </c>
      <c r="CA18" s="365"/>
      <c r="CB18" s="76" t="s">
        <v>92</v>
      </c>
      <c r="CC18" s="76" t="s">
        <v>93</v>
      </c>
      <c r="CD18" s="76" t="s">
        <v>94</v>
      </c>
      <c r="CE18" s="76" t="s">
        <v>95</v>
      </c>
      <c r="CF18" s="76" t="s">
        <v>96</v>
      </c>
      <c r="CG18" s="76" t="s">
        <v>97</v>
      </c>
      <c r="CH18" s="76" t="s">
        <v>98</v>
      </c>
      <c r="CI18" s="76" t="s">
        <v>99</v>
      </c>
      <c r="CJ18" s="235" t="s">
        <v>100</v>
      </c>
      <c r="CK18" s="253" t="s">
        <v>88</v>
      </c>
      <c r="CL18" s="254" t="s">
        <v>105</v>
      </c>
      <c r="CM18" s="253" t="s">
        <v>88</v>
      </c>
      <c r="CN18" s="2" t="s">
        <v>106</v>
      </c>
      <c r="CO18" s="32" t="s">
        <v>107</v>
      </c>
      <c r="CP18" s="2" t="s">
        <v>108</v>
      </c>
      <c r="CQ18" s="32" t="s">
        <v>88</v>
      </c>
      <c r="CR18" s="2" t="s">
        <v>109</v>
      </c>
      <c r="CS18" s="32" t="s">
        <v>107</v>
      </c>
      <c r="CT18" s="32" t="s">
        <v>110</v>
      </c>
      <c r="CU18" s="32" t="s">
        <v>88</v>
      </c>
      <c r="CV18" s="2" t="s">
        <v>109</v>
      </c>
      <c r="CW18" s="32" t="s">
        <v>107</v>
      </c>
      <c r="CX18" s="32" t="s">
        <v>111</v>
      </c>
      <c r="CY18" s="32" t="s">
        <v>88</v>
      </c>
      <c r="CZ18" s="2" t="s">
        <v>109</v>
      </c>
      <c r="DA18" s="32" t="s">
        <v>107</v>
      </c>
      <c r="DB18" s="254" t="s">
        <v>112</v>
      </c>
      <c r="DC18" s="253" t="s">
        <v>88</v>
      </c>
      <c r="DD18" s="32" t="s">
        <v>113</v>
      </c>
      <c r="DE18" s="32" t="s">
        <v>88</v>
      </c>
      <c r="DF18" s="32" t="s">
        <v>114</v>
      </c>
      <c r="DG18" s="32" t="s">
        <v>88</v>
      </c>
      <c r="DH18" s="32" t="s">
        <v>115</v>
      </c>
      <c r="DI18" s="32" t="s">
        <v>88</v>
      </c>
      <c r="DJ18" s="32" t="s">
        <v>116</v>
      </c>
      <c r="DK18" s="32" t="s">
        <v>88</v>
      </c>
      <c r="DL18" s="32" t="s">
        <v>117</v>
      </c>
      <c r="DM18" s="32" t="s">
        <v>88</v>
      </c>
      <c r="DN18" s="32" t="s">
        <v>118</v>
      </c>
      <c r="DO18" s="32" t="s">
        <v>119</v>
      </c>
      <c r="DP18" s="32" t="s">
        <v>120</v>
      </c>
      <c r="DQ18" s="32" t="s">
        <v>119</v>
      </c>
      <c r="DR18" s="32" t="s">
        <v>120</v>
      </c>
      <c r="DS18" s="32" t="s">
        <v>119</v>
      </c>
      <c r="DT18" s="32" t="s">
        <v>120</v>
      </c>
      <c r="DU18" s="32" t="s">
        <v>119</v>
      </c>
      <c r="DV18" s="32" t="s">
        <v>120</v>
      </c>
      <c r="DW18" s="32" t="s">
        <v>119</v>
      </c>
      <c r="DX18" s="32" t="s">
        <v>120</v>
      </c>
      <c r="DY18" s="32" t="s">
        <v>119</v>
      </c>
      <c r="DZ18" s="32" t="s">
        <v>120</v>
      </c>
      <c r="EA18" s="32" t="s">
        <v>119</v>
      </c>
      <c r="EB18" s="32" t="s">
        <v>120</v>
      </c>
      <c r="EC18" s="32" t="s">
        <v>119</v>
      </c>
      <c r="ED18" s="32" t="s">
        <v>120</v>
      </c>
      <c r="EE18" s="32" t="s">
        <v>119</v>
      </c>
      <c r="EF18" s="32" t="s">
        <v>120</v>
      </c>
      <c r="EG18" s="32" t="s">
        <v>119</v>
      </c>
      <c r="EH18" s="254" t="s">
        <v>120</v>
      </c>
    </row>
    <row r="19" spans="2:138" x14ac:dyDescent="0.35">
      <c r="B19" s="27" t="s">
        <v>66</v>
      </c>
      <c r="C19" s="236">
        <f>C7+D7-E7</f>
        <v>0</v>
      </c>
      <c r="D19" s="10">
        <v>0.82</v>
      </c>
      <c r="E19" s="2">
        <f>C19*D19</f>
        <v>0</v>
      </c>
      <c r="F19" s="343">
        <v>2.9260000000000002</v>
      </c>
      <c r="G19" s="2">
        <f>F7+G7-H7</f>
        <v>10542</v>
      </c>
      <c r="H19" s="8">
        <v>0.33500000000000002</v>
      </c>
      <c r="I19" s="2">
        <f>G19*H19</f>
        <v>3531.57</v>
      </c>
      <c r="J19" s="343">
        <v>3.97</v>
      </c>
      <c r="K19" s="2">
        <f>I7+J7-K7</f>
        <v>0</v>
      </c>
      <c r="L19" s="10">
        <v>0.27</v>
      </c>
      <c r="M19" s="2">
        <f>K19*L19</f>
        <v>0</v>
      </c>
      <c r="N19" s="343">
        <v>4.18</v>
      </c>
      <c r="O19" s="2">
        <f>L7+M7-N7</f>
        <v>4790</v>
      </c>
      <c r="P19" s="10">
        <v>0.39</v>
      </c>
      <c r="Q19" s="2">
        <f>O19*P19/(1.3)</f>
        <v>1437</v>
      </c>
      <c r="R19" s="343">
        <v>4.99</v>
      </c>
      <c r="S19" s="75">
        <f>O7+P7-Q7</f>
        <v>0</v>
      </c>
      <c r="T19" s="9">
        <v>0.46</v>
      </c>
      <c r="U19" s="2">
        <f>S19*T19</f>
        <v>0</v>
      </c>
      <c r="V19" s="343">
        <v>4.54</v>
      </c>
      <c r="W19" s="75">
        <f>R7+S7-T7</f>
        <v>65585.649999999994</v>
      </c>
      <c r="X19" s="198">
        <v>0.29035</v>
      </c>
      <c r="Y19" s="75">
        <f>W19*X19</f>
        <v>19042.793477499999</v>
      </c>
      <c r="Z19" s="343">
        <v>4.99</v>
      </c>
      <c r="AA19" s="75">
        <f>U7+V7-W7</f>
        <v>0</v>
      </c>
      <c r="AB19" s="66">
        <v>0.45</v>
      </c>
      <c r="AC19" s="2">
        <f>AA19*AB19</f>
        <v>0</v>
      </c>
      <c r="AD19" s="343">
        <v>1.45</v>
      </c>
      <c r="AE19" s="75">
        <f>X7+Y7-Z7</f>
        <v>0</v>
      </c>
      <c r="AF19" s="119"/>
      <c r="AG19" s="2">
        <f>AE19*AF19</f>
        <v>0</v>
      </c>
      <c r="AH19" s="343">
        <v>1.45</v>
      </c>
      <c r="AI19" s="75">
        <f>AA7+AB7-AC7</f>
        <v>0</v>
      </c>
      <c r="AJ19" s="11">
        <v>0.6</v>
      </c>
      <c r="AK19" s="2">
        <f>AI19*AJ19</f>
        <v>0</v>
      </c>
      <c r="AL19" s="343">
        <v>0.71</v>
      </c>
      <c r="AM19" s="75">
        <f>AD7+AE7-AF7</f>
        <v>0</v>
      </c>
      <c r="AN19" s="119"/>
      <c r="AO19" s="2">
        <f>AM19*AN19</f>
        <v>0</v>
      </c>
      <c r="AP19" s="317">
        <v>0.71</v>
      </c>
      <c r="AQ19" s="248">
        <f>AG7+AH7-AI7</f>
        <v>0</v>
      </c>
      <c r="AR19" s="199"/>
      <c r="AS19" s="2">
        <f>AQ19*AR19</f>
        <v>0</v>
      </c>
      <c r="AT19" s="343">
        <v>1.45</v>
      </c>
      <c r="AU19" s="199"/>
      <c r="AV19" s="2">
        <f>AQ19*AU19</f>
        <v>0</v>
      </c>
      <c r="AW19" s="343">
        <v>0.71</v>
      </c>
      <c r="AX19" s="2">
        <f>AJ7+AK7-AL7</f>
        <v>0</v>
      </c>
      <c r="AY19" s="22">
        <v>0.44</v>
      </c>
      <c r="AZ19" s="2">
        <f>AX19*AY19</f>
        <v>0</v>
      </c>
      <c r="BA19" s="343">
        <v>2.74</v>
      </c>
      <c r="BB19" s="75">
        <f>AM7+AN7-AO7</f>
        <v>11340</v>
      </c>
      <c r="BC19" s="120">
        <v>0.14000000000000001</v>
      </c>
      <c r="BD19" s="2">
        <f>BB19*BC19</f>
        <v>1587.6000000000001</v>
      </c>
      <c r="BE19" s="343">
        <v>2.74</v>
      </c>
      <c r="BF19" s="118">
        <v>7.0000000000000007E-2</v>
      </c>
      <c r="BG19" s="75">
        <f>BB19*BF19</f>
        <v>793.80000000000007</v>
      </c>
      <c r="BH19" s="343">
        <v>0.71</v>
      </c>
      <c r="BI19" s="2">
        <f>AP7+AQ7-AR7</f>
        <v>0</v>
      </c>
      <c r="BJ19" s="10">
        <v>0.54</v>
      </c>
      <c r="BK19" s="2">
        <f>BI19*BJ19</f>
        <v>0</v>
      </c>
      <c r="BL19" s="343">
        <v>1.82</v>
      </c>
      <c r="BM19" s="2">
        <f>AS7+AT7-AU7</f>
        <v>0</v>
      </c>
      <c r="BN19" s="22">
        <v>0.46</v>
      </c>
      <c r="BO19" s="2">
        <f>BM19*BN19</f>
        <v>0</v>
      </c>
      <c r="BP19" s="317">
        <v>3.02</v>
      </c>
      <c r="BQ19" s="251">
        <f>AV7+AW7-AX7</f>
        <v>0</v>
      </c>
      <c r="BR19" s="120"/>
      <c r="BS19" s="2">
        <f>BQ19*BR19</f>
        <v>0</v>
      </c>
      <c r="BT19" s="343">
        <v>3.97</v>
      </c>
      <c r="BU19" s="120"/>
      <c r="BV19" s="2">
        <f>BQ19*BU19</f>
        <v>0</v>
      </c>
      <c r="BW19" s="343">
        <v>1.83</v>
      </c>
      <c r="BX19" s="120"/>
      <c r="BY19" s="2">
        <f>BQ19*BX19</f>
        <v>0</v>
      </c>
      <c r="BZ19" s="343">
        <v>0.71</v>
      </c>
      <c r="CA19" s="75">
        <f>AY7+AZ7-BA7</f>
        <v>0</v>
      </c>
      <c r="CB19" s="120"/>
      <c r="CC19" s="2">
        <f>CA19*CB19</f>
        <v>0</v>
      </c>
      <c r="CD19" s="343">
        <v>3.97</v>
      </c>
      <c r="CE19" s="120"/>
      <c r="CF19" s="2">
        <f>CA19*CE19</f>
        <v>0</v>
      </c>
      <c r="CG19" s="343">
        <v>1.83</v>
      </c>
      <c r="CH19" s="120"/>
      <c r="CI19" s="2">
        <f>CA19*CH19</f>
        <v>0</v>
      </c>
      <c r="CJ19" s="317">
        <v>0.71</v>
      </c>
      <c r="CK19" s="236">
        <f>BB7+BC7-BD7</f>
        <v>1719.903</v>
      </c>
      <c r="CL19" s="317">
        <v>9.8610000000000007</v>
      </c>
      <c r="CM19" s="236">
        <f>BE7+BF7-BG7</f>
        <v>0</v>
      </c>
      <c r="CN19" s="10">
        <v>0.94</v>
      </c>
      <c r="CO19" s="204">
        <f>CM19*CN19</f>
        <v>0</v>
      </c>
      <c r="CP19" s="343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43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43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17">
        <v>0.1</v>
      </c>
      <c r="DC19" s="248">
        <f>BQ7+BR7-BS7</f>
        <v>0</v>
      </c>
      <c r="DD19" s="306"/>
      <c r="DE19" s="75">
        <f>BT7+BU7-BV7</f>
        <v>0</v>
      </c>
      <c r="DF19" s="306"/>
      <c r="DG19" s="75">
        <f>BW7+BX7-BY7</f>
        <v>0</v>
      </c>
      <c r="DH19" s="306"/>
      <c r="DI19" s="75">
        <f>BZ7+CA7-CB7</f>
        <v>0</v>
      </c>
      <c r="DJ19" s="306"/>
      <c r="DK19" s="75">
        <f>CC7+CD7-CE7</f>
        <v>0</v>
      </c>
      <c r="DL19" s="306"/>
      <c r="DM19" s="2">
        <f>CF7+CG7-CH7</f>
        <v>0</v>
      </c>
      <c r="DN19" s="306"/>
      <c r="DO19" s="1">
        <f>CI7+CJ7-CK7</f>
        <v>0</v>
      </c>
      <c r="DP19" s="343">
        <v>625</v>
      </c>
      <c r="DQ19" s="1">
        <f>CL7+CM7-CN7</f>
        <v>0</v>
      </c>
      <c r="DR19" s="343">
        <v>517</v>
      </c>
      <c r="DS19" s="1">
        <f>CO7+CP7-CQ7</f>
        <v>395.33000000000004</v>
      </c>
      <c r="DT19" s="343">
        <v>14.6</v>
      </c>
      <c r="DU19" s="1">
        <f>CR7+CS7-CT7</f>
        <v>0</v>
      </c>
      <c r="DV19" s="343">
        <v>234</v>
      </c>
      <c r="DW19" s="1">
        <f>CU7+CV7-CW7</f>
        <v>0</v>
      </c>
      <c r="DX19" s="343">
        <v>701</v>
      </c>
      <c r="DY19" s="1">
        <f>CX7+CY7-CZ7</f>
        <v>0</v>
      </c>
      <c r="DZ19" s="343">
        <v>1190</v>
      </c>
      <c r="EA19" s="1">
        <f>DA7+DB7-DC7</f>
        <v>0</v>
      </c>
      <c r="EB19" s="343">
        <v>1486</v>
      </c>
      <c r="EC19" s="1">
        <f>DD7+DE7-DF7</f>
        <v>0</v>
      </c>
      <c r="ED19" s="343">
        <v>3084</v>
      </c>
      <c r="EE19" s="1">
        <f>DG7+DH7-DI7</f>
        <v>0</v>
      </c>
      <c r="EF19" s="343">
        <v>193</v>
      </c>
      <c r="EG19" s="1">
        <f>DJ7+DK7-DL7</f>
        <v>0</v>
      </c>
      <c r="EH19" s="317">
        <v>320</v>
      </c>
    </row>
    <row r="20" spans="2:138" x14ac:dyDescent="0.35">
      <c r="B20" s="27" t="s">
        <v>67</v>
      </c>
      <c r="C20" s="236">
        <f>C8+D8-E8</f>
        <v>0</v>
      </c>
      <c r="D20" s="10">
        <v>0.82</v>
      </c>
      <c r="E20" s="2">
        <f>C20*D20</f>
        <v>0</v>
      </c>
      <c r="F20" s="344"/>
      <c r="G20" s="2">
        <f t="shared" ref="G20:G22" si="0">F8+G8-H8</f>
        <v>100800</v>
      </c>
      <c r="H20" s="8">
        <v>0.33500000000000002</v>
      </c>
      <c r="I20" s="2">
        <f>G20*H20</f>
        <v>33768</v>
      </c>
      <c r="J20" s="344"/>
      <c r="K20" s="2">
        <f>I8+J8-K8</f>
        <v>0</v>
      </c>
      <c r="L20" s="10">
        <v>0.27</v>
      </c>
      <c r="M20" s="2">
        <f>K20*L20</f>
        <v>0</v>
      </c>
      <c r="N20" s="344"/>
      <c r="O20" s="2">
        <f>L8+M8-N8</f>
        <v>11800</v>
      </c>
      <c r="P20" s="10">
        <v>0.39</v>
      </c>
      <c r="Q20" s="2">
        <f t="shared" ref="Q20:Q23" si="1">O20*P20/(1.3*100)*100</f>
        <v>3540</v>
      </c>
      <c r="R20" s="344"/>
      <c r="S20" s="75">
        <f>O8+P8-Q8</f>
        <v>0</v>
      </c>
      <c r="T20" s="9">
        <v>0.46</v>
      </c>
      <c r="U20" s="2">
        <f>S20*T20</f>
        <v>0</v>
      </c>
      <c r="V20" s="344"/>
      <c r="W20" s="75">
        <f>R8+S8-T8</f>
        <v>54000</v>
      </c>
      <c r="X20" s="198">
        <v>0.34399999999999997</v>
      </c>
      <c r="Y20" s="75">
        <f>W20*X20</f>
        <v>18576</v>
      </c>
      <c r="Z20" s="344"/>
      <c r="AA20" s="75">
        <f>U8+V8-W8</f>
        <v>0</v>
      </c>
      <c r="AB20" s="66">
        <f>AB19</f>
        <v>0.45</v>
      </c>
      <c r="AC20" s="2">
        <f t="shared" ref="AC20:AC23" si="2">AA20*AB20</f>
        <v>0</v>
      </c>
      <c r="AD20" s="344"/>
      <c r="AE20" s="75">
        <f>X8+Y8-Z8</f>
        <v>0</v>
      </c>
      <c r="AF20" s="119"/>
      <c r="AG20" s="2">
        <f t="shared" ref="AG20:AG23" si="3">AE20*AF20</f>
        <v>0</v>
      </c>
      <c r="AH20" s="344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44"/>
      <c r="AM20" s="75">
        <f t="shared" ref="AM20:AM23" si="6">AD8+AE8-AF8</f>
        <v>0</v>
      </c>
      <c r="AN20" s="119"/>
      <c r="AO20" s="2">
        <f t="shared" ref="AO20:AO23" si="7">AM20*AN20</f>
        <v>0</v>
      </c>
      <c r="AP20" s="318"/>
      <c r="AQ20" s="248">
        <f t="shared" ref="AQ20:AQ23" si="8">AG8+AH8-AI8</f>
        <v>168</v>
      </c>
      <c r="AR20" s="199">
        <v>0.28699999999999998</v>
      </c>
      <c r="AS20" s="2">
        <f t="shared" ref="AS20:AS23" si="9">AQ20*AR20</f>
        <v>48.215999999999994</v>
      </c>
      <c r="AT20" s="344"/>
      <c r="AU20" s="199">
        <v>0.192</v>
      </c>
      <c r="AV20" s="2">
        <f t="shared" ref="AV20:AV23" si="10">AQ20*AU20</f>
        <v>32.256</v>
      </c>
      <c r="AW20" s="344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44"/>
      <c r="BB20" s="75">
        <f t="shared" ref="BB20:BB23" si="13">AM8+AN8-AO8</f>
        <v>0</v>
      </c>
      <c r="BC20" s="120"/>
      <c r="BD20" s="2">
        <f t="shared" ref="BD20:BD23" si="14">BB20*BC20</f>
        <v>0</v>
      </c>
      <c r="BE20" s="344"/>
      <c r="BF20" s="118"/>
      <c r="BG20" s="75">
        <f t="shared" ref="BG20:BG23" si="15">BB20*BF20</f>
        <v>0</v>
      </c>
      <c r="BH20" s="344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44"/>
      <c r="BM20" s="2">
        <f t="shared" ref="BM20:BM23" si="18">AS8+AT8-AU8</f>
        <v>0</v>
      </c>
      <c r="BN20" s="22">
        <v>0.46</v>
      </c>
      <c r="BO20" s="2">
        <f t="shared" ref="BO20:BO23" si="19">BM20*BN20</f>
        <v>0</v>
      </c>
      <c r="BP20" s="318"/>
      <c r="BQ20" s="251">
        <f t="shared" ref="BQ20:BQ23" si="20">AV8+AW8-AX8</f>
        <v>6025</v>
      </c>
      <c r="BR20" s="120">
        <v>0.2</v>
      </c>
      <c r="BS20" s="2">
        <f t="shared" ref="BS20:BS23" si="21">BQ20*BR20</f>
        <v>1205</v>
      </c>
      <c r="BT20" s="344"/>
      <c r="BU20" s="120">
        <v>0.6</v>
      </c>
      <c r="BV20" s="2">
        <f t="shared" ref="BV20:BV23" si="22">BQ20*BU20</f>
        <v>3615</v>
      </c>
      <c r="BW20" s="344"/>
      <c r="BX20" s="120">
        <v>0.18</v>
      </c>
      <c r="BY20" s="2">
        <f t="shared" ref="BY20:BY23" si="23">BQ20*BX20</f>
        <v>1084.5</v>
      </c>
      <c r="BZ20" s="344"/>
      <c r="CA20" s="75">
        <f>AY8+AZ8-BA8</f>
        <v>0</v>
      </c>
      <c r="CB20" s="120"/>
      <c r="CC20" s="2">
        <f t="shared" ref="CC20:CC23" si="24">CA20*CB20</f>
        <v>0</v>
      </c>
      <c r="CD20" s="344"/>
      <c r="CE20" s="120"/>
      <c r="CF20" s="2">
        <f t="shared" ref="CF20:CF23" si="25">CA20*CE20</f>
        <v>0</v>
      </c>
      <c r="CG20" s="344"/>
      <c r="CH20" s="120"/>
      <c r="CI20" s="2">
        <f t="shared" ref="CI20:CI23" si="26">CA20*CH20</f>
        <v>0</v>
      </c>
      <c r="CJ20" s="318"/>
      <c r="CK20" s="236">
        <f>BB8+BC8-BD8</f>
        <v>1039.2239999999999</v>
      </c>
      <c r="CL20" s="318"/>
      <c r="CM20" s="236">
        <f t="shared" ref="CM20:CM23" si="27">BE8+BF8-BG8</f>
        <v>0</v>
      </c>
      <c r="CN20" s="10">
        <v>0.94</v>
      </c>
      <c r="CO20" s="204">
        <f t="shared" ref="CO20:CO23" si="28">CM20*CN20</f>
        <v>0</v>
      </c>
      <c r="CP20" s="344"/>
      <c r="CQ20" s="75">
        <f>BH8+BI8-BJ8</f>
        <v>0</v>
      </c>
      <c r="CR20" s="25">
        <v>0.55000000000000004</v>
      </c>
      <c r="CS20" s="75">
        <f t="shared" ref="CS20:CS23" si="29">CQ20*CR20</f>
        <v>0</v>
      </c>
      <c r="CT20" s="344"/>
      <c r="CU20" s="75">
        <f>BK8+BL8-BM8</f>
        <v>0</v>
      </c>
      <c r="CV20" s="25">
        <v>0.55000000000000004</v>
      </c>
      <c r="CW20" s="75">
        <f t="shared" ref="CW20:CW23" si="30">CU20*CV20</f>
        <v>0</v>
      </c>
      <c r="CX20" s="344"/>
      <c r="CY20" s="75">
        <f t="shared" ref="CY20:CY23" si="31">BN8+BO8-BP8</f>
        <v>0</v>
      </c>
      <c r="CZ20" s="25">
        <v>0.35</v>
      </c>
      <c r="DA20" s="75">
        <f t="shared" ref="DA20:DA23" si="32">CY20*CZ20</f>
        <v>0</v>
      </c>
      <c r="DB20" s="318"/>
      <c r="DC20" s="248">
        <f>BQ8+BR8-BS8</f>
        <v>0</v>
      </c>
      <c r="DD20" s="307"/>
      <c r="DE20" s="75">
        <f t="shared" ref="DE20:DE23" si="33">BT8+BU8-BV8</f>
        <v>0</v>
      </c>
      <c r="DF20" s="307"/>
      <c r="DG20" s="75">
        <f t="shared" ref="DG20:DG23" si="34">BW8+BX8-BY8</f>
        <v>0</v>
      </c>
      <c r="DH20" s="307"/>
      <c r="DI20" s="75">
        <f t="shared" ref="DI20:DI23" si="35">BZ8+CA8-CB8</f>
        <v>0</v>
      </c>
      <c r="DJ20" s="307"/>
      <c r="DK20" s="75">
        <f t="shared" ref="DK20:DK23" si="36">CC8+CD8-CE8</f>
        <v>0</v>
      </c>
      <c r="DL20" s="307"/>
      <c r="DM20" s="2">
        <f>CF8+CG8-CH8</f>
        <v>0</v>
      </c>
      <c r="DN20" s="307"/>
      <c r="DO20" s="1">
        <f>CI8+CJ8-CK8</f>
        <v>0</v>
      </c>
      <c r="DP20" s="344"/>
      <c r="DQ20" s="1">
        <f>CL8+CM8-CN8</f>
        <v>0</v>
      </c>
      <c r="DR20" s="344"/>
      <c r="DS20" s="1">
        <f>CO8+CP8-CQ8</f>
        <v>0</v>
      </c>
      <c r="DT20" s="344"/>
      <c r="DU20" s="1">
        <f>CR8+CS8-CT8</f>
        <v>152.97999999999999</v>
      </c>
      <c r="DV20" s="344"/>
      <c r="DW20" s="1">
        <f>CU8+CV8-CW8</f>
        <v>0</v>
      </c>
      <c r="DX20" s="344"/>
      <c r="DY20" s="1">
        <f>CX8+CY8-CZ8</f>
        <v>0</v>
      </c>
      <c r="DZ20" s="344"/>
      <c r="EA20" s="1">
        <f>DA8+DB8-DC8</f>
        <v>0</v>
      </c>
      <c r="EB20" s="344"/>
      <c r="EC20" s="1">
        <f>DD8+DE8-DF8</f>
        <v>0</v>
      </c>
      <c r="ED20" s="344"/>
      <c r="EE20" s="1">
        <f>DG8+DH8-DI8</f>
        <v>0</v>
      </c>
      <c r="EF20" s="344"/>
      <c r="EG20" s="1">
        <f>DJ8+DK8-DL8</f>
        <v>0</v>
      </c>
      <c r="EH20" s="318"/>
    </row>
    <row r="21" spans="2:138" x14ac:dyDescent="0.35">
      <c r="B21" s="27" t="s">
        <v>68</v>
      </c>
      <c r="C21" s="236">
        <f>C9+D9-E9</f>
        <v>0</v>
      </c>
      <c r="D21" s="10">
        <v>0.82</v>
      </c>
      <c r="E21" s="2">
        <f>C21*D21</f>
        <v>0</v>
      </c>
      <c r="F21" s="344"/>
      <c r="G21" s="2">
        <f t="shared" si="0"/>
        <v>0</v>
      </c>
      <c r="H21" s="8">
        <v>0.33500000000000002</v>
      </c>
      <c r="I21" s="2">
        <f>G21*H21</f>
        <v>0</v>
      </c>
      <c r="J21" s="344"/>
      <c r="K21" s="2">
        <f>I9+J9-K9</f>
        <v>0</v>
      </c>
      <c r="L21" s="10">
        <v>0.27</v>
      </c>
      <c r="M21" s="2">
        <f>K21*L21</f>
        <v>0</v>
      </c>
      <c r="N21" s="344"/>
      <c r="O21" s="2">
        <f>L9+M9-N9</f>
        <v>26140</v>
      </c>
      <c r="P21" s="10">
        <v>0.39</v>
      </c>
      <c r="Q21" s="2">
        <f t="shared" si="1"/>
        <v>7842</v>
      </c>
      <c r="R21" s="344"/>
      <c r="S21" s="75">
        <f>O9+P9-Q9</f>
        <v>0</v>
      </c>
      <c r="T21" s="9">
        <v>0.46</v>
      </c>
      <c r="U21" s="2">
        <f>S21*T21</f>
        <v>0</v>
      </c>
      <c r="V21" s="344"/>
      <c r="W21" s="75">
        <f>R9+S9-T9</f>
        <v>55000</v>
      </c>
      <c r="X21" s="198">
        <v>0.34200000000000003</v>
      </c>
      <c r="Y21" s="75">
        <f>W21*X21</f>
        <v>18810</v>
      </c>
      <c r="Z21" s="344"/>
      <c r="AA21" s="75">
        <f>U9+V9-W9</f>
        <v>0</v>
      </c>
      <c r="AB21" s="66">
        <f t="shared" ref="AB21:AB23" si="37">AB20</f>
        <v>0.45</v>
      </c>
      <c r="AC21" s="2">
        <f t="shared" si="2"/>
        <v>0</v>
      </c>
      <c r="AD21" s="344"/>
      <c r="AE21" s="75">
        <f>X9+Y9-Z9</f>
        <v>0</v>
      </c>
      <c r="AF21" s="119"/>
      <c r="AG21" s="2">
        <f t="shared" si="3"/>
        <v>0</v>
      </c>
      <c r="AH21" s="344"/>
      <c r="AI21" s="75">
        <f t="shared" si="4"/>
        <v>0</v>
      </c>
      <c r="AJ21" s="11">
        <v>0.6</v>
      </c>
      <c r="AK21" s="2">
        <f t="shared" si="5"/>
        <v>0</v>
      </c>
      <c r="AL21" s="344"/>
      <c r="AM21" s="75">
        <f t="shared" si="6"/>
        <v>0</v>
      </c>
      <c r="AN21" s="119"/>
      <c r="AO21" s="2">
        <f t="shared" si="7"/>
        <v>0</v>
      </c>
      <c r="AP21" s="318"/>
      <c r="AQ21" s="248">
        <f t="shared" si="8"/>
        <v>476</v>
      </c>
      <c r="AR21" s="199">
        <v>0.28699999999999998</v>
      </c>
      <c r="AS21" s="2">
        <f t="shared" si="9"/>
        <v>136.61199999999999</v>
      </c>
      <c r="AT21" s="344"/>
      <c r="AU21" s="199">
        <v>0.192</v>
      </c>
      <c r="AV21" s="2">
        <f t="shared" si="10"/>
        <v>91.391999999999996</v>
      </c>
      <c r="AW21" s="344"/>
      <c r="AX21" s="2">
        <f t="shared" si="11"/>
        <v>0</v>
      </c>
      <c r="AY21" s="22">
        <v>0.44</v>
      </c>
      <c r="AZ21" s="2">
        <f t="shared" si="12"/>
        <v>0</v>
      </c>
      <c r="BA21" s="344"/>
      <c r="BB21" s="75">
        <f t="shared" si="13"/>
        <v>50400</v>
      </c>
      <c r="BC21" s="120">
        <v>0.15</v>
      </c>
      <c r="BD21" s="2">
        <f t="shared" si="14"/>
        <v>7560</v>
      </c>
      <c r="BE21" s="344"/>
      <c r="BF21" s="118">
        <v>7.0000000000000007E-2</v>
      </c>
      <c r="BG21" s="75">
        <f t="shared" si="15"/>
        <v>3528.0000000000005</v>
      </c>
      <c r="BH21" s="344"/>
      <c r="BI21" s="2">
        <f t="shared" si="16"/>
        <v>0</v>
      </c>
      <c r="BJ21" s="10">
        <v>0.54</v>
      </c>
      <c r="BK21" s="2">
        <f t="shared" si="17"/>
        <v>0</v>
      </c>
      <c r="BL21" s="344"/>
      <c r="BM21" s="2">
        <f t="shared" si="18"/>
        <v>0</v>
      </c>
      <c r="BN21" s="22">
        <v>0.46</v>
      </c>
      <c r="BO21" s="2">
        <f t="shared" si="19"/>
        <v>0</v>
      </c>
      <c r="BP21" s="318"/>
      <c r="BQ21" s="251">
        <f t="shared" si="20"/>
        <v>0</v>
      </c>
      <c r="BR21" s="120"/>
      <c r="BS21" s="2">
        <f t="shared" si="21"/>
        <v>0</v>
      </c>
      <c r="BT21" s="344"/>
      <c r="BU21" s="120"/>
      <c r="BV21" s="2">
        <f t="shared" si="22"/>
        <v>0</v>
      </c>
      <c r="BW21" s="344"/>
      <c r="BX21" s="120"/>
      <c r="BY21" s="2">
        <f t="shared" si="23"/>
        <v>0</v>
      </c>
      <c r="BZ21" s="344"/>
      <c r="CA21" s="75">
        <f>AY9+AZ9-BA9</f>
        <v>0</v>
      </c>
      <c r="CB21" s="120"/>
      <c r="CC21" s="2">
        <f t="shared" si="24"/>
        <v>0</v>
      </c>
      <c r="CD21" s="344"/>
      <c r="CE21" s="120"/>
      <c r="CF21" s="2">
        <f t="shared" si="25"/>
        <v>0</v>
      </c>
      <c r="CG21" s="344"/>
      <c r="CH21" s="120"/>
      <c r="CI21" s="2">
        <f t="shared" si="26"/>
        <v>0</v>
      </c>
      <c r="CJ21" s="318"/>
      <c r="CK21" s="236">
        <f>BB9+BC9-BD9</f>
        <v>704.04200000000003</v>
      </c>
      <c r="CL21" s="318"/>
      <c r="CM21" s="236">
        <f t="shared" si="27"/>
        <v>0</v>
      </c>
      <c r="CN21" s="10">
        <v>0.94</v>
      </c>
      <c r="CO21" s="204">
        <f t="shared" si="28"/>
        <v>0</v>
      </c>
      <c r="CP21" s="344"/>
      <c r="CQ21" s="75">
        <f>BH9+BI9-BJ9</f>
        <v>0</v>
      </c>
      <c r="CR21" s="25">
        <v>0.55000000000000004</v>
      </c>
      <c r="CS21" s="75">
        <f t="shared" si="29"/>
        <v>0</v>
      </c>
      <c r="CT21" s="344"/>
      <c r="CU21" s="75">
        <f>BK9+BL9-BM9</f>
        <v>0</v>
      </c>
      <c r="CV21" s="25">
        <v>0.55000000000000004</v>
      </c>
      <c r="CW21" s="75">
        <f t="shared" si="30"/>
        <v>0</v>
      </c>
      <c r="CX21" s="344"/>
      <c r="CY21" s="75">
        <f t="shared" si="31"/>
        <v>0</v>
      </c>
      <c r="CZ21" s="25">
        <v>0.35</v>
      </c>
      <c r="DA21" s="75">
        <f t="shared" si="32"/>
        <v>0</v>
      </c>
      <c r="DB21" s="318"/>
      <c r="DC21" s="248">
        <f>BQ9+BR9-BS9</f>
        <v>0</v>
      </c>
      <c r="DD21" s="307"/>
      <c r="DE21" s="75">
        <f t="shared" si="33"/>
        <v>0</v>
      </c>
      <c r="DF21" s="307"/>
      <c r="DG21" s="75">
        <f t="shared" si="34"/>
        <v>0</v>
      </c>
      <c r="DH21" s="307"/>
      <c r="DI21" s="75">
        <f t="shared" si="35"/>
        <v>0</v>
      </c>
      <c r="DJ21" s="307"/>
      <c r="DK21" s="75">
        <f t="shared" si="36"/>
        <v>0</v>
      </c>
      <c r="DL21" s="307"/>
      <c r="DM21" s="2">
        <f>CF9+CG9-CH9</f>
        <v>0</v>
      </c>
      <c r="DN21" s="307"/>
      <c r="DO21" s="1">
        <f>CI9+CJ9-CK9</f>
        <v>0</v>
      </c>
      <c r="DP21" s="344"/>
      <c r="DQ21" s="1">
        <f>CL9+CM9-CN9</f>
        <v>0</v>
      </c>
      <c r="DR21" s="344"/>
      <c r="DS21" s="1">
        <f>CO9+CP9-CQ9</f>
        <v>0</v>
      </c>
      <c r="DT21" s="344"/>
      <c r="DU21" s="1">
        <f>CR9+CS9-CT9</f>
        <v>0</v>
      </c>
      <c r="DV21" s="344"/>
      <c r="DW21" s="1">
        <f>CU9+CV9-CW9</f>
        <v>0</v>
      </c>
      <c r="DX21" s="344"/>
      <c r="DY21" s="1">
        <f>CX9+CY9-CZ9</f>
        <v>0</v>
      </c>
      <c r="DZ21" s="344"/>
      <c r="EA21" s="1">
        <f>DA9+DB9-DC9</f>
        <v>0</v>
      </c>
      <c r="EB21" s="344"/>
      <c r="EC21" s="1">
        <f>DD9+DE9-DF9</f>
        <v>0</v>
      </c>
      <c r="ED21" s="344"/>
      <c r="EE21" s="1">
        <f>DG9+DH9-DI9</f>
        <v>0</v>
      </c>
      <c r="EF21" s="344"/>
      <c r="EG21" s="1">
        <f>DJ9+DK9-DL9</f>
        <v>0</v>
      </c>
      <c r="EH21" s="318"/>
    </row>
    <row r="22" spans="2:138" x14ac:dyDescent="0.35">
      <c r="B22" s="27" t="s">
        <v>69</v>
      </c>
      <c r="C22" s="236">
        <f>C10+D10-E10</f>
        <v>0</v>
      </c>
      <c r="D22" s="10">
        <v>0.82</v>
      </c>
      <c r="E22" s="2">
        <f>C22*D22</f>
        <v>0</v>
      </c>
      <c r="F22" s="344"/>
      <c r="G22" s="2">
        <f t="shared" si="0"/>
        <v>0</v>
      </c>
      <c r="H22" s="8">
        <v>0.33500000000000002</v>
      </c>
      <c r="I22" s="2">
        <f>G22*H22</f>
        <v>0</v>
      </c>
      <c r="J22" s="344"/>
      <c r="K22" s="2">
        <f>I10+J10-K10</f>
        <v>0</v>
      </c>
      <c r="L22" s="10">
        <v>0.27</v>
      </c>
      <c r="M22" s="2">
        <f>K22*L22</f>
        <v>0</v>
      </c>
      <c r="N22" s="344"/>
      <c r="O22" s="2">
        <f>L10+M10-N10</f>
        <v>33120</v>
      </c>
      <c r="P22" s="10">
        <v>0.39</v>
      </c>
      <c r="Q22" s="2">
        <f t="shared" si="1"/>
        <v>9936.0000000000018</v>
      </c>
      <c r="R22" s="344"/>
      <c r="S22" s="75">
        <f>O10+P10-Q10</f>
        <v>0</v>
      </c>
      <c r="T22" s="9">
        <v>0.46</v>
      </c>
      <c r="U22" s="2">
        <f>S22*T22</f>
        <v>0</v>
      </c>
      <c r="V22" s="344"/>
      <c r="W22" s="75">
        <f>R10+S10-T10</f>
        <v>83450</v>
      </c>
      <c r="X22" s="198">
        <v>0.34200000000000003</v>
      </c>
      <c r="Y22" s="75">
        <f>W22*X22</f>
        <v>28539.9</v>
      </c>
      <c r="Z22" s="344"/>
      <c r="AA22" s="75">
        <f>U10+V10-W10</f>
        <v>0</v>
      </c>
      <c r="AB22" s="66">
        <f t="shared" si="37"/>
        <v>0.45</v>
      </c>
      <c r="AC22" s="2">
        <f t="shared" si="2"/>
        <v>0</v>
      </c>
      <c r="AD22" s="344"/>
      <c r="AE22" s="75">
        <f>X10+Y10-Z10</f>
        <v>0</v>
      </c>
      <c r="AF22" s="119"/>
      <c r="AG22" s="2">
        <f t="shared" si="3"/>
        <v>0</v>
      </c>
      <c r="AH22" s="344"/>
      <c r="AI22" s="75">
        <f t="shared" si="4"/>
        <v>0</v>
      </c>
      <c r="AJ22" s="11">
        <v>0.6</v>
      </c>
      <c r="AK22" s="2">
        <f t="shared" si="5"/>
        <v>0</v>
      </c>
      <c r="AL22" s="344"/>
      <c r="AM22" s="75">
        <f t="shared" si="6"/>
        <v>0</v>
      </c>
      <c r="AN22" s="119"/>
      <c r="AO22" s="2">
        <f t="shared" si="7"/>
        <v>0</v>
      </c>
      <c r="AP22" s="318"/>
      <c r="AQ22" s="248">
        <f t="shared" si="8"/>
        <v>28200</v>
      </c>
      <c r="AR22" s="199">
        <v>0.1</v>
      </c>
      <c r="AS22" s="2">
        <f t="shared" si="9"/>
        <v>2820</v>
      </c>
      <c r="AT22" s="344"/>
      <c r="AU22" s="199">
        <v>0.3</v>
      </c>
      <c r="AV22" s="2">
        <f t="shared" si="10"/>
        <v>8460</v>
      </c>
      <c r="AW22" s="344"/>
      <c r="AX22" s="2">
        <f t="shared" si="11"/>
        <v>0</v>
      </c>
      <c r="AY22" s="22">
        <v>0.44</v>
      </c>
      <c r="AZ22" s="2">
        <f t="shared" si="12"/>
        <v>0</v>
      </c>
      <c r="BA22" s="344"/>
      <c r="BB22" s="75">
        <f t="shared" si="13"/>
        <v>0</v>
      </c>
      <c r="BC22" s="120"/>
      <c r="BD22" s="2">
        <f t="shared" si="14"/>
        <v>0</v>
      </c>
      <c r="BE22" s="344"/>
      <c r="BF22" s="118"/>
      <c r="BG22" s="75">
        <f t="shared" si="15"/>
        <v>0</v>
      </c>
      <c r="BH22" s="344"/>
      <c r="BI22" s="2">
        <f t="shared" si="16"/>
        <v>0</v>
      </c>
      <c r="BJ22" s="10">
        <v>0.54</v>
      </c>
      <c r="BK22" s="2">
        <f t="shared" si="17"/>
        <v>0</v>
      </c>
      <c r="BL22" s="344"/>
      <c r="BM22" s="2">
        <f t="shared" si="18"/>
        <v>13200</v>
      </c>
      <c r="BN22" s="22">
        <v>0.46</v>
      </c>
      <c r="BO22" s="2">
        <f t="shared" si="19"/>
        <v>6072</v>
      </c>
      <c r="BP22" s="318"/>
      <c r="BQ22" s="251">
        <f t="shared" si="20"/>
        <v>308</v>
      </c>
      <c r="BR22" s="120">
        <v>4.2000000000000003E-2</v>
      </c>
      <c r="BS22" s="2">
        <f t="shared" si="21"/>
        <v>12.936</v>
      </c>
      <c r="BT22" s="344"/>
      <c r="BU22" s="120">
        <v>1.7000000000000001E-2</v>
      </c>
      <c r="BV22" s="2">
        <f t="shared" si="22"/>
        <v>5.2360000000000007</v>
      </c>
      <c r="BW22" s="344"/>
      <c r="BX22" s="120">
        <v>4.7E-2</v>
      </c>
      <c r="BY22" s="2">
        <f t="shared" si="23"/>
        <v>14.476000000000001</v>
      </c>
      <c r="BZ22" s="344"/>
      <c r="CA22" s="75">
        <f>AY10+AZ10-BA10</f>
        <v>0</v>
      </c>
      <c r="CB22" s="120"/>
      <c r="CC22" s="2">
        <f t="shared" si="24"/>
        <v>0</v>
      </c>
      <c r="CD22" s="344"/>
      <c r="CE22" s="120"/>
      <c r="CF22" s="2">
        <f t="shared" si="25"/>
        <v>0</v>
      </c>
      <c r="CG22" s="344"/>
      <c r="CH22" s="120"/>
      <c r="CI22" s="2">
        <f t="shared" si="26"/>
        <v>0</v>
      </c>
      <c r="CJ22" s="318"/>
      <c r="CK22" s="236">
        <f>BB10+BC10-BD10</f>
        <v>573.61599999999999</v>
      </c>
      <c r="CL22" s="318"/>
      <c r="CM22" s="236">
        <f t="shared" si="27"/>
        <v>0</v>
      </c>
      <c r="CN22" s="10">
        <v>0.94</v>
      </c>
      <c r="CO22" s="204">
        <f t="shared" si="28"/>
        <v>0</v>
      </c>
      <c r="CP22" s="344"/>
      <c r="CQ22" s="75">
        <f>BH10+BI10-BJ10</f>
        <v>0</v>
      </c>
      <c r="CR22" s="25">
        <v>0.55000000000000004</v>
      </c>
      <c r="CS22" s="75">
        <f t="shared" si="29"/>
        <v>0</v>
      </c>
      <c r="CT22" s="344"/>
      <c r="CU22" s="75">
        <f>BK10+BL10-BM10</f>
        <v>0</v>
      </c>
      <c r="CV22" s="25">
        <v>0.55000000000000004</v>
      </c>
      <c r="CW22" s="75">
        <f t="shared" si="30"/>
        <v>0</v>
      </c>
      <c r="CX22" s="344"/>
      <c r="CY22" s="75">
        <f t="shared" si="31"/>
        <v>0</v>
      </c>
      <c r="CZ22" s="25">
        <v>0.35</v>
      </c>
      <c r="DA22" s="75">
        <f t="shared" si="32"/>
        <v>0</v>
      </c>
      <c r="DB22" s="318"/>
      <c r="DC22" s="248">
        <f>BQ10+BR10-BS10</f>
        <v>0</v>
      </c>
      <c r="DD22" s="307"/>
      <c r="DE22" s="75">
        <f t="shared" si="33"/>
        <v>0</v>
      </c>
      <c r="DF22" s="307"/>
      <c r="DG22" s="75">
        <f t="shared" si="34"/>
        <v>0</v>
      </c>
      <c r="DH22" s="307"/>
      <c r="DI22" s="75">
        <f t="shared" si="35"/>
        <v>0</v>
      </c>
      <c r="DJ22" s="307"/>
      <c r="DK22" s="75">
        <f t="shared" si="36"/>
        <v>0</v>
      </c>
      <c r="DL22" s="307"/>
      <c r="DM22" s="2">
        <f>CF10+CG10-CH10</f>
        <v>0</v>
      </c>
      <c r="DN22" s="307"/>
      <c r="DO22" s="1">
        <f>CI10+CJ10-CK10</f>
        <v>0</v>
      </c>
      <c r="DP22" s="344"/>
      <c r="DQ22" s="1">
        <f>CL10+CM10-CN10</f>
        <v>0</v>
      </c>
      <c r="DR22" s="344"/>
      <c r="DS22" s="1">
        <f>CO10+CP10-CQ10</f>
        <v>0</v>
      </c>
      <c r="DT22" s="344"/>
      <c r="DU22" s="1">
        <f>CR10+CS10-CT10</f>
        <v>0</v>
      </c>
      <c r="DV22" s="344"/>
      <c r="DW22" s="1">
        <f>CU10+CV10-CW10</f>
        <v>0</v>
      </c>
      <c r="DX22" s="344"/>
      <c r="DY22" s="1">
        <f>CX10+CY10-CZ10</f>
        <v>0</v>
      </c>
      <c r="DZ22" s="344"/>
      <c r="EA22" s="1">
        <f>DA10+DB10-DC10</f>
        <v>0</v>
      </c>
      <c r="EB22" s="344"/>
      <c r="EC22" s="1">
        <f>DD10+DE10-DF10</f>
        <v>0</v>
      </c>
      <c r="ED22" s="344"/>
      <c r="EE22" s="1">
        <f>DG10+DH10-DI10</f>
        <v>0</v>
      </c>
      <c r="EF22" s="344"/>
      <c r="EG22" s="1">
        <f>DJ10+DK10-DL10</f>
        <v>0</v>
      </c>
      <c r="EH22" s="318"/>
    </row>
    <row r="23" spans="2:138" ht="15" thickBot="1" x14ac:dyDescent="0.4">
      <c r="B23" s="27" t="s">
        <v>70</v>
      </c>
      <c r="C23" s="237">
        <f>C11+D11-E11</f>
        <v>0</v>
      </c>
      <c r="D23" s="238">
        <v>0.82</v>
      </c>
      <c r="E23" s="239">
        <f>C23*D23</f>
        <v>0</v>
      </c>
      <c r="F23" s="345"/>
      <c r="G23" s="239">
        <f>F11+G11-H11</f>
        <v>0</v>
      </c>
      <c r="H23" s="241">
        <v>0.33500000000000002</v>
      </c>
      <c r="I23" s="239">
        <f>G23*H23</f>
        <v>0</v>
      </c>
      <c r="J23" s="345"/>
      <c r="K23" s="239">
        <f>I11+J11-K11</f>
        <v>0</v>
      </c>
      <c r="L23" s="238">
        <v>0.27</v>
      </c>
      <c r="M23" s="239">
        <f>K23*L23</f>
        <v>0</v>
      </c>
      <c r="N23" s="345"/>
      <c r="O23" s="239">
        <f>L11+M11-N11</f>
        <v>3320</v>
      </c>
      <c r="P23" s="238">
        <v>0.39</v>
      </c>
      <c r="Q23" s="2">
        <f t="shared" si="1"/>
        <v>995.99999999999989</v>
      </c>
      <c r="R23" s="345"/>
      <c r="S23" s="242">
        <f>O11+P11-Q11</f>
        <v>0</v>
      </c>
      <c r="T23" s="243">
        <v>0.46</v>
      </c>
      <c r="U23" s="239">
        <f>S23*T23</f>
        <v>0</v>
      </c>
      <c r="V23" s="345"/>
      <c r="W23" s="242">
        <f>R11+S11-T11</f>
        <v>84750</v>
      </c>
      <c r="X23" s="272">
        <v>0.29199999999999998</v>
      </c>
      <c r="Y23" s="273">
        <f>W23*X23</f>
        <v>24747</v>
      </c>
      <c r="Z23" s="345"/>
      <c r="AA23" s="242">
        <f>U11+V11-W11</f>
        <v>0</v>
      </c>
      <c r="AB23" s="245">
        <f t="shared" si="37"/>
        <v>0.45</v>
      </c>
      <c r="AC23" s="239">
        <f t="shared" si="2"/>
        <v>0</v>
      </c>
      <c r="AD23" s="345"/>
      <c r="AE23" s="242">
        <f>X11+Y11-Z11</f>
        <v>0</v>
      </c>
      <c r="AF23" s="246"/>
      <c r="AG23" s="239">
        <f t="shared" si="3"/>
        <v>0</v>
      </c>
      <c r="AH23" s="345"/>
      <c r="AI23" s="242">
        <f t="shared" si="4"/>
        <v>0</v>
      </c>
      <c r="AJ23" s="247">
        <v>0.6</v>
      </c>
      <c r="AK23" s="239">
        <f t="shared" si="5"/>
        <v>0</v>
      </c>
      <c r="AL23" s="345"/>
      <c r="AM23" s="242">
        <f t="shared" si="6"/>
        <v>0</v>
      </c>
      <c r="AN23" s="246"/>
      <c r="AO23" s="239">
        <f t="shared" si="7"/>
        <v>0</v>
      </c>
      <c r="AP23" s="319"/>
      <c r="AQ23" s="249">
        <f t="shared" si="8"/>
        <v>140</v>
      </c>
      <c r="AR23" s="274">
        <v>0.28699999999999998</v>
      </c>
      <c r="AS23" s="239">
        <f t="shared" si="9"/>
        <v>40.18</v>
      </c>
      <c r="AT23" s="345"/>
      <c r="AU23" s="274">
        <v>0.192</v>
      </c>
      <c r="AV23" s="239">
        <f t="shared" si="10"/>
        <v>26.88</v>
      </c>
      <c r="AW23" s="345"/>
      <c r="AX23" s="239">
        <f t="shared" si="11"/>
        <v>0</v>
      </c>
      <c r="AY23" s="250">
        <v>0.44</v>
      </c>
      <c r="AZ23" s="239">
        <f t="shared" si="12"/>
        <v>0</v>
      </c>
      <c r="BA23" s="345"/>
      <c r="BB23" s="242">
        <f t="shared" si="13"/>
        <v>0</v>
      </c>
      <c r="BC23" s="252"/>
      <c r="BD23" s="239">
        <f t="shared" si="14"/>
        <v>0</v>
      </c>
      <c r="BE23" s="345"/>
      <c r="BF23" s="244"/>
      <c r="BG23" s="242">
        <f t="shared" si="15"/>
        <v>0</v>
      </c>
      <c r="BH23" s="345"/>
      <c r="BI23" s="239">
        <f t="shared" si="16"/>
        <v>0</v>
      </c>
      <c r="BJ23" s="238">
        <v>0.54</v>
      </c>
      <c r="BK23" s="239">
        <f t="shared" si="17"/>
        <v>0</v>
      </c>
      <c r="BL23" s="345"/>
      <c r="BM23" s="239">
        <f t="shared" si="18"/>
        <v>28200</v>
      </c>
      <c r="BN23" s="250">
        <v>0.46</v>
      </c>
      <c r="BO23" s="239">
        <f t="shared" si="19"/>
        <v>12972</v>
      </c>
      <c r="BP23" s="319"/>
      <c r="BQ23" s="251">
        <f t="shared" si="20"/>
        <v>29632</v>
      </c>
      <c r="BR23" s="252">
        <v>0.12</v>
      </c>
      <c r="BS23" s="239">
        <f t="shared" si="21"/>
        <v>3555.8399999999997</v>
      </c>
      <c r="BT23" s="345"/>
      <c r="BU23" s="252">
        <v>7.0000000000000007E-2</v>
      </c>
      <c r="BV23" s="239">
        <f t="shared" si="22"/>
        <v>2074.2400000000002</v>
      </c>
      <c r="BW23" s="345"/>
      <c r="BX23" s="252">
        <v>0.1</v>
      </c>
      <c r="BY23" s="239">
        <f t="shared" si="23"/>
        <v>2963.2000000000003</v>
      </c>
      <c r="BZ23" s="345"/>
      <c r="CA23" s="242">
        <f>AY11+AZ11-BA11</f>
        <v>0</v>
      </c>
      <c r="CB23" s="252"/>
      <c r="CC23" s="239">
        <f t="shared" si="24"/>
        <v>0</v>
      </c>
      <c r="CD23" s="345"/>
      <c r="CE23" s="252"/>
      <c r="CF23" s="239">
        <f t="shared" si="25"/>
        <v>0</v>
      </c>
      <c r="CG23" s="345"/>
      <c r="CH23" s="252"/>
      <c r="CI23" s="239">
        <f t="shared" si="26"/>
        <v>0</v>
      </c>
      <c r="CJ23" s="319"/>
      <c r="CK23" s="237">
        <f>BB11+BC11-BD11</f>
        <v>1851.3</v>
      </c>
      <c r="CL23" s="319"/>
      <c r="CM23" s="237">
        <f t="shared" si="27"/>
        <v>0</v>
      </c>
      <c r="CN23" s="238">
        <v>0.94</v>
      </c>
      <c r="CO23" s="239">
        <f t="shared" si="28"/>
        <v>0</v>
      </c>
      <c r="CP23" s="345"/>
      <c r="CQ23" s="242">
        <f>BH11+BI11-BJ11</f>
        <v>0</v>
      </c>
      <c r="CR23" s="257">
        <v>0.55000000000000004</v>
      </c>
      <c r="CS23" s="242">
        <f t="shared" si="29"/>
        <v>0</v>
      </c>
      <c r="CT23" s="345"/>
      <c r="CU23" s="242">
        <f>BK11+BL11-BM11</f>
        <v>0</v>
      </c>
      <c r="CV23" s="257">
        <v>0.55000000000000004</v>
      </c>
      <c r="CW23" s="242">
        <f t="shared" si="30"/>
        <v>0</v>
      </c>
      <c r="CX23" s="345"/>
      <c r="CY23" s="242">
        <f t="shared" si="31"/>
        <v>0</v>
      </c>
      <c r="CZ23" s="257">
        <v>0.35</v>
      </c>
      <c r="DA23" s="242">
        <f t="shared" si="32"/>
        <v>0</v>
      </c>
      <c r="DB23" s="319"/>
      <c r="DC23" s="249">
        <f>BQ11+BR11-BS11</f>
        <v>0</v>
      </c>
      <c r="DD23" s="308"/>
      <c r="DE23" s="242">
        <f t="shared" si="33"/>
        <v>0</v>
      </c>
      <c r="DF23" s="308"/>
      <c r="DG23" s="242">
        <f t="shared" si="34"/>
        <v>0</v>
      </c>
      <c r="DH23" s="308"/>
      <c r="DI23" s="242">
        <f t="shared" si="35"/>
        <v>0</v>
      </c>
      <c r="DJ23" s="308"/>
      <c r="DK23" s="242">
        <f t="shared" si="36"/>
        <v>0</v>
      </c>
      <c r="DL23" s="308"/>
      <c r="DM23" s="239">
        <f>CF11+CG11-CH11</f>
        <v>0</v>
      </c>
      <c r="DN23" s="308"/>
      <c r="DO23" s="259">
        <f>CI11+CJ11-CK11</f>
        <v>0</v>
      </c>
      <c r="DP23" s="345"/>
      <c r="DQ23" s="259">
        <f>CL11+CM11-CN11</f>
        <v>0</v>
      </c>
      <c r="DR23" s="345"/>
      <c r="DS23" s="259">
        <f>CO11+CP11-CQ11</f>
        <v>459.8</v>
      </c>
      <c r="DT23" s="345"/>
      <c r="DU23" s="259">
        <f>CR11+CS11-CT11</f>
        <v>0</v>
      </c>
      <c r="DV23" s="345"/>
      <c r="DW23" s="259">
        <f>CU11+CV11-CW11</f>
        <v>0</v>
      </c>
      <c r="DX23" s="345"/>
      <c r="DY23" s="259">
        <f>CX11+CY11-CZ11</f>
        <v>0</v>
      </c>
      <c r="DZ23" s="345"/>
      <c r="EA23" s="259">
        <f>DA11+DB11-DC11</f>
        <v>0</v>
      </c>
      <c r="EB23" s="345"/>
      <c r="EC23" s="259">
        <f>DD11+DE11-DF11</f>
        <v>0</v>
      </c>
      <c r="ED23" s="345"/>
      <c r="EE23" s="259">
        <f>DG11+DH11-DI11</f>
        <v>0</v>
      </c>
      <c r="EF23" s="345"/>
      <c r="EG23" s="259">
        <f>DJ11+DK11-DL11</f>
        <v>0</v>
      </c>
      <c r="EH23" s="319"/>
    </row>
    <row r="24" spans="2:138" x14ac:dyDescent="0.35">
      <c r="B24" s="5" t="s">
        <v>121</v>
      </c>
      <c r="C24" s="80">
        <f>SUM(C19:C23)</f>
        <v>0</v>
      </c>
      <c r="E24" s="80">
        <f>SUM(E19:E23)</f>
        <v>0</v>
      </c>
      <c r="G24" s="80">
        <f>SUM(G19:G23)</f>
        <v>111342</v>
      </c>
      <c r="I24" s="80">
        <f>SUM(I19:I23)</f>
        <v>37299.57</v>
      </c>
      <c r="K24" s="80">
        <f>SUM(K19:K23)</f>
        <v>0</v>
      </c>
      <c r="M24" s="80">
        <f>SUM(M19:M23)</f>
        <v>0</v>
      </c>
      <c r="O24" s="80">
        <f>SUM(O19:O23)</f>
        <v>79170</v>
      </c>
      <c r="Q24" s="233">
        <f>SUM(Q19:Q23)</f>
        <v>23751</v>
      </c>
      <c r="S24" s="80">
        <f>SUM(S19:S23)</f>
        <v>0</v>
      </c>
      <c r="U24" s="80">
        <f>SUM(U19:U23)</f>
        <v>0</v>
      </c>
      <c r="W24" s="80">
        <f>SUM(W19:W23)</f>
        <v>342785.65</v>
      </c>
      <c r="Y24" s="80">
        <f>SUM(Y19:Y23)</f>
        <v>109715.6934775</v>
      </c>
      <c r="AA24" s="80">
        <f>SUM(AA19:AA23)</f>
        <v>0</v>
      </c>
      <c r="AC24" s="233">
        <f>SUM(AC19:AC23)</f>
        <v>0</v>
      </c>
      <c r="AE24" s="233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33">
        <f>SUM(AM19:AM23)</f>
        <v>0</v>
      </c>
      <c r="AO24" s="233">
        <f>SUM(AO19:AO23)</f>
        <v>0</v>
      </c>
      <c r="AQ24" s="80">
        <f>SUM(AQ19:AQ23)</f>
        <v>28984</v>
      </c>
      <c r="AS24" s="80">
        <f>SUM(AS19:AS23)</f>
        <v>3045.0079999999998</v>
      </c>
      <c r="AV24" s="233">
        <f>SUM(AV19:AV23)</f>
        <v>8610.5279999999984</v>
      </c>
      <c r="AZ24" s="233">
        <f>SUM(AZ19:AZ23)</f>
        <v>0</v>
      </c>
      <c r="BB24" s="233">
        <f>SUM(BB19:BB23)</f>
        <v>61740</v>
      </c>
      <c r="BD24" s="233">
        <f>SUM(BD19:BD23)</f>
        <v>9147.6</v>
      </c>
      <c r="BG24" s="233">
        <f>SUM(BG19:BG23)</f>
        <v>4321.8</v>
      </c>
      <c r="BK24" s="233">
        <f>SUM(BK19:BK23)</f>
        <v>0</v>
      </c>
      <c r="BO24" s="233">
        <f>SUM(BO19:BO23)</f>
        <v>19044</v>
      </c>
      <c r="BQ24" s="233">
        <f>SUM(BQ19:BQ23)</f>
        <v>35965</v>
      </c>
      <c r="BS24" s="233">
        <f>SUM(BS19:BS23)</f>
        <v>4773.7759999999998</v>
      </c>
      <c r="BV24" s="233">
        <f>SUM(BV19:BV23)</f>
        <v>5694.4760000000006</v>
      </c>
      <c r="BY24" s="233">
        <f>SUM(BY19:BY23)</f>
        <v>4062.1760000000004</v>
      </c>
      <c r="CA24" s="80">
        <f>SUM(CA19:CA23)</f>
        <v>0</v>
      </c>
      <c r="CC24" s="80">
        <f>SUM(CC19:CC23)</f>
        <v>0</v>
      </c>
      <c r="CF24" s="80">
        <f>SUM(CF19:CF23)</f>
        <v>0</v>
      </c>
      <c r="CI24" s="80">
        <f>SUM(CI19:CI23)</f>
        <v>0</v>
      </c>
      <c r="CK24" s="80">
        <f>SUM(CK19:CK23)</f>
        <v>5888.085</v>
      </c>
      <c r="CM24" s="255">
        <f>SUM(CM19:CM23)</f>
        <v>0</v>
      </c>
      <c r="CN24" s="30"/>
      <c r="CO24" s="256">
        <f t="shared" ref="CO24" si="38">SUM(CO19:CO23)</f>
        <v>0</v>
      </c>
      <c r="CQ24" s="233">
        <f>SUM(CQ19:CQ23)</f>
        <v>0</v>
      </c>
      <c r="CR24" s="34"/>
      <c r="CS24" s="33">
        <f xml:space="preserve"> SUM(CS19:CS23)</f>
        <v>0</v>
      </c>
      <c r="CT24" s="34"/>
      <c r="CU24" s="233">
        <f>SUM(CU19:CU23)</f>
        <v>0</v>
      </c>
      <c r="CV24" s="34"/>
      <c r="CW24" s="33">
        <f xml:space="preserve"> SUM(CW19:CW23)</f>
        <v>0</v>
      </c>
      <c r="CX24" s="34"/>
      <c r="CY24" s="233">
        <f>SUM(CY19:CY23)</f>
        <v>0</v>
      </c>
      <c r="CZ24" s="34"/>
      <c r="DA24" s="33">
        <f xml:space="preserve"> SUM(DA19:DA23)</f>
        <v>0</v>
      </c>
      <c r="DB24" s="34"/>
      <c r="DC24" s="233">
        <f>SUM(DC19:DC23)</f>
        <v>0</v>
      </c>
      <c r="DE24" s="233">
        <f>SUM(DE19:DE23)</f>
        <v>0</v>
      </c>
      <c r="DG24" s="233">
        <f>SUM(DG19:DG23)</f>
        <v>0</v>
      </c>
      <c r="DI24" s="233">
        <f>SUM(DI19:DI23)</f>
        <v>0</v>
      </c>
      <c r="DK24" s="233">
        <f>SUM(DK19:DK23)</f>
        <v>0</v>
      </c>
      <c r="DM24" s="233">
        <f>SUM(DM19:DM23)</f>
        <v>0</v>
      </c>
      <c r="DO24" s="233">
        <f>SUM(DO19:DO23)</f>
        <v>0</v>
      </c>
      <c r="DQ24" s="233">
        <f>SUM(DQ19:DQ23)</f>
        <v>0</v>
      </c>
      <c r="DS24" s="233">
        <f>SUM(DS19:DS23)</f>
        <v>855.13000000000011</v>
      </c>
      <c r="DU24" s="233">
        <f>SUM(DU19:DU23)</f>
        <v>152.97999999999999</v>
      </c>
      <c r="DW24" s="233">
        <f>SUM(DW19:DW23)</f>
        <v>0</v>
      </c>
      <c r="DY24" s="233">
        <f>SUM(DY19:DY23)</f>
        <v>0</v>
      </c>
      <c r="EA24" s="233">
        <f>SUM(EA19:EA23)</f>
        <v>0</v>
      </c>
      <c r="EC24" s="233">
        <f>SUM(EC19:EC23)</f>
        <v>0</v>
      </c>
      <c r="EE24" s="233">
        <f>SUM(EE19:EE23)</f>
        <v>0</v>
      </c>
      <c r="EG24" s="233">
        <f>SUM(EG19:EG23)</f>
        <v>0</v>
      </c>
    </row>
    <row r="25" spans="2:138" x14ac:dyDescent="0.35">
      <c r="H25" s="173"/>
      <c r="I25" s="173"/>
      <c r="J25" s="173"/>
      <c r="K25" s="173"/>
      <c r="U25" s="173"/>
    </row>
    <row r="26" spans="2:138" ht="14.5" customHeight="1" x14ac:dyDescent="0.35">
      <c r="B26" s="14" t="s">
        <v>122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6"/>
      <c r="AQ26" s="3"/>
      <c r="AR26" s="3"/>
      <c r="AS26" s="3"/>
    </row>
    <row r="27" spans="2:138" ht="30" customHeight="1" x14ac:dyDescent="0.35">
      <c r="B27" s="399"/>
      <c r="C27" s="71" t="s">
        <v>71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3"/>
      <c r="T27" s="74" t="s">
        <v>123</v>
      </c>
      <c r="U27" s="389" t="s">
        <v>28</v>
      </c>
      <c r="V27" s="390"/>
      <c r="W27" s="390"/>
      <c r="X27" s="391"/>
      <c r="Y27" s="375" t="s">
        <v>29</v>
      </c>
      <c r="Z27" s="376"/>
      <c r="AA27" s="376"/>
      <c r="AB27" s="376"/>
      <c r="AC27" s="376"/>
      <c r="AD27" s="377"/>
      <c r="AE27" s="375" t="s">
        <v>124</v>
      </c>
      <c r="AF27" s="376"/>
      <c r="AG27" s="376"/>
      <c r="AH27" s="376"/>
      <c r="AI27" s="376"/>
      <c r="AJ27" s="376"/>
      <c r="AK27" s="376"/>
      <c r="AL27" s="376"/>
      <c r="AM27" s="376"/>
      <c r="AN27" s="377"/>
      <c r="AO27" s="386" t="s">
        <v>125</v>
      </c>
      <c r="AP27" s="386" t="s">
        <v>126</v>
      </c>
      <c r="AR27" s="4"/>
    </row>
    <row r="28" spans="2:138" ht="15" customHeight="1" x14ac:dyDescent="0.35">
      <c r="B28" s="400"/>
      <c r="C28" s="355" t="s">
        <v>24</v>
      </c>
      <c r="D28" s="355"/>
      <c r="E28" s="355"/>
      <c r="F28" s="355"/>
      <c r="G28" s="355"/>
      <c r="H28" s="355"/>
      <c r="I28" s="355"/>
      <c r="J28" s="355"/>
      <c r="K28" s="355"/>
      <c r="L28" s="355"/>
      <c r="M28" s="383" t="s">
        <v>25</v>
      </c>
      <c r="N28" s="384"/>
      <c r="O28" s="384"/>
      <c r="P28" s="384"/>
      <c r="Q28" s="385"/>
      <c r="R28" s="383" t="s">
        <v>26</v>
      </c>
      <c r="S28" s="385"/>
      <c r="T28" s="363" t="s">
        <v>276</v>
      </c>
      <c r="U28" s="363" t="s">
        <v>45</v>
      </c>
      <c r="V28" s="363" t="s">
        <v>46</v>
      </c>
      <c r="W28" s="399" t="s">
        <v>47</v>
      </c>
      <c r="X28" s="363" t="s">
        <v>127</v>
      </c>
      <c r="Y28" s="363">
        <f>DC15</f>
        <v>0</v>
      </c>
      <c r="Z28" s="363">
        <f>DE15</f>
        <v>0</v>
      </c>
      <c r="AA28" s="363">
        <f>DG15</f>
        <v>0</v>
      </c>
      <c r="AB28" s="363" t="s">
        <v>49</v>
      </c>
      <c r="AC28" s="363">
        <f>DK15</f>
        <v>0</v>
      </c>
      <c r="AD28" s="363">
        <f>DM15</f>
        <v>0</v>
      </c>
      <c r="AE28" s="366" t="s">
        <v>50</v>
      </c>
      <c r="AF28" s="366" t="s">
        <v>51</v>
      </c>
      <c r="AG28" s="366" t="s">
        <v>52</v>
      </c>
      <c r="AH28" s="372" t="s">
        <v>53</v>
      </c>
      <c r="AI28" s="372" t="s">
        <v>54</v>
      </c>
      <c r="AJ28" s="372" t="s">
        <v>55</v>
      </c>
      <c r="AK28" s="372" t="s">
        <v>56</v>
      </c>
      <c r="AL28" s="372" t="s">
        <v>57</v>
      </c>
      <c r="AM28" s="372" t="s">
        <v>58</v>
      </c>
      <c r="AN28" s="372" t="s">
        <v>59</v>
      </c>
      <c r="AO28" s="387"/>
      <c r="AP28" s="387"/>
    </row>
    <row r="29" spans="2:138" ht="15" customHeight="1" x14ac:dyDescent="0.35">
      <c r="B29" s="400"/>
      <c r="C29" s="378" t="s">
        <v>78</v>
      </c>
      <c r="D29" s="378"/>
      <c r="E29" s="378"/>
      <c r="F29" s="378"/>
      <c r="G29" s="378"/>
      <c r="H29" s="378"/>
      <c r="I29" s="378" t="s">
        <v>79</v>
      </c>
      <c r="J29" s="378"/>
      <c r="K29" s="378" t="s">
        <v>80</v>
      </c>
      <c r="L29" s="378"/>
      <c r="M29" s="363" t="s">
        <v>81</v>
      </c>
      <c r="N29" s="363" t="s">
        <v>41</v>
      </c>
      <c r="O29" s="363" t="s">
        <v>83</v>
      </c>
      <c r="P29" s="363" t="s">
        <v>84</v>
      </c>
      <c r="Q29" s="363" t="s">
        <v>85</v>
      </c>
      <c r="R29" s="363" t="s">
        <v>86</v>
      </c>
      <c r="S29" s="363" t="s">
        <v>87</v>
      </c>
      <c r="T29" s="364"/>
      <c r="U29" s="364"/>
      <c r="V29" s="364"/>
      <c r="W29" s="400"/>
      <c r="X29" s="364"/>
      <c r="Y29" s="364"/>
      <c r="Z29" s="364"/>
      <c r="AA29" s="364"/>
      <c r="AB29" s="364"/>
      <c r="AC29" s="364"/>
      <c r="AD29" s="364"/>
      <c r="AE29" s="367"/>
      <c r="AF29" s="367"/>
      <c r="AG29" s="367"/>
      <c r="AH29" s="373"/>
      <c r="AI29" s="373"/>
      <c r="AJ29" s="373"/>
      <c r="AK29" s="373"/>
      <c r="AL29" s="373"/>
      <c r="AM29" s="373"/>
      <c r="AN29" s="373"/>
      <c r="AO29" s="387"/>
      <c r="AP29" s="387"/>
    </row>
    <row r="30" spans="2:138" x14ac:dyDescent="0.35">
      <c r="B30" s="406"/>
      <c r="C30" s="76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65"/>
      <c r="N30" s="365"/>
      <c r="O30" s="365"/>
      <c r="P30" s="365"/>
      <c r="Q30" s="365"/>
      <c r="R30" s="365"/>
      <c r="S30" s="365"/>
      <c r="T30" s="365"/>
      <c r="U30" s="365"/>
      <c r="V30" s="365"/>
      <c r="W30" s="406"/>
      <c r="X30" s="365"/>
      <c r="Y30" s="365"/>
      <c r="Z30" s="365"/>
      <c r="AA30" s="365"/>
      <c r="AB30" s="365"/>
      <c r="AC30" s="365"/>
      <c r="AD30" s="365"/>
      <c r="AE30" s="368"/>
      <c r="AF30" s="368"/>
      <c r="AG30" s="368"/>
      <c r="AH30" s="374"/>
      <c r="AI30" s="374"/>
      <c r="AJ30" s="374"/>
      <c r="AK30" s="374"/>
      <c r="AL30" s="374"/>
      <c r="AM30" s="374"/>
      <c r="AN30" s="374"/>
      <c r="AO30" s="388"/>
      <c r="AP30" s="388"/>
    </row>
    <row r="31" spans="2:138" x14ac:dyDescent="0.35">
      <c r="B31" s="2" t="s">
        <v>66</v>
      </c>
      <c r="C31" s="2">
        <f>E19*$F$19</f>
        <v>0</v>
      </c>
      <c r="D31" s="2">
        <f>I19*$J$19</f>
        <v>14020.332900000001</v>
      </c>
      <c r="E31" s="2">
        <f>M19*$N$19</f>
        <v>0</v>
      </c>
      <c r="F31" s="2">
        <f>Q19*$R$19</f>
        <v>7170.63</v>
      </c>
      <c r="G31" s="2">
        <f>U19*$V$19</f>
        <v>0</v>
      </c>
      <c r="H31" s="2">
        <f>Y19*$Z$19</f>
        <v>95023.539452725003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4913.6220000000003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">
        <f>CC19*$CD$19+CF19*$CG$19+CI19*$CJ$19</f>
        <v>0</v>
      </c>
      <c r="T31" s="2">
        <f>CK19*$CL$19</f>
        <v>16959.963483</v>
      </c>
      <c r="U31" s="2">
        <f>CO19*$CP$19</f>
        <v>0</v>
      </c>
      <c r="V31" s="2">
        <f>CS19*$CT$19</f>
        <v>0</v>
      </c>
      <c r="W31" s="2">
        <f>CW19*$CX$19</f>
        <v>0</v>
      </c>
      <c r="X31" s="27">
        <f>DA19*$DB$19</f>
        <v>0</v>
      </c>
      <c r="Y31" s="2">
        <f>DC19*$DD$19</f>
        <v>0</v>
      </c>
      <c r="Z31" s="27">
        <f>DE19*$DF$19</f>
        <v>0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7">
        <f>DM19*$DN$19</f>
        <v>0</v>
      </c>
      <c r="AE31" s="27">
        <f>DO19*$DP$19</f>
        <v>0</v>
      </c>
      <c r="AF31" s="27">
        <f>DQ19*$DR$19</f>
        <v>0</v>
      </c>
      <c r="AG31" s="27">
        <f>DS19*$DT$19</f>
        <v>5771.8180000000002</v>
      </c>
      <c r="AH31" s="27">
        <f>DU19*$DV$19</f>
        <v>0</v>
      </c>
      <c r="AI31" s="27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7">
        <f>EG19*$EH$19</f>
        <v>0</v>
      </c>
      <c r="AO31" s="290">
        <f>SUM(C31:AN31)</f>
        <v>143859.90583572499</v>
      </c>
      <c r="AP31" s="280">
        <f>AO31/'SUIVI RABAIS PRODUCTION ET C '!D9</f>
        <v>499.44419468033948</v>
      </c>
    </row>
    <row r="32" spans="2:138" x14ac:dyDescent="0.35">
      <c r="B32" s="2" t="s">
        <v>67</v>
      </c>
      <c r="C32" s="2">
        <f t="shared" ref="C32:C35" si="39">E20*$F$19</f>
        <v>0</v>
      </c>
      <c r="D32" s="2">
        <f t="shared" ref="D32:D34" si="40">I20*$J$19</f>
        <v>134058.96000000002</v>
      </c>
      <c r="E32" s="2">
        <f t="shared" ref="E32:E35" si="41">M20*$N$19</f>
        <v>0</v>
      </c>
      <c r="F32" s="2">
        <f t="shared" ref="F32:F35" si="42">Q20*$R$19</f>
        <v>17664.600000000002</v>
      </c>
      <c r="G32" s="2">
        <f t="shared" ref="G32:G35" si="43">U20*$V$19</f>
        <v>0</v>
      </c>
      <c r="H32" s="2">
        <f t="shared" ref="H32:H35" si="44">Y20*$Z$19</f>
        <v>92694.24</v>
      </c>
      <c r="I32" s="2">
        <f>AC20*$AD$19</f>
        <v>0</v>
      </c>
      <c r="J32" s="2">
        <f t="shared" ref="J32:J35" si="45">AG20*$AH$19</f>
        <v>0</v>
      </c>
      <c r="K32" s="2">
        <f t="shared" ref="K32:K35" si="46">AK20*$AL$19</f>
        <v>0</v>
      </c>
      <c r="L32" s="2">
        <f>AO20*$AP$19</f>
        <v>0</v>
      </c>
      <c r="M32" s="2">
        <f t="shared" ref="M32:M35" si="47">AS20*$AT$19+AV20*$AW$19</f>
        <v>92.814959999999985</v>
      </c>
      <c r="N32" s="2">
        <f t="shared" ref="N32:N35" si="48">AZ20*$BA$19</f>
        <v>0</v>
      </c>
      <c r="O32" s="2">
        <f t="shared" ref="O32:O35" si="49">BD20*$BE$19+BG20*$BH$19</f>
        <v>0</v>
      </c>
      <c r="P32" s="2">
        <f t="shared" ref="P32:P35" si="50">BK20*$BL$19</f>
        <v>0</v>
      </c>
      <c r="Q32" s="2">
        <f t="shared" ref="Q32:Q35" si="51">BO20*$BP$19</f>
        <v>0</v>
      </c>
      <c r="R32" s="2">
        <f t="shared" ref="R32:R35" si="52">BS20*$BT$19+BV20*$BW$19+BY20*$BZ$19</f>
        <v>12169.295</v>
      </c>
      <c r="S32" s="2">
        <f t="shared" ref="S32:S35" si="53">CC20*$CD$19+CF20*$CG$19+CI20*$CJ$19</f>
        <v>0</v>
      </c>
      <c r="T32" s="2">
        <f t="shared" ref="T32:T35" si="54">CK20*$CL$19</f>
        <v>10247.787864</v>
      </c>
      <c r="U32" s="2">
        <f t="shared" ref="U32:U35" si="55">CO20*$CP$19</f>
        <v>0</v>
      </c>
      <c r="V32" s="2">
        <f>CS20*$CT$19</f>
        <v>0</v>
      </c>
      <c r="W32" s="2">
        <f t="shared" ref="W32:W35" si="56">CW20*$CX$19</f>
        <v>0</v>
      </c>
      <c r="X32" s="27">
        <f t="shared" ref="X32:X35" si="57">DA20*$DB$19</f>
        <v>0</v>
      </c>
      <c r="Y32" s="2">
        <f t="shared" ref="Y32:Y35" si="58">DC20*$DD$19</f>
        <v>0</v>
      </c>
      <c r="Z32" s="27">
        <f t="shared" ref="Z32:Z35" si="59">DE20*$DF$19</f>
        <v>0</v>
      </c>
      <c r="AA32" s="27">
        <f t="shared" ref="AA32:AA35" si="60">DG20*$DH$19</f>
        <v>0</v>
      </c>
      <c r="AB32" s="27">
        <f t="shared" ref="AB32:AB35" si="61">DI20*$DJ$19</f>
        <v>0</v>
      </c>
      <c r="AC32" s="27">
        <f t="shared" ref="AC32:AC35" si="62">DK20*$DL$19</f>
        <v>0</v>
      </c>
      <c r="AD32" s="27">
        <f t="shared" ref="AD32:AD35" si="63">DM20*$DN$19</f>
        <v>0</v>
      </c>
      <c r="AE32" s="27">
        <f>DO20*$DP$19</f>
        <v>0</v>
      </c>
      <c r="AF32" s="27">
        <f t="shared" ref="AF32:AF35" si="64">DQ20*$DR$19</f>
        <v>0</v>
      </c>
      <c r="AG32" s="27">
        <f>DS20*$DT$19</f>
        <v>0</v>
      </c>
      <c r="AH32" s="27">
        <f t="shared" ref="AH32:AH35" si="65">DU20*$DV$19</f>
        <v>35797.32</v>
      </c>
      <c r="AI32" s="27">
        <f>DW20*$DX$19</f>
        <v>0</v>
      </c>
      <c r="AJ32" s="27">
        <f t="shared" ref="AJ32:AJ35" si="66">DY20*$DZ$19</f>
        <v>0</v>
      </c>
      <c r="AK32" s="27">
        <f t="shared" ref="AK32:AK35" si="67">EA20*$EB$19</f>
        <v>0</v>
      </c>
      <c r="AL32" s="27">
        <f t="shared" ref="AL32:AL35" si="68">EC20*$ED$19</f>
        <v>0</v>
      </c>
      <c r="AM32" s="27">
        <f>EE20*$EF$19</f>
        <v>0</v>
      </c>
      <c r="AN32" s="27">
        <f>EG20*$EH$19</f>
        <v>0</v>
      </c>
      <c r="AO32" s="290">
        <f t="shared" ref="AO32:AO35" si="69">SUM(C32:AN32)</f>
        <v>302725.01782400004</v>
      </c>
      <c r="AP32" s="280">
        <f>AO32/'SUIVI RABAIS PRODUCTION ET C '!E9</f>
        <v>1050.8366350458207</v>
      </c>
    </row>
    <row r="33" spans="2:109" x14ac:dyDescent="0.35">
      <c r="B33" s="2" t="s">
        <v>68</v>
      </c>
      <c r="C33" s="2">
        <f t="shared" si="39"/>
        <v>0</v>
      </c>
      <c r="D33" s="2">
        <f t="shared" si="40"/>
        <v>0</v>
      </c>
      <c r="E33" s="2">
        <f t="shared" si="41"/>
        <v>0</v>
      </c>
      <c r="F33" s="2">
        <f t="shared" si="42"/>
        <v>39131.58</v>
      </c>
      <c r="G33" s="2">
        <f t="shared" si="43"/>
        <v>0</v>
      </c>
      <c r="H33" s="2">
        <f t="shared" si="44"/>
        <v>93861.900000000009</v>
      </c>
      <c r="I33" s="2">
        <f t="shared" ref="I33:I35" si="70">AC21*$AD$19</f>
        <v>0</v>
      </c>
      <c r="J33" s="2">
        <f t="shared" si="45"/>
        <v>0</v>
      </c>
      <c r="K33" s="2">
        <f t="shared" si="46"/>
        <v>0</v>
      </c>
      <c r="L33" s="2">
        <f t="shared" ref="L33:L35" si="71">AO21*$AP$19</f>
        <v>0</v>
      </c>
      <c r="M33" s="2">
        <f t="shared" si="47"/>
        <v>262.97571999999997</v>
      </c>
      <c r="N33" s="2">
        <f t="shared" si="48"/>
        <v>0</v>
      </c>
      <c r="O33" s="2">
        <f t="shared" si="49"/>
        <v>23219.280000000002</v>
      </c>
      <c r="P33" s="2">
        <f t="shared" si="50"/>
        <v>0</v>
      </c>
      <c r="Q33" s="2">
        <f t="shared" si="51"/>
        <v>0</v>
      </c>
      <c r="R33" s="2">
        <f t="shared" si="52"/>
        <v>0</v>
      </c>
      <c r="S33" s="2">
        <f t="shared" si="53"/>
        <v>0</v>
      </c>
      <c r="T33" s="2">
        <f t="shared" si="54"/>
        <v>6942.5581620000012</v>
      </c>
      <c r="U33" s="2">
        <f t="shared" si="55"/>
        <v>0</v>
      </c>
      <c r="V33" s="2">
        <f t="shared" ref="V33:V35" si="72">CS21*$CT$19</f>
        <v>0</v>
      </c>
      <c r="W33" s="2">
        <f t="shared" si="56"/>
        <v>0</v>
      </c>
      <c r="X33" s="27">
        <f t="shared" si="57"/>
        <v>0</v>
      </c>
      <c r="Y33" s="2">
        <f t="shared" si="58"/>
        <v>0</v>
      </c>
      <c r="Z33" s="27">
        <f t="shared" si="59"/>
        <v>0</v>
      </c>
      <c r="AA33" s="27">
        <f t="shared" si="60"/>
        <v>0</v>
      </c>
      <c r="AB33" s="27">
        <f t="shared" si="61"/>
        <v>0</v>
      </c>
      <c r="AC33" s="27">
        <f t="shared" si="62"/>
        <v>0</v>
      </c>
      <c r="AD33" s="27">
        <f t="shared" si="63"/>
        <v>0</v>
      </c>
      <c r="AE33" s="27">
        <f>DO21*$DP$19</f>
        <v>0</v>
      </c>
      <c r="AF33" s="27">
        <f t="shared" si="64"/>
        <v>0</v>
      </c>
      <c r="AG33" s="27">
        <f>DS21*$DT$19</f>
        <v>0</v>
      </c>
      <c r="AH33" s="27">
        <f t="shared" si="65"/>
        <v>0</v>
      </c>
      <c r="AI33" s="27">
        <f>DW21*$DX$19</f>
        <v>0</v>
      </c>
      <c r="AJ33" s="27">
        <f t="shared" si="66"/>
        <v>0</v>
      </c>
      <c r="AK33" s="27">
        <f t="shared" si="67"/>
        <v>0</v>
      </c>
      <c r="AL33" s="27">
        <f t="shared" si="68"/>
        <v>0</v>
      </c>
      <c r="AM33" s="27">
        <f>EE21*$EF$19</f>
        <v>0</v>
      </c>
      <c r="AN33" s="27">
        <f>EG21*$EH$19</f>
        <v>0</v>
      </c>
      <c r="AO33" s="290">
        <f t="shared" si="69"/>
        <v>163418.293882</v>
      </c>
      <c r="AP33" s="280">
        <f>AO33/'SUIVI RABAIS PRODUCTION ET C '!F9</f>
        <v>531.04440217723322</v>
      </c>
    </row>
    <row r="34" spans="2:109" x14ac:dyDescent="0.35">
      <c r="B34" s="2" t="s">
        <v>69</v>
      </c>
      <c r="C34" s="2">
        <f t="shared" si="39"/>
        <v>0</v>
      </c>
      <c r="D34" s="2">
        <f t="shared" si="40"/>
        <v>0</v>
      </c>
      <c r="E34" s="2">
        <f t="shared" si="41"/>
        <v>0</v>
      </c>
      <c r="F34" s="2">
        <f t="shared" si="42"/>
        <v>49580.640000000014</v>
      </c>
      <c r="G34" s="2">
        <f t="shared" si="43"/>
        <v>0</v>
      </c>
      <c r="H34" s="2">
        <f t="shared" si="44"/>
        <v>142414.10100000002</v>
      </c>
      <c r="I34" s="2">
        <f t="shared" si="70"/>
        <v>0</v>
      </c>
      <c r="J34" s="2">
        <f t="shared" si="45"/>
        <v>0</v>
      </c>
      <c r="K34" s="2">
        <f t="shared" si="46"/>
        <v>0</v>
      </c>
      <c r="L34" s="2">
        <f t="shared" si="71"/>
        <v>0</v>
      </c>
      <c r="M34" s="2">
        <f t="shared" si="47"/>
        <v>10095.599999999999</v>
      </c>
      <c r="N34" s="2">
        <f t="shared" si="48"/>
        <v>0</v>
      </c>
      <c r="O34" s="2">
        <f t="shared" si="49"/>
        <v>0</v>
      </c>
      <c r="P34" s="2">
        <f t="shared" si="50"/>
        <v>0</v>
      </c>
      <c r="Q34" s="2">
        <f t="shared" si="51"/>
        <v>18337.439999999999</v>
      </c>
      <c r="R34" s="2">
        <f t="shared" si="52"/>
        <v>71.215760000000017</v>
      </c>
      <c r="S34" s="2">
        <f t="shared" si="53"/>
        <v>0</v>
      </c>
      <c r="T34" s="2">
        <f t="shared" si="54"/>
        <v>5656.4273760000005</v>
      </c>
      <c r="U34" s="2">
        <f t="shared" si="55"/>
        <v>0</v>
      </c>
      <c r="V34" s="2">
        <f t="shared" si="72"/>
        <v>0</v>
      </c>
      <c r="W34" s="2">
        <f t="shared" si="56"/>
        <v>0</v>
      </c>
      <c r="X34" s="27">
        <f t="shared" si="57"/>
        <v>0</v>
      </c>
      <c r="Y34" s="2">
        <f t="shared" si="58"/>
        <v>0</v>
      </c>
      <c r="Z34" s="27">
        <f t="shared" si="59"/>
        <v>0</v>
      </c>
      <c r="AA34" s="27">
        <f t="shared" si="60"/>
        <v>0</v>
      </c>
      <c r="AB34" s="27">
        <f t="shared" si="61"/>
        <v>0</v>
      </c>
      <c r="AC34" s="27">
        <f t="shared" si="62"/>
        <v>0</v>
      </c>
      <c r="AD34" s="27">
        <f t="shared" si="63"/>
        <v>0</v>
      </c>
      <c r="AE34" s="27">
        <f>DO22*$DP$19</f>
        <v>0</v>
      </c>
      <c r="AF34" s="27">
        <f t="shared" si="64"/>
        <v>0</v>
      </c>
      <c r="AG34" s="27">
        <f>DS22*$DT$19</f>
        <v>0</v>
      </c>
      <c r="AH34" s="27">
        <f t="shared" si="65"/>
        <v>0</v>
      </c>
      <c r="AI34" s="27">
        <f>DW22*$DX$19</f>
        <v>0</v>
      </c>
      <c r="AJ34" s="27">
        <f t="shared" si="66"/>
        <v>0</v>
      </c>
      <c r="AK34" s="27">
        <f t="shared" si="67"/>
        <v>0</v>
      </c>
      <c r="AL34" s="27">
        <f t="shared" si="68"/>
        <v>0</v>
      </c>
      <c r="AM34" s="27">
        <f>EE22*$EF$19</f>
        <v>0</v>
      </c>
      <c r="AN34" s="27">
        <f>EG22*$EH$19</f>
        <v>0</v>
      </c>
      <c r="AO34" s="290">
        <f t="shared" si="69"/>
        <v>226155.42413600005</v>
      </c>
      <c r="AP34" s="280">
        <f>AO34/'SUIVI RABAIS PRODUCTION ET C '!G9</f>
        <v>735.24959893364564</v>
      </c>
    </row>
    <row r="35" spans="2:109" x14ac:dyDescent="0.35">
      <c r="B35" s="2" t="s">
        <v>70</v>
      </c>
      <c r="C35" s="2">
        <f t="shared" si="39"/>
        <v>0</v>
      </c>
      <c r="D35" s="2">
        <f>I23*$J$19</f>
        <v>0</v>
      </c>
      <c r="E35" s="2">
        <f t="shared" si="41"/>
        <v>0</v>
      </c>
      <c r="F35" s="2">
        <f t="shared" si="42"/>
        <v>4970.04</v>
      </c>
      <c r="G35" s="2">
        <f t="shared" si="43"/>
        <v>0</v>
      </c>
      <c r="H35" s="2">
        <f t="shared" si="44"/>
        <v>123487.53</v>
      </c>
      <c r="I35" s="2">
        <f t="shared" si="70"/>
        <v>0</v>
      </c>
      <c r="J35" s="2">
        <f t="shared" si="45"/>
        <v>0</v>
      </c>
      <c r="K35" s="2">
        <f t="shared" si="46"/>
        <v>0</v>
      </c>
      <c r="L35" s="2">
        <f t="shared" si="71"/>
        <v>0</v>
      </c>
      <c r="M35" s="2">
        <f t="shared" si="47"/>
        <v>77.345799999999997</v>
      </c>
      <c r="N35" s="2">
        <f t="shared" si="48"/>
        <v>0</v>
      </c>
      <c r="O35" s="2">
        <f t="shared" si="49"/>
        <v>0</v>
      </c>
      <c r="P35" s="2">
        <f t="shared" si="50"/>
        <v>0</v>
      </c>
      <c r="Q35" s="2">
        <f t="shared" si="51"/>
        <v>39175.440000000002</v>
      </c>
      <c r="R35" s="2">
        <f t="shared" si="52"/>
        <v>20016.416000000001</v>
      </c>
      <c r="S35" s="2">
        <f t="shared" si="53"/>
        <v>0</v>
      </c>
      <c r="T35" s="2">
        <f t="shared" si="54"/>
        <v>18255.669300000001</v>
      </c>
      <c r="U35" s="2">
        <f t="shared" si="55"/>
        <v>0</v>
      </c>
      <c r="V35" s="2">
        <f t="shared" si="72"/>
        <v>0</v>
      </c>
      <c r="W35" s="2">
        <f t="shared" si="56"/>
        <v>0</v>
      </c>
      <c r="X35" s="27">
        <f t="shared" si="57"/>
        <v>0</v>
      </c>
      <c r="Y35" s="2">
        <f t="shared" si="58"/>
        <v>0</v>
      </c>
      <c r="Z35" s="27">
        <f t="shared" si="59"/>
        <v>0</v>
      </c>
      <c r="AA35" s="27">
        <f t="shared" si="60"/>
        <v>0</v>
      </c>
      <c r="AB35" s="27">
        <f t="shared" si="61"/>
        <v>0</v>
      </c>
      <c r="AC35" s="27">
        <f t="shared" si="62"/>
        <v>0</v>
      </c>
      <c r="AD35" s="27">
        <f t="shared" si="63"/>
        <v>0</v>
      </c>
      <c r="AE35" s="27">
        <f>DO23*$DP$19</f>
        <v>0</v>
      </c>
      <c r="AF35" s="27">
        <f t="shared" si="64"/>
        <v>0</v>
      </c>
      <c r="AG35" s="27">
        <f>DS23*$DT$19</f>
        <v>6713.08</v>
      </c>
      <c r="AH35" s="27">
        <f t="shared" si="65"/>
        <v>0</v>
      </c>
      <c r="AI35" s="27">
        <f>DW23*$DX$19</f>
        <v>0</v>
      </c>
      <c r="AJ35" s="27">
        <f t="shared" si="66"/>
        <v>0</v>
      </c>
      <c r="AK35" s="27">
        <f t="shared" si="67"/>
        <v>0</v>
      </c>
      <c r="AL35" s="27">
        <f t="shared" si="68"/>
        <v>0</v>
      </c>
      <c r="AM35" s="27">
        <f>EE23*$EF$19</f>
        <v>0</v>
      </c>
      <c r="AN35" s="27">
        <f>EG23*$EH$19</f>
        <v>0</v>
      </c>
      <c r="AO35" s="290">
        <f t="shared" si="69"/>
        <v>212695.52109999998</v>
      </c>
      <c r="AP35" s="280">
        <f>AO35/'SUIVI RABAIS PRODUCTION ET C '!H9</f>
        <v>694.90172863303712</v>
      </c>
      <c r="DE35" s="35"/>
    </row>
    <row r="36" spans="2:109" x14ac:dyDescent="0.35">
      <c r="B36" s="5" t="s">
        <v>121</v>
      </c>
      <c r="C36" s="5">
        <f t="shared" ref="C36:S36" si="73">SUM(C31:C35)</f>
        <v>0</v>
      </c>
      <c r="D36" s="5">
        <f t="shared" si="73"/>
        <v>148079.29290000003</v>
      </c>
      <c r="E36" s="5">
        <f t="shared" si="73"/>
        <v>0</v>
      </c>
      <c r="F36" s="5">
        <f t="shared" si="73"/>
        <v>118517.49</v>
      </c>
      <c r="G36" s="5">
        <f t="shared" si="73"/>
        <v>0</v>
      </c>
      <c r="H36" s="5">
        <f t="shared" si="73"/>
        <v>547481.31045272504</v>
      </c>
      <c r="I36" s="5">
        <f t="shared" si="73"/>
        <v>0</v>
      </c>
      <c r="J36" s="5">
        <f t="shared" si="73"/>
        <v>0</v>
      </c>
      <c r="K36" s="5">
        <f t="shared" si="73"/>
        <v>0</v>
      </c>
      <c r="L36" s="5">
        <f t="shared" si="73"/>
        <v>0</v>
      </c>
      <c r="M36" s="5">
        <f t="shared" si="73"/>
        <v>10528.736479999998</v>
      </c>
      <c r="N36" s="5">
        <f t="shared" si="73"/>
        <v>0</v>
      </c>
      <c r="O36" s="5">
        <f t="shared" si="73"/>
        <v>28132.902000000002</v>
      </c>
      <c r="P36" s="5">
        <f t="shared" si="73"/>
        <v>0</v>
      </c>
      <c r="Q36" s="5">
        <f t="shared" si="73"/>
        <v>57512.880000000005</v>
      </c>
      <c r="R36" s="5">
        <f t="shared" si="73"/>
        <v>32256.926760000002</v>
      </c>
      <c r="S36" s="5">
        <f t="shared" si="73"/>
        <v>0</v>
      </c>
      <c r="T36" s="5">
        <f t="shared" ref="T36:AO36" si="74">SUM(T31:T35)</f>
        <v>58062.406185</v>
      </c>
      <c r="U36" s="5">
        <f t="shared" si="74"/>
        <v>0</v>
      </c>
      <c r="V36" s="5">
        <f t="shared" si="74"/>
        <v>0</v>
      </c>
      <c r="W36" s="5">
        <f t="shared" si="74"/>
        <v>0</v>
      </c>
      <c r="X36" s="5">
        <f t="shared" si="74"/>
        <v>0</v>
      </c>
      <c r="Y36" s="5">
        <f t="shared" si="74"/>
        <v>0</v>
      </c>
      <c r="Z36" s="5">
        <f t="shared" si="74"/>
        <v>0</v>
      </c>
      <c r="AA36" s="5">
        <f t="shared" si="74"/>
        <v>0</v>
      </c>
      <c r="AB36" s="5">
        <f t="shared" si="74"/>
        <v>0</v>
      </c>
      <c r="AC36" s="5">
        <f t="shared" si="74"/>
        <v>0</v>
      </c>
      <c r="AD36" s="5">
        <f t="shared" si="74"/>
        <v>0</v>
      </c>
      <c r="AE36" s="5">
        <f t="shared" si="74"/>
        <v>0</v>
      </c>
      <c r="AF36" s="5">
        <f t="shared" si="74"/>
        <v>0</v>
      </c>
      <c r="AG36" s="5">
        <f t="shared" si="74"/>
        <v>12484.898000000001</v>
      </c>
      <c r="AH36" s="5">
        <f t="shared" si="74"/>
        <v>35797.32</v>
      </c>
      <c r="AI36" s="5">
        <f t="shared" si="74"/>
        <v>0</v>
      </c>
      <c r="AJ36" s="5">
        <f t="shared" si="74"/>
        <v>0</v>
      </c>
      <c r="AK36" s="5">
        <f t="shared" si="74"/>
        <v>0</v>
      </c>
      <c r="AL36" s="5">
        <f t="shared" si="74"/>
        <v>0</v>
      </c>
      <c r="AM36" s="5">
        <f t="shared" si="74"/>
        <v>0</v>
      </c>
      <c r="AN36" s="5">
        <f t="shared" si="74"/>
        <v>0</v>
      </c>
      <c r="AO36" s="291">
        <f t="shared" si="74"/>
        <v>1048854.1627777251</v>
      </c>
    </row>
    <row r="38" spans="2:109" x14ac:dyDescent="0.35">
      <c r="B38" s="77" t="s">
        <v>128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5">
      <c r="B39" s="399"/>
      <c r="C39" s="357" t="s">
        <v>129</v>
      </c>
      <c r="D39" s="358"/>
      <c r="E39" s="358"/>
      <c r="F39" s="359"/>
      <c r="G39" s="357" t="s">
        <v>130</v>
      </c>
      <c r="H39" s="358"/>
      <c r="I39" s="358"/>
      <c r="J39" s="359"/>
      <c r="K39" s="403" t="s">
        <v>131</v>
      </c>
      <c r="L39" s="404"/>
      <c r="M39" s="404"/>
      <c r="N39" s="405"/>
      <c r="O39" s="407" t="s">
        <v>29</v>
      </c>
      <c r="P39" s="408"/>
      <c r="Q39" s="408"/>
      <c r="R39" s="408"/>
      <c r="S39" s="408"/>
      <c r="T39" s="408"/>
      <c r="U39" s="408"/>
      <c r="V39" s="408"/>
      <c r="W39" s="408"/>
      <c r="X39" s="408"/>
      <c r="Y39" s="408"/>
      <c r="Z39" s="409"/>
      <c r="AA39" s="407" t="s">
        <v>124</v>
      </c>
      <c r="AB39" s="408"/>
      <c r="AC39" s="408"/>
      <c r="AD39" s="408"/>
      <c r="AE39" s="408"/>
      <c r="AF39" s="408"/>
      <c r="AG39" s="408"/>
      <c r="AH39" s="408"/>
      <c r="AI39" s="408"/>
      <c r="AJ39" s="408"/>
      <c r="AK39" s="408"/>
      <c r="AL39" s="408"/>
      <c r="AM39" s="408"/>
      <c r="AN39" s="408"/>
      <c r="AO39" s="408"/>
      <c r="AP39" s="408"/>
      <c r="AQ39" s="408"/>
      <c r="AR39" s="408"/>
      <c r="AS39" s="408"/>
      <c r="AT39" s="409"/>
      <c r="AU39" s="476" t="s">
        <v>125</v>
      </c>
      <c r="AV39" s="386" t="s">
        <v>126</v>
      </c>
    </row>
    <row r="40" spans="2:109" ht="45" customHeight="1" thickBot="1" x14ac:dyDescent="0.4">
      <c r="B40" s="400"/>
      <c r="C40" s="85" t="s">
        <v>132</v>
      </c>
      <c r="D40" s="85" t="s">
        <v>133</v>
      </c>
      <c r="E40" s="85" t="s">
        <v>134</v>
      </c>
      <c r="F40" s="85" t="s">
        <v>135</v>
      </c>
      <c r="G40" s="85" t="s">
        <v>136</v>
      </c>
      <c r="H40" s="85" t="s">
        <v>133</v>
      </c>
      <c r="I40" s="85" t="s">
        <v>134</v>
      </c>
      <c r="J40" s="85" t="s">
        <v>135</v>
      </c>
      <c r="K40" s="85" t="s">
        <v>137</v>
      </c>
      <c r="L40" s="85" t="s">
        <v>138</v>
      </c>
      <c r="M40" s="85" t="s">
        <v>139</v>
      </c>
      <c r="N40" s="85" t="s">
        <v>138</v>
      </c>
      <c r="O40" s="86" t="s">
        <v>140</v>
      </c>
      <c r="P40" s="86" t="s">
        <v>141</v>
      </c>
      <c r="Q40" s="86" t="s">
        <v>142</v>
      </c>
      <c r="R40" s="86" t="s">
        <v>141</v>
      </c>
      <c r="S40" s="86" t="s">
        <v>143</v>
      </c>
      <c r="T40" s="86" t="s">
        <v>141</v>
      </c>
      <c r="U40" s="86" t="s">
        <v>144</v>
      </c>
      <c r="V40" s="86" t="s">
        <v>141</v>
      </c>
      <c r="W40" s="86" t="s">
        <v>145</v>
      </c>
      <c r="X40" s="86" t="s">
        <v>141</v>
      </c>
      <c r="Y40" s="86" t="s">
        <v>146</v>
      </c>
      <c r="Z40" s="86" t="s">
        <v>141</v>
      </c>
      <c r="AA40" s="85" t="s">
        <v>147</v>
      </c>
      <c r="AB40" s="85" t="s">
        <v>141</v>
      </c>
      <c r="AC40" s="85" t="s">
        <v>148</v>
      </c>
      <c r="AD40" s="85" t="s">
        <v>141</v>
      </c>
      <c r="AE40" s="85" t="s">
        <v>149</v>
      </c>
      <c r="AF40" s="85" t="s">
        <v>141</v>
      </c>
      <c r="AG40" s="85" t="s">
        <v>150</v>
      </c>
      <c r="AH40" s="85" t="s">
        <v>141</v>
      </c>
      <c r="AI40" s="85" t="s">
        <v>151</v>
      </c>
      <c r="AJ40" s="85" t="s">
        <v>141</v>
      </c>
      <c r="AK40" s="85" t="s">
        <v>152</v>
      </c>
      <c r="AL40" s="85" t="s">
        <v>141</v>
      </c>
      <c r="AM40" s="85" t="s">
        <v>153</v>
      </c>
      <c r="AN40" s="85" t="s">
        <v>141</v>
      </c>
      <c r="AO40" s="85" t="s">
        <v>154</v>
      </c>
      <c r="AP40" s="85" t="s">
        <v>141</v>
      </c>
      <c r="AQ40" s="85" t="s">
        <v>155</v>
      </c>
      <c r="AR40" s="85" t="s">
        <v>141</v>
      </c>
      <c r="AS40" s="85" t="s">
        <v>156</v>
      </c>
      <c r="AT40" s="85" t="s">
        <v>141</v>
      </c>
      <c r="AU40" s="477"/>
      <c r="AV40" s="388"/>
    </row>
    <row r="41" spans="2:109" ht="15" customHeight="1" x14ac:dyDescent="0.35">
      <c r="B41" s="27" t="s">
        <v>66</v>
      </c>
      <c r="C41" s="2">
        <f>E19+I19+M19+Q19+U19+Y19+BD19+BS19+CC19</f>
        <v>25598.963477499998</v>
      </c>
      <c r="D41" s="104">
        <f>C41*$I$49*$I$58</f>
        <v>170562.23665579996</v>
      </c>
      <c r="E41" s="2">
        <f>(C41*$I$51+C41*$I$53)*$I$58</f>
        <v>39868.922818293242</v>
      </c>
      <c r="F41" s="28">
        <f>SUM(D41:E41)</f>
        <v>210431.15947409321</v>
      </c>
      <c r="G41" s="121"/>
      <c r="H41" s="28">
        <f>G41*$I$50*$I$58</f>
        <v>0</v>
      </c>
      <c r="I41" s="28">
        <f>(G41*I52*+G41*I53)*$I$58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0</v>
      </c>
      <c r="P41" s="36">
        <f>O41*$I$50+O41*$I$52+O41*$I$53</f>
        <v>0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8539.1280000000006</v>
      </c>
      <c r="AF41" s="27">
        <f>AE41*$I$50+AE41*$I$52+AE41*$I$53</f>
        <v>144.11608313142855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292">
        <f>F41+J41+L41+N41+P41+R41+T41+V41+X41+Z41+AB41+AD41+AF41+AH41+AJ41+AL41+AN41+AP41+AR41+AT41</f>
        <v>210575.27555722464</v>
      </c>
      <c r="AV41" s="281">
        <f>AU41/'SUIVI RABAIS PRODUCTION ET C '!D9</f>
        <v>731.06261476609018</v>
      </c>
      <c r="AX41" s="349" t="s">
        <v>157</v>
      </c>
      <c r="AY41" s="350"/>
      <c r="AZ41" s="351"/>
    </row>
    <row r="42" spans="2:109" ht="15" customHeight="1" x14ac:dyDescent="0.35">
      <c r="B42" s="27" t="s">
        <v>67</v>
      </c>
      <c r="C42" s="2">
        <f t="shared" ref="C42:C45" si="75">E20+I20+M20+Q20+U20+Y20+BD20+BS20+CC20</f>
        <v>57089</v>
      </c>
      <c r="D42" s="104">
        <f t="shared" ref="D42:D45" si="76">C42*$I$49*$I$58</f>
        <v>380375.85142857139</v>
      </c>
      <c r="E42" s="2">
        <f t="shared" ref="E42:E45" si="77">(C42*$I$51+C42*$I$53)*$I$58</f>
        <v>88912.855271428547</v>
      </c>
      <c r="F42" s="28">
        <f t="shared" ref="F42:F45" si="78">SUM(D42:E42)</f>
        <v>469288.70669999992</v>
      </c>
      <c r="G42" s="121"/>
      <c r="H42" s="28">
        <f t="shared" ref="H42:H45" si="79">G42*$I$50*$I$58</f>
        <v>0</v>
      </c>
      <c r="I42" s="28">
        <f t="shared" ref="I42:I45" si="80">(G42*I53*+G42*I54)*$I$58</f>
        <v>0</v>
      </c>
      <c r="J42" s="28">
        <f t="shared" ref="J42:J45" si="81">SUM(H42:I42)</f>
        <v>0</v>
      </c>
      <c r="K42" s="2">
        <f t="shared" ref="K42:K45" si="82">CM20+CQ20</f>
        <v>0</v>
      </c>
      <c r="L42" s="36">
        <f>K42*$I$54</f>
        <v>0</v>
      </c>
      <c r="M42" s="27">
        <f t="shared" ref="M42:M45" si="83">CU20</f>
        <v>0</v>
      </c>
      <c r="N42" s="36">
        <f t="shared" ref="N42:N45" si="84">M42*$I$55</f>
        <v>0</v>
      </c>
      <c r="O42" s="2">
        <f t="shared" ref="O42:O45" si="85">$C$65/1000*DC20</f>
        <v>0</v>
      </c>
      <c r="P42" s="36">
        <f t="shared" ref="P42:P45" si="86">O42*$I$50+O42*$I$52+O42*$I$53</f>
        <v>0</v>
      </c>
      <c r="Q42" s="36">
        <f t="shared" ref="Q42:Q45" si="87">DE20*$D$65/1000</f>
        <v>0</v>
      </c>
      <c r="R42" s="36">
        <f t="shared" ref="R42:R45" si="88">Q42*$I$50+Q42*$I$52+Q42*$I$53</f>
        <v>0</v>
      </c>
      <c r="S42" s="36">
        <f t="shared" ref="S42:S45" si="89">DG20*$E$65/1000</f>
        <v>0</v>
      </c>
      <c r="T42" s="36">
        <f t="shared" ref="T42:T45" si="90">S42*$I$50+S42*$I$52+S42*$I$53</f>
        <v>0</v>
      </c>
      <c r="U42" s="36">
        <f t="shared" ref="U42:U45" si="91">DI20*$F$65/1000</f>
        <v>0</v>
      </c>
      <c r="V42" s="36">
        <f t="shared" ref="V42:V45" si="92">U42*$I$50+U42*$I$52+U42*$I$53</f>
        <v>0</v>
      </c>
      <c r="W42" s="36">
        <f t="shared" ref="W42:W45" si="93">DK20*$G$65/1000</f>
        <v>0</v>
      </c>
      <c r="X42" s="36">
        <f t="shared" ref="X42:X45" si="94">W42*$I$50+W42*$I$52+W42*$I$53</f>
        <v>0</v>
      </c>
      <c r="Y42" s="27">
        <f t="shared" ref="Y42:Y45" si="95">DM20*$H$65/1000</f>
        <v>0</v>
      </c>
      <c r="Z42" s="87">
        <f t="shared" ref="Z42:Z45" si="96">Y42*$I$50+Y42*$I$52+Y42*$I$53</f>
        <v>0</v>
      </c>
      <c r="AA42" s="27">
        <f t="shared" ref="AA42:AA45" si="97">DO20*1000*$I$65/1000</f>
        <v>0</v>
      </c>
      <c r="AB42" s="27">
        <f t="shared" ref="AB42:AB45" si="98">AA42*$I$50+AA42*$I$52+AA42*$I$53</f>
        <v>0</v>
      </c>
      <c r="AC42" s="27">
        <f t="shared" ref="AC42:AC45" si="99">DQ20*$J$65</f>
        <v>0</v>
      </c>
      <c r="AD42" s="27">
        <f t="shared" ref="AD42:AD45" si="100">AC42*$I$50+AC42*$I$52+AC42*$I$53</f>
        <v>0</v>
      </c>
      <c r="AE42" s="27">
        <f t="shared" ref="AE42:AE45" si="101">DS20*$K$65</f>
        <v>0</v>
      </c>
      <c r="AF42" s="27">
        <f t="shared" ref="AF42:AF45" si="102">AE42*$I$50+AE42*$I$52+AE42*$I$53</f>
        <v>0</v>
      </c>
      <c r="AG42" s="27">
        <f t="shared" ref="AG42:AG45" si="103">DU20*$L$65</f>
        <v>778.66819999999996</v>
      </c>
      <c r="AH42" s="27">
        <f t="shared" ref="AH42:AH45" si="104">AG42*$I$50+AG42*$I$52+AG42*$I$53</f>
        <v>13.141694449714286</v>
      </c>
      <c r="AI42" s="27">
        <f t="shared" ref="AI42:AI45" si="105">DW20*$M$65</f>
        <v>0</v>
      </c>
      <c r="AJ42" s="27">
        <f t="shared" ref="AJ42:AJ45" si="106">AI42*$I$50+AI42*$I$52+AI42*$I$53</f>
        <v>0</v>
      </c>
      <c r="AK42" s="27">
        <f t="shared" ref="AK42:AK45" si="107">DY20*$N$65</f>
        <v>0</v>
      </c>
      <c r="AL42" s="27">
        <f t="shared" ref="AL42:AL45" si="108">AK42*$I$50+AK42*$I$52+AK42*$I$53</f>
        <v>0</v>
      </c>
      <c r="AM42" s="27">
        <f t="shared" ref="AM42:AM45" si="109">EA20*$O$65</f>
        <v>0</v>
      </c>
      <c r="AN42" s="27">
        <f t="shared" ref="AN42:AN45" si="110">AM42*$I$50+AM42*$I$52+AM42*$I$53</f>
        <v>0</v>
      </c>
      <c r="AO42" s="27">
        <f t="shared" ref="AO42:AO45" si="111">EC20*$P$65</f>
        <v>0</v>
      </c>
      <c r="AP42" s="27">
        <f t="shared" ref="AP42:AP45" si="112">AO42*$I$50+AO42*$I$52+AO42*$I$53</f>
        <v>0</v>
      </c>
      <c r="AQ42" s="27">
        <f t="shared" ref="AQ42:AQ45" si="113">EE20*$Q$65</f>
        <v>0</v>
      </c>
      <c r="AR42" s="27">
        <f t="shared" ref="AR42:AR45" si="114">AQ42*$I$50+AQ42*$I$52+AQ42*$I$53</f>
        <v>0</v>
      </c>
      <c r="AS42" s="27">
        <f t="shared" ref="AS42:AS45" si="115">EG20*$R$65</f>
        <v>0</v>
      </c>
      <c r="AT42" s="27">
        <f t="shared" ref="AT42:AT45" si="116">AS42*$I$50+AS42*$I$52+AS42*$I$53</f>
        <v>0</v>
      </c>
      <c r="AU42" s="292">
        <f t="shared" ref="AU42:AU45" si="117">F42+J42+L42+N42+P42+R42+T42+V42+X42+Z42+AB42+AD42+AF42+AH42+AJ42+AL42+AN42+AP42+AR42+AT42</f>
        <v>469301.84839444963</v>
      </c>
      <c r="AV42" s="281">
        <f>AU42/'SUIVI RABAIS PRODUCTION ET C '!E9</f>
        <v>1629.0677880951459</v>
      </c>
      <c r="AX42" s="352"/>
      <c r="AY42" s="353"/>
      <c r="AZ42" s="354"/>
    </row>
    <row r="43" spans="2:109" ht="15" thickBot="1" x14ac:dyDescent="0.4">
      <c r="B43" s="27" t="s">
        <v>68</v>
      </c>
      <c r="C43" s="2">
        <f t="shared" si="75"/>
        <v>34212</v>
      </c>
      <c r="D43" s="104">
        <f t="shared" si="76"/>
        <v>227949.66857142857</v>
      </c>
      <c r="E43" s="2">
        <f t="shared" si="77"/>
        <v>53283.23502857142</v>
      </c>
      <c r="F43" s="28">
        <f t="shared" si="78"/>
        <v>281232.90359999996</v>
      </c>
      <c r="G43" s="121"/>
      <c r="H43" s="28">
        <f t="shared" si="79"/>
        <v>0</v>
      </c>
      <c r="I43" s="28">
        <f t="shared" si="80"/>
        <v>0</v>
      </c>
      <c r="J43" s="28">
        <f t="shared" si="81"/>
        <v>0</v>
      </c>
      <c r="K43" s="2">
        <f t="shared" si="82"/>
        <v>0</v>
      </c>
      <c r="L43" s="36">
        <f t="shared" ref="L43:L45" si="118">K43*$I$54</f>
        <v>0</v>
      </c>
      <c r="M43" s="27">
        <f t="shared" si="83"/>
        <v>0</v>
      </c>
      <c r="N43" s="36">
        <f t="shared" si="84"/>
        <v>0</v>
      </c>
      <c r="O43" s="2">
        <f t="shared" si="85"/>
        <v>0</v>
      </c>
      <c r="P43" s="36">
        <f t="shared" si="86"/>
        <v>0</v>
      </c>
      <c r="Q43" s="36">
        <f t="shared" si="87"/>
        <v>0</v>
      </c>
      <c r="R43" s="36">
        <f t="shared" si="88"/>
        <v>0</v>
      </c>
      <c r="S43" s="36">
        <f t="shared" si="89"/>
        <v>0</v>
      </c>
      <c r="T43" s="36">
        <f t="shared" si="90"/>
        <v>0</v>
      </c>
      <c r="U43" s="36">
        <f t="shared" si="91"/>
        <v>0</v>
      </c>
      <c r="V43" s="36">
        <f t="shared" si="92"/>
        <v>0</v>
      </c>
      <c r="W43" s="36">
        <f t="shared" si="93"/>
        <v>0</v>
      </c>
      <c r="X43" s="36">
        <f t="shared" si="94"/>
        <v>0</v>
      </c>
      <c r="Y43" s="27">
        <f t="shared" si="95"/>
        <v>0</v>
      </c>
      <c r="Z43" s="87">
        <f t="shared" si="96"/>
        <v>0</v>
      </c>
      <c r="AA43" s="27">
        <f t="shared" si="97"/>
        <v>0</v>
      </c>
      <c r="AB43" s="27">
        <f t="shared" si="98"/>
        <v>0</v>
      </c>
      <c r="AC43" s="27">
        <f t="shared" si="99"/>
        <v>0</v>
      </c>
      <c r="AD43" s="27">
        <f t="shared" si="100"/>
        <v>0</v>
      </c>
      <c r="AE43" s="27">
        <f t="shared" si="101"/>
        <v>0</v>
      </c>
      <c r="AF43" s="27">
        <f t="shared" si="102"/>
        <v>0</v>
      </c>
      <c r="AG43" s="27">
        <f t="shared" si="103"/>
        <v>0</v>
      </c>
      <c r="AH43" s="27">
        <f t="shared" si="104"/>
        <v>0</v>
      </c>
      <c r="AI43" s="27">
        <f t="shared" si="105"/>
        <v>0</v>
      </c>
      <c r="AJ43" s="27">
        <f t="shared" si="106"/>
        <v>0</v>
      </c>
      <c r="AK43" s="27">
        <f t="shared" si="107"/>
        <v>0</v>
      </c>
      <c r="AL43" s="27">
        <f t="shared" si="108"/>
        <v>0</v>
      </c>
      <c r="AM43" s="27">
        <f t="shared" si="109"/>
        <v>0</v>
      </c>
      <c r="AN43" s="27">
        <f t="shared" si="110"/>
        <v>0</v>
      </c>
      <c r="AO43" s="27">
        <f t="shared" si="111"/>
        <v>0</v>
      </c>
      <c r="AP43" s="27">
        <f t="shared" si="112"/>
        <v>0</v>
      </c>
      <c r="AQ43" s="27">
        <f t="shared" si="113"/>
        <v>0</v>
      </c>
      <c r="AR43" s="27">
        <f t="shared" si="114"/>
        <v>0</v>
      </c>
      <c r="AS43" s="27">
        <f t="shared" si="115"/>
        <v>0</v>
      </c>
      <c r="AT43" s="27">
        <f t="shared" si="116"/>
        <v>0</v>
      </c>
      <c r="AU43" s="292">
        <f t="shared" si="117"/>
        <v>281232.90359999996</v>
      </c>
      <c r="AV43" s="281">
        <f>AU43/'SUIVI RABAIS PRODUCTION ET C '!F9</f>
        <v>913.89498456439071</v>
      </c>
      <c r="AX43" s="352"/>
      <c r="AY43" s="353"/>
      <c r="AZ43" s="354"/>
    </row>
    <row r="44" spans="2:109" ht="15" thickBot="1" x14ac:dyDescent="0.4">
      <c r="B44" s="27" t="s">
        <v>69</v>
      </c>
      <c r="C44" s="2">
        <f t="shared" si="75"/>
        <v>38488.836000000003</v>
      </c>
      <c r="D44" s="104">
        <f t="shared" si="76"/>
        <v>256445.61586285714</v>
      </c>
      <c r="E44" s="2">
        <f t="shared" si="77"/>
        <v>59944.162707942858</v>
      </c>
      <c r="F44" s="28">
        <f t="shared" si="78"/>
        <v>316389.77857079997</v>
      </c>
      <c r="G44" s="121"/>
      <c r="H44" s="28">
        <f t="shared" si="79"/>
        <v>0</v>
      </c>
      <c r="I44" s="28">
        <f t="shared" si="80"/>
        <v>0</v>
      </c>
      <c r="J44" s="28">
        <f t="shared" si="81"/>
        <v>0</v>
      </c>
      <c r="K44" s="2">
        <f t="shared" si="82"/>
        <v>0</v>
      </c>
      <c r="L44" s="36">
        <f t="shared" si="118"/>
        <v>0</v>
      </c>
      <c r="M44" s="27">
        <f t="shared" si="83"/>
        <v>0</v>
      </c>
      <c r="N44" s="36">
        <f t="shared" si="84"/>
        <v>0</v>
      </c>
      <c r="O44" s="2">
        <f t="shared" si="85"/>
        <v>0</v>
      </c>
      <c r="P44" s="36">
        <f t="shared" si="86"/>
        <v>0</v>
      </c>
      <c r="Q44" s="36">
        <f t="shared" si="87"/>
        <v>0</v>
      </c>
      <c r="R44" s="36">
        <f t="shared" si="88"/>
        <v>0</v>
      </c>
      <c r="S44" s="36">
        <f t="shared" si="89"/>
        <v>0</v>
      </c>
      <c r="T44" s="36">
        <f t="shared" si="90"/>
        <v>0</v>
      </c>
      <c r="U44" s="36">
        <f t="shared" si="91"/>
        <v>0</v>
      </c>
      <c r="V44" s="36">
        <f t="shared" si="92"/>
        <v>0</v>
      </c>
      <c r="W44" s="36">
        <f t="shared" si="93"/>
        <v>0</v>
      </c>
      <c r="X44" s="36">
        <f t="shared" si="94"/>
        <v>0</v>
      </c>
      <c r="Y44" s="27">
        <f t="shared" si="95"/>
        <v>0</v>
      </c>
      <c r="Z44" s="87">
        <f t="shared" si="96"/>
        <v>0</v>
      </c>
      <c r="AA44" s="27">
        <f t="shared" si="97"/>
        <v>0</v>
      </c>
      <c r="AB44" s="27">
        <f t="shared" si="98"/>
        <v>0</v>
      </c>
      <c r="AC44" s="27">
        <f t="shared" si="99"/>
        <v>0</v>
      </c>
      <c r="AD44" s="27">
        <f t="shared" si="100"/>
        <v>0</v>
      </c>
      <c r="AE44" s="27">
        <f t="shared" si="101"/>
        <v>0</v>
      </c>
      <c r="AF44" s="27">
        <f t="shared" si="102"/>
        <v>0</v>
      </c>
      <c r="AG44" s="27">
        <f t="shared" si="103"/>
        <v>0</v>
      </c>
      <c r="AH44" s="27">
        <f t="shared" si="104"/>
        <v>0</v>
      </c>
      <c r="AI44" s="27">
        <f t="shared" si="105"/>
        <v>0</v>
      </c>
      <c r="AJ44" s="27">
        <f t="shared" si="106"/>
        <v>0</v>
      </c>
      <c r="AK44" s="27">
        <f t="shared" si="107"/>
        <v>0</v>
      </c>
      <c r="AL44" s="27">
        <f t="shared" si="108"/>
        <v>0</v>
      </c>
      <c r="AM44" s="27">
        <f t="shared" si="109"/>
        <v>0</v>
      </c>
      <c r="AN44" s="27">
        <f t="shared" si="110"/>
        <v>0</v>
      </c>
      <c r="AO44" s="27">
        <f t="shared" si="111"/>
        <v>0</v>
      </c>
      <c r="AP44" s="27">
        <f t="shared" si="112"/>
        <v>0</v>
      </c>
      <c r="AQ44" s="27">
        <f t="shared" si="113"/>
        <v>0</v>
      </c>
      <c r="AR44" s="27">
        <f t="shared" si="114"/>
        <v>0</v>
      </c>
      <c r="AS44" s="27">
        <f t="shared" si="115"/>
        <v>0</v>
      </c>
      <c r="AT44" s="27">
        <f t="shared" si="116"/>
        <v>0</v>
      </c>
      <c r="AU44" s="292">
        <f>F44+J44+L44+N44+P44+R44+T44+V44+X44+Z44+AB44+AD44+AF44+AH44+AJ44+AL44+AN44+AP44+AR44+AT44</f>
        <v>316389.77857079997</v>
      </c>
      <c r="AV44" s="281">
        <f>AU44/'SUIVI RABAIS PRODUCTION ET C '!G9</f>
        <v>1028.6087927786989</v>
      </c>
      <c r="AX44" s="294">
        <f>AU46+AO36</f>
        <v>2567366.8417343707</v>
      </c>
      <c r="AY44" s="7" t="s">
        <v>158</v>
      </c>
      <c r="AZ44" s="39"/>
    </row>
    <row r="45" spans="2:109" x14ac:dyDescent="0.35">
      <c r="B45" s="27" t="s">
        <v>70</v>
      </c>
      <c r="C45" s="2">
        <f t="shared" si="75"/>
        <v>29298.84</v>
      </c>
      <c r="D45" s="104">
        <f t="shared" si="76"/>
        <v>195213.98537142857</v>
      </c>
      <c r="E45" s="2">
        <f t="shared" si="77"/>
        <v>45631.269080571423</v>
      </c>
      <c r="F45" s="28">
        <f t="shared" si="78"/>
        <v>240845.25445199999</v>
      </c>
      <c r="G45" s="121"/>
      <c r="H45" s="28">
        <f t="shared" si="79"/>
        <v>0</v>
      </c>
      <c r="I45" s="28">
        <f t="shared" si="80"/>
        <v>0</v>
      </c>
      <c r="J45" s="28">
        <f t="shared" si="81"/>
        <v>0</v>
      </c>
      <c r="K45" s="2">
        <f t="shared" si="82"/>
        <v>0</v>
      </c>
      <c r="L45" s="36">
        <f t="shared" si="118"/>
        <v>0</v>
      </c>
      <c r="M45" s="27">
        <f t="shared" si="83"/>
        <v>0</v>
      </c>
      <c r="N45" s="36">
        <f t="shared" si="84"/>
        <v>0</v>
      </c>
      <c r="O45" s="2">
        <f t="shared" si="85"/>
        <v>0</v>
      </c>
      <c r="P45" s="36">
        <f t="shared" si="86"/>
        <v>0</v>
      </c>
      <c r="Q45" s="36">
        <f t="shared" si="87"/>
        <v>0</v>
      </c>
      <c r="R45" s="36">
        <f t="shared" si="88"/>
        <v>0</v>
      </c>
      <c r="S45" s="36">
        <f t="shared" si="89"/>
        <v>0</v>
      </c>
      <c r="T45" s="36">
        <f t="shared" si="90"/>
        <v>0</v>
      </c>
      <c r="U45" s="36">
        <f t="shared" si="91"/>
        <v>0</v>
      </c>
      <c r="V45" s="36">
        <f t="shared" si="92"/>
        <v>0</v>
      </c>
      <c r="W45" s="36">
        <f t="shared" si="93"/>
        <v>0</v>
      </c>
      <c r="X45" s="36">
        <f t="shared" si="94"/>
        <v>0</v>
      </c>
      <c r="Y45" s="27">
        <f t="shared" si="95"/>
        <v>0</v>
      </c>
      <c r="Z45" s="87">
        <f t="shared" si="96"/>
        <v>0</v>
      </c>
      <c r="AA45" s="27">
        <f t="shared" si="97"/>
        <v>0</v>
      </c>
      <c r="AB45" s="27">
        <f t="shared" si="98"/>
        <v>0</v>
      </c>
      <c r="AC45" s="27">
        <f t="shared" si="99"/>
        <v>0</v>
      </c>
      <c r="AD45" s="27">
        <f t="shared" si="100"/>
        <v>0</v>
      </c>
      <c r="AE45" s="27">
        <f t="shared" si="101"/>
        <v>9931.68</v>
      </c>
      <c r="AF45" s="27">
        <f t="shared" si="102"/>
        <v>167.61838217142858</v>
      </c>
      <c r="AG45" s="27">
        <f t="shared" si="103"/>
        <v>0</v>
      </c>
      <c r="AH45" s="27">
        <f t="shared" si="104"/>
        <v>0</v>
      </c>
      <c r="AI45" s="27">
        <f t="shared" si="105"/>
        <v>0</v>
      </c>
      <c r="AJ45" s="27">
        <f t="shared" si="106"/>
        <v>0</v>
      </c>
      <c r="AK45" s="27">
        <f t="shared" si="107"/>
        <v>0</v>
      </c>
      <c r="AL45" s="27">
        <f t="shared" si="108"/>
        <v>0</v>
      </c>
      <c r="AM45" s="27">
        <f t="shared" si="109"/>
        <v>0</v>
      </c>
      <c r="AN45" s="27">
        <f t="shared" si="110"/>
        <v>0</v>
      </c>
      <c r="AO45" s="27">
        <f t="shared" si="111"/>
        <v>0</v>
      </c>
      <c r="AP45" s="27">
        <f t="shared" si="112"/>
        <v>0</v>
      </c>
      <c r="AQ45" s="27">
        <f t="shared" si="113"/>
        <v>0</v>
      </c>
      <c r="AR45" s="27">
        <f t="shared" si="114"/>
        <v>0</v>
      </c>
      <c r="AS45" s="27">
        <f t="shared" si="115"/>
        <v>0</v>
      </c>
      <c r="AT45" s="27">
        <f t="shared" si="116"/>
        <v>0</v>
      </c>
      <c r="AU45" s="292">
        <f t="shared" si="117"/>
        <v>241012.87283417143</v>
      </c>
      <c r="AV45" s="281">
        <f>AU45/'SUIVI RABAIS PRODUCTION ET C '!H9</f>
        <v>787.41790654133376</v>
      </c>
      <c r="AX45" s="295">
        <f>AX44/1000</f>
        <v>2567.3668417343706</v>
      </c>
      <c r="AY45" s="81" t="s">
        <v>159</v>
      </c>
    </row>
    <row r="46" spans="2:109" x14ac:dyDescent="0.35">
      <c r="B46" s="5" t="s">
        <v>121</v>
      </c>
      <c r="C46" s="80">
        <f>SUM(C41:C45)</f>
        <v>184687.63947749999</v>
      </c>
      <c r="D46" s="5">
        <f t="shared" ref="D46:J46" si="119">SUM(D41:D45)</f>
        <v>1230547.3578900856</v>
      </c>
      <c r="E46" s="5">
        <f t="shared" si="119"/>
        <v>287640.4449068075</v>
      </c>
      <c r="F46" s="29">
        <f t="shared" si="119"/>
        <v>1518187.8027968928</v>
      </c>
      <c r="G46" s="29">
        <f t="shared" si="119"/>
        <v>0</v>
      </c>
      <c r="H46" s="29">
        <f t="shared" si="119"/>
        <v>0</v>
      </c>
      <c r="I46" s="29">
        <f t="shared" si="119"/>
        <v>0</v>
      </c>
      <c r="J46" s="5">
        <f t="shared" si="119"/>
        <v>0</v>
      </c>
      <c r="K46" s="5">
        <f t="shared" ref="K46:AT46" si="120">SUM(K41:K45)</f>
        <v>0</v>
      </c>
      <c r="L46" s="29">
        <f t="shared" si="120"/>
        <v>0</v>
      </c>
      <c r="M46" s="5">
        <f t="shared" si="120"/>
        <v>0</v>
      </c>
      <c r="N46" s="29">
        <f t="shared" si="120"/>
        <v>0</v>
      </c>
      <c r="O46" s="5">
        <f t="shared" si="120"/>
        <v>0</v>
      </c>
      <c r="P46" s="29">
        <f t="shared" si="120"/>
        <v>0</v>
      </c>
      <c r="Q46" s="5">
        <f t="shared" si="120"/>
        <v>0</v>
      </c>
      <c r="R46" s="5">
        <f t="shared" si="120"/>
        <v>0</v>
      </c>
      <c r="S46" s="5">
        <f t="shared" si="120"/>
        <v>0</v>
      </c>
      <c r="T46" s="5">
        <f t="shared" si="120"/>
        <v>0</v>
      </c>
      <c r="U46" s="5">
        <f t="shared" si="120"/>
        <v>0</v>
      </c>
      <c r="V46" s="5">
        <f t="shared" si="120"/>
        <v>0</v>
      </c>
      <c r="W46" s="5">
        <f t="shared" si="120"/>
        <v>0</v>
      </c>
      <c r="X46" s="5">
        <f t="shared" si="120"/>
        <v>0</v>
      </c>
      <c r="Y46" s="5">
        <f t="shared" si="120"/>
        <v>0</v>
      </c>
      <c r="Z46" s="5">
        <f t="shared" si="120"/>
        <v>0</v>
      </c>
      <c r="AA46" s="5">
        <f t="shared" si="120"/>
        <v>0</v>
      </c>
      <c r="AB46" s="5">
        <f t="shared" si="120"/>
        <v>0</v>
      </c>
      <c r="AC46" s="5">
        <f t="shared" si="120"/>
        <v>0</v>
      </c>
      <c r="AD46" s="5">
        <f t="shared" si="120"/>
        <v>0</v>
      </c>
      <c r="AE46" s="5">
        <f t="shared" si="120"/>
        <v>18470.808000000001</v>
      </c>
      <c r="AF46" s="5">
        <f t="shared" si="120"/>
        <v>311.73446530285713</v>
      </c>
      <c r="AG46" s="5">
        <f t="shared" si="120"/>
        <v>778.66819999999996</v>
      </c>
      <c r="AH46" s="5">
        <f t="shared" si="120"/>
        <v>13.141694449714286</v>
      </c>
      <c r="AI46" s="5">
        <f t="shared" si="120"/>
        <v>0</v>
      </c>
      <c r="AJ46" s="5">
        <f t="shared" si="120"/>
        <v>0</v>
      </c>
      <c r="AK46" s="5">
        <f t="shared" si="120"/>
        <v>0</v>
      </c>
      <c r="AL46" s="5">
        <f t="shared" si="120"/>
        <v>0</v>
      </c>
      <c r="AM46" s="5">
        <f t="shared" si="120"/>
        <v>0</v>
      </c>
      <c r="AN46" s="5">
        <f t="shared" si="120"/>
        <v>0</v>
      </c>
      <c r="AO46" s="5">
        <f t="shared" si="120"/>
        <v>0</v>
      </c>
      <c r="AP46" s="5">
        <f t="shared" si="120"/>
        <v>0</v>
      </c>
      <c r="AQ46" s="5">
        <f t="shared" si="120"/>
        <v>0</v>
      </c>
      <c r="AR46" s="5">
        <f t="shared" si="120"/>
        <v>0</v>
      </c>
      <c r="AS46" s="5">
        <f t="shared" si="120"/>
        <v>0</v>
      </c>
      <c r="AT46" s="5">
        <f t="shared" si="120"/>
        <v>0</v>
      </c>
      <c r="AU46" s="293">
        <f>SUM(AU41:AU45)</f>
        <v>1518512.6789566455</v>
      </c>
      <c r="AV46" s="172"/>
    </row>
    <row r="47" spans="2:109" x14ac:dyDescent="0.35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5">
      <c r="B48" s="77" t="s">
        <v>160</v>
      </c>
      <c r="C48" s="77"/>
      <c r="D48" s="77"/>
      <c r="E48" s="77"/>
      <c r="F48" s="77"/>
      <c r="G48" s="77"/>
      <c r="H48" s="77"/>
      <c r="I48" s="77"/>
    </row>
    <row r="49" spans="2:18" x14ac:dyDescent="0.35">
      <c r="B49" s="40" t="s">
        <v>161</v>
      </c>
      <c r="C49" s="41"/>
      <c r="D49" s="42"/>
      <c r="E49" s="42"/>
      <c r="F49" s="42"/>
      <c r="G49" s="42"/>
      <c r="H49" s="78"/>
      <c r="I49" s="102">
        <f>0.016*44/28</f>
        <v>2.514285714285714E-2</v>
      </c>
    </row>
    <row r="50" spans="2:18" x14ac:dyDescent="0.35">
      <c r="B50" s="43" t="s">
        <v>162</v>
      </c>
      <c r="C50" s="44"/>
      <c r="D50" s="45"/>
      <c r="E50" s="45"/>
      <c r="F50" s="45"/>
      <c r="G50" s="45"/>
      <c r="H50" s="46"/>
      <c r="I50" s="102">
        <f>0.006*44/28</f>
        <v>9.4285714285714285E-3</v>
      </c>
    </row>
    <row r="51" spans="2:18" x14ac:dyDescent="0.35">
      <c r="B51" s="43" t="s">
        <v>163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</row>
    <row r="52" spans="2:18" x14ac:dyDescent="0.35">
      <c r="B52" s="43" t="s">
        <v>164</v>
      </c>
      <c r="C52" s="44"/>
      <c r="D52" s="45"/>
      <c r="E52" s="45"/>
      <c r="F52" s="45"/>
      <c r="G52" s="45"/>
      <c r="H52" s="46"/>
      <c r="I52" s="102">
        <f>0.01*0.21*44/28</f>
        <v>3.3E-3</v>
      </c>
    </row>
    <row r="53" spans="2:18" x14ac:dyDescent="0.35">
      <c r="B53" s="43" t="s">
        <v>165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</row>
    <row r="54" spans="2:18" x14ac:dyDescent="0.35">
      <c r="B54" s="43" t="s">
        <v>166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18" x14ac:dyDescent="0.35">
      <c r="B55" s="47" t="s">
        <v>167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18" x14ac:dyDescent="0.35">
      <c r="B57" s="77" t="s">
        <v>168</v>
      </c>
      <c r="C57" s="70"/>
      <c r="D57" s="70"/>
      <c r="E57" s="70"/>
      <c r="F57" s="70"/>
      <c r="G57" s="70"/>
      <c r="H57" s="70"/>
      <c r="I57" s="70"/>
    </row>
    <row r="58" spans="2:18" x14ac:dyDescent="0.35">
      <c r="B58" s="82" t="s">
        <v>169</v>
      </c>
      <c r="C58" s="83"/>
      <c r="D58" s="83"/>
      <c r="E58" s="83"/>
      <c r="F58" s="83"/>
      <c r="G58" s="83"/>
      <c r="H58" s="83"/>
      <c r="I58" s="84">
        <v>265</v>
      </c>
    </row>
    <row r="60" spans="2:18" x14ac:dyDescent="0.35">
      <c r="B60" s="77" t="s">
        <v>170</v>
      </c>
      <c r="C60" s="77"/>
      <c r="D60" s="77"/>
      <c r="E60" s="77"/>
      <c r="F60" s="77"/>
      <c r="G60" s="77"/>
      <c r="H60" s="77"/>
      <c r="I60" s="77"/>
    </row>
    <row r="61" spans="2:18" x14ac:dyDescent="0.35">
      <c r="C61" s="375" t="s">
        <v>29</v>
      </c>
      <c r="D61" s="376"/>
      <c r="E61" s="376"/>
      <c r="F61" s="376"/>
      <c r="G61" s="376"/>
      <c r="H61" s="377"/>
      <c r="I61" s="375" t="s">
        <v>124</v>
      </c>
      <c r="J61" s="376"/>
      <c r="K61" s="376"/>
      <c r="L61" s="376"/>
      <c r="M61" s="376"/>
      <c r="N61" s="376"/>
      <c r="O61" s="376"/>
      <c r="P61" s="376"/>
      <c r="Q61" s="376"/>
      <c r="R61" s="377"/>
    </row>
    <row r="62" spans="2:18" x14ac:dyDescent="0.35">
      <c r="C62" s="363">
        <f>BQ5</f>
        <v>0</v>
      </c>
      <c r="D62" s="363">
        <f>BT5</f>
        <v>0</v>
      </c>
      <c r="E62" s="363">
        <f>BW5</f>
        <v>0</v>
      </c>
      <c r="F62" s="363">
        <f>BZ5</f>
        <v>0</v>
      </c>
      <c r="G62" s="363">
        <f>CC5</f>
        <v>0</v>
      </c>
      <c r="H62" s="363">
        <f>CF5</f>
        <v>0</v>
      </c>
      <c r="I62" s="366" t="s">
        <v>50</v>
      </c>
      <c r="J62" s="366" t="s">
        <v>51</v>
      </c>
      <c r="K62" s="366" t="s">
        <v>52</v>
      </c>
      <c r="L62" s="372" t="s">
        <v>53</v>
      </c>
      <c r="M62" s="372" t="s">
        <v>54</v>
      </c>
      <c r="N62" s="372" t="s">
        <v>55</v>
      </c>
      <c r="O62" s="372" t="s">
        <v>56</v>
      </c>
      <c r="P62" s="372" t="s">
        <v>57</v>
      </c>
      <c r="Q62" s="372" t="s">
        <v>58</v>
      </c>
      <c r="R62" s="372" t="s">
        <v>59</v>
      </c>
    </row>
    <row r="63" spans="2:18" x14ac:dyDescent="0.35">
      <c r="C63" s="364"/>
      <c r="D63" s="364"/>
      <c r="E63" s="364"/>
      <c r="F63" s="364"/>
      <c r="G63" s="364"/>
      <c r="H63" s="364"/>
      <c r="I63" s="367"/>
      <c r="J63" s="367"/>
      <c r="K63" s="367"/>
      <c r="L63" s="373"/>
      <c r="M63" s="373"/>
      <c r="N63" s="373"/>
      <c r="O63" s="373"/>
      <c r="P63" s="373"/>
      <c r="Q63" s="373"/>
      <c r="R63" s="373"/>
    </row>
    <row r="64" spans="2:18" ht="22.9" customHeight="1" x14ac:dyDescent="0.35">
      <c r="C64" s="365"/>
      <c r="D64" s="365"/>
      <c r="E64" s="365"/>
      <c r="F64" s="365"/>
      <c r="G64" s="365"/>
      <c r="H64" s="365"/>
      <c r="I64" s="367"/>
      <c r="J64" s="367"/>
      <c r="K64" s="367"/>
      <c r="L64" s="373"/>
      <c r="M64" s="373"/>
      <c r="N64" s="373"/>
      <c r="O64" s="373"/>
      <c r="P64" s="373"/>
      <c r="Q64" s="373"/>
      <c r="R64" s="373"/>
    </row>
    <row r="65" spans="2:27" x14ac:dyDescent="0.35">
      <c r="B65" s="52" t="s">
        <v>171</v>
      </c>
      <c r="C65" s="169"/>
      <c r="D65" s="169"/>
      <c r="E65" s="169"/>
      <c r="F65" s="169"/>
      <c r="G65" s="169"/>
      <c r="H65" s="169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  <row r="69" spans="2:27" x14ac:dyDescent="0.35">
      <c r="U69" s="172"/>
      <c r="V69" s="172"/>
      <c r="W69" s="172"/>
      <c r="X69" s="172"/>
      <c r="Y69" s="172"/>
      <c r="Z69" s="172"/>
      <c r="AA69" s="172"/>
    </row>
    <row r="70" spans="2:27" x14ac:dyDescent="0.35">
      <c r="U70" s="172"/>
      <c r="V70" s="172"/>
      <c r="W70" s="172"/>
      <c r="X70" s="172"/>
      <c r="Y70" s="172"/>
      <c r="Z70" s="172"/>
      <c r="AA70" s="172"/>
    </row>
    <row r="71" spans="2:27" x14ac:dyDescent="0.35">
      <c r="U71" s="172"/>
      <c r="V71" s="172"/>
      <c r="W71" s="172"/>
      <c r="X71" s="172"/>
      <c r="Y71" s="172"/>
      <c r="Z71" s="172"/>
      <c r="AA71" s="172"/>
    </row>
    <row r="72" spans="2:27" x14ac:dyDescent="0.35">
      <c r="U72" s="172"/>
      <c r="V72" s="172"/>
      <c r="W72" s="172"/>
      <c r="X72" s="172"/>
      <c r="Y72" s="172"/>
      <c r="Z72" s="172"/>
      <c r="AA72" s="172"/>
    </row>
    <row r="73" spans="2:27" x14ac:dyDescent="0.35">
      <c r="E73" s="170"/>
      <c r="U73" s="172"/>
      <c r="V73" s="172"/>
      <c r="W73" s="172"/>
      <c r="X73" s="172"/>
      <c r="Y73" s="172"/>
      <c r="Z73" s="172"/>
      <c r="AA73" s="172"/>
    </row>
    <row r="74" spans="2:27" x14ac:dyDescent="0.35">
      <c r="L74" s="170"/>
      <c r="U74" s="172"/>
      <c r="V74" s="172"/>
      <c r="W74" s="172"/>
      <c r="X74" s="172"/>
      <c r="Y74" s="172"/>
      <c r="Z74" s="172"/>
      <c r="AA74" s="172"/>
    </row>
    <row r="75" spans="2:27" x14ac:dyDescent="0.35">
      <c r="E75" s="170"/>
      <c r="U75" s="172"/>
      <c r="V75" s="172"/>
      <c r="W75" s="172"/>
      <c r="X75" s="172"/>
      <c r="Y75" s="172"/>
      <c r="Z75" s="172"/>
      <c r="AA75" s="172"/>
    </row>
    <row r="76" spans="2:27" x14ac:dyDescent="0.35">
      <c r="U76" s="172"/>
      <c r="V76" s="172"/>
      <c r="W76" s="172"/>
      <c r="X76" s="172"/>
      <c r="Y76" s="172"/>
      <c r="Z76" s="172"/>
      <c r="AA76" s="172"/>
    </row>
    <row r="77" spans="2:27" x14ac:dyDescent="0.35">
      <c r="E77" s="170"/>
      <c r="U77" s="172"/>
      <c r="V77" s="172"/>
      <c r="W77" s="172"/>
      <c r="X77" s="172"/>
      <c r="Y77" s="172"/>
      <c r="Z77" s="172"/>
      <c r="AA77" s="172"/>
    </row>
    <row r="78" spans="2:27" x14ac:dyDescent="0.35">
      <c r="U78" s="172"/>
      <c r="V78" s="172"/>
      <c r="W78" s="172"/>
      <c r="X78" s="172"/>
      <c r="Y78" s="172"/>
      <c r="Z78" s="172"/>
      <c r="AA78" s="172"/>
    </row>
    <row r="79" spans="2:27" x14ac:dyDescent="0.35">
      <c r="U79" s="172"/>
      <c r="V79" s="172"/>
      <c r="W79" s="172"/>
      <c r="X79" s="172"/>
      <c r="Y79" s="172"/>
      <c r="Z79" s="172"/>
      <c r="AA79" s="172"/>
    </row>
    <row r="80" spans="2:27" x14ac:dyDescent="0.35">
      <c r="U80" s="172"/>
      <c r="V80" s="172"/>
      <c r="W80" s="172"/>
      <c r="X80" s="172"/>
      <c r="Y80" s="172"/>
      <c r="Z80" s="172"/>
      <c r="AA80" s="172"/>
    </row>
    <row r="81" spans="21:27" x14ac:dyDescent="0.35">
      <c r="U81" s="172"/>
      <c r="V81" s="172"/>
      <c r="W81" s="172"/>
      <c r="X81" s="172"/>
      <c r="Y81" s="172"/>
      <c r="Z81" s="172"/>
      <c r="AA81" s="172"/>
    </row>
    <row r="82" spans="21:27" x14ac:dyDescent="0.35">
      <c r="U82" s="172"/>
      <c r="V82" s="172"/>
      <c r="W82" s="172"/>
      <c r="X82" s="172"/>
      <c r="Y82" s="172"/>
      <c r="Z82" s="172"/>
      <c r="AA82" s="172"/>
    </row>
    <row r="83" spans="21:27" x14ac:dyDescent="0.35">
      <c r="U83" s="172"/>
      <c r="V83" s="172"/>
      <c r="W83" s="172"/>
      <c r="X83" s="172"/>
      <c r="Y83" s="172"/>
      <c r="Z83" s="172"/>
      <c r="AA83" s="172"/>
    </row>
    <row r="84" spans="21:27" x14ac:dyDescent="0.35">
      <c r="U84" s="172"/>
      <c r="V84" s="172"/>
      <c r="W84" s="172"/>
      <c r="X84" s="172"/>
      <c r="Y84" s="172"/>
      <c r="Z84" s="172"/>
      <c r="AA84" s="172"/>
    </row>
    <row r="85" spans="21:27" x14ac:dyDescent="0.35">
      <c r="U85" s="172"/>
      <c r="V85" s="172"/>
      <c r="W85" s="172"/>
      <c r="X85" s="172"/>
      <c r="Y85" s="172"/>
      <c r="Z85" s="172"/>
      <c r="AA85" s="172"/>
    </row>
    <row r="86" spans="21:27" x14ac:dyDescent="0.35">
      <c r="U86" s="172"/>
      <c r="V86" s="172"/>
      <c r="W86" s="172"/>
      <c r="X86" s="172"/>
      <c r="Y86" s="172"/>
      <c r="Z86" s="172"/>
      <c r="AA86" s="172"/>
    </row>
    <row r="87" spans="21:27" x14ac:dyDescent="0.35">
      <c r="U87" s="172"/>
      <c r="V87" s="172"/>
      <c r="W87" s="172"/>
      <c r="X87" s="172"/>
      <c r="Y87" s="172"/>
      <c r="Z87" s="172"/>
      <c r="AA87" s="172"/>
    </row>
  </sheetData>
  <mergeCells count="231">
    <mergeCell ref="AJ5:AL5"/>
    <mergeCell ref="AA28:AA30"/>
    <mergeCell ref="AB28:AB30"/>
    <mergeCell ref="AV39:AV40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R62:R64"/>
    <mergeCell ref="I61:R61"/>
    <mergeCell ref="AU39:AU40"/>
    <mergeCell ref="EG15:EH17"/>
    <mergeCell ref="EH19:EH23"/>
    <mergeCell ref="C61:H61"/>
    <mergeCell ref="C62:C64"/>
    <mergeCell ref="D62:D64"/>
    <mergeCell ref="E62:E64"/>
    <mergeCell ref="F62:F64"/>
    <mergeCell ref="G62:G64"/>
    <mergeCell ref="H62:H64"/>
    <mergeCell ref="AK28:AK30"/>
    <mergeCell ref="AL28:AL30"/>
    <mergeCell ref="N29:N30"/>
    <mergeCell ref="P29:P30"/>
    <mergeCell ref="C39:F39"/>
    <mergeCell ref="R28:S28"/>
    <mergeCell ref="R29:R30"/>
    <mergeCell ref="W28:W30"/>
    <mergeCell ref="X28:X30"/>
    <mergeCell ref="Y28:Y30"/>
    <mergeCell ref="AH28:AH30"/>
    <mergeCell ref="AI28:AI30"/>
    <mergeCell ref="AJ28:AJ30"/>
    <mergeCell ref="AA39:AT39"/>
    <mergeCell ref="Z28:Z30"/>
    <mergeCell ref="BJ17:BL17"/>
    <mergeCell ref="BN5:BP5"/>
    <mergeCell ref="AY5:BA5"/>
    <mergeCell ref="BE19:BE23"/>
    <mergeCell ref="AT19:AT23"/>
    <mergeCell ref="DO14:EH14"/>
    <mergeCell ref="DP19:DP23"/>
    <mergeCell ref="DQ15:DR17"/>
    <mergeCell ref="DS15:DT17"/>
    <mergeCell ref="DR19:DR23"/>
    <mergeCell ref="DT19:DT23"/>
    <mergeCell ref="DV19:DV23"/>
    <mergeCell ref="DU15:DV17"/>
    <mergeCell ref="DW15:DX17"/>
    <mergeCell ref="DX19:DX23"/>
    <mergeCell ref="DY15:DZ17"/>
    <mergeCell ref="DZ19:DZ23"/>
    <mergeCell ref="EB19:EB23"/>
    <mergeCell ref="EA15:EB17"/>
    <mergeCell ref="EC15:ED17"/>
    <mergeCell ref="ED19:ED23"/>
    <mergeCell ref="EE15:EF17"/>
    <mergeCell ref="DO15:DP17"/>
    <mergeCell ref="EF19:EF23"/>
    <mergeCell ref="CF5:CH5"/>
    <mergeCell ref="BW5:BY5"/>
    <mergeCell ref="BZ5:CB5"/>
    <mergeCell ref="CC5:CE5"/>
    <mergeCell ref="BA19:BA23"/>
    <mergeCell ref="BB16:BH16"/>
    <mergeCell ref="BB17:BB18"/>
    <mergeCell ref="BT5:BV5"/>
    <mergeCell ref="AG4:AU4"/>
    <mergeCell ref="AW19:AW23"/>
    <mergeCell ref="AV4:AX4"/>
    <mergeCell ref="BE5:BG5"/>
    <mergeCell ref="BH5:BJ5"/>
    <mergeCell ref="BK5:BM5"/>
    <mergeCell ref="BE4:BP4"/>
    <mergeCell ref="BB4:BD4"/>
    <mergeCell ref="BQ4:CH4"/>
    <mergeCell ref="AP5:AR5"/>
    <mergeCell ref="AS5:AU5"/>
    <mergeCell ref="BN17:BP17"/>
    <mergeCell ref="BP19:BP23"/>
    <mergeCell ref="AQ15:BP15"/>
    <mergeCell ref="BI16:BL16"/>
    <mergeCell ref="BI17:BI18"/>
    <mergeCell ref="DD19:DD23"/>
    <mergeCell ref="DF19:DF23"/>
    <mergeCell ref="DH19:DH23"/>
    <mergeCell ref="B13:CX13"/>
    <mergeCell ref="AM17:AP17"/>
    <mergeCell ref="AI16:AP16"/>
    <mergeCell ref="AI17:AL17"/>
    <mergeCell ref="CP19:CP23"/>
    <mergeCell ref="C17:F17"/>
    <mergeCell ref="C14:BR14"/>
    <mergeCell ref="S17:V17"/>
    <mergeCell ref="BM16:BP16"/>
    <mergeCell ref="BM17:BM18"/>
    <mergeCell ref="CQ15:CT17"/>
    <mergeCell ref="CK15:CL17"/>
    <mergeCell ref="BC17:BE17"/>
    <mergeCell ref="BF17:BH17"/>
    <mergeCell ref="BL19:BL23"/>
    <mergeCell ref="BH19:BH23"/>
    <mergeCell ref="CA17:CA18"/>
    <mergeCell ref="CA16:CJ16"/>
    <mergeCell ref="CM15:CP17"/>
    <mergeCell ref="CU15:CX17"/>
    <mergeCell ref="CX19:CX23"/>
    <mergeCell ref="CJ3:CM3"/>
    <mergeCell ref="CI4:DL4"/>
    <mergeCell ref="CI5:CK5"/>
    <mergeCell ref="CL5:CN5"/>
    <mergeCell ref="CO5:CQ5"/>
    <mergeCell ref="CR5:CT5"/>
    <mergeCell ref="CU5:CW5"/>
    <mergeCell ref="CX5:CZ5"/>
    <mergeCell ref="DA5:DC5"/>
    <mergeCell ref="DD5:DF5"/>
    <mergeCell ref="DG5:DI5"/>
    <mergeCell ref="DJ5:DL5"/>
    <mergeCell ref="B39:B40"/>
    <mergeCell ref="B14:B18"/>
    <mergeCell ref="F19:F23"/>
    <mergeCell ref="J19:J23"/>
    <mergeCell ref="N19:N23"/>
    <mergeCell ref="K39:N39"/>
    <mergeCell ref="K29:L29"/>
    <mergeCell ref="M29:M30"/>
    <mergeCell ref="B27:B30"/>
    <mergeCell ref="C16:Z16"/>
    <mergeCell ref="O39:Z39"/>
    <mergeCell ref="B1:CH2"/>
    <mergeCell ref="AY4:BA4"/>
    <mergeCell ref="C4:AF4"/>
    <mergeCell ref="BP3:BS3"/>
    <mergeCell ref="G17:J17"/>
    <mergeCell ref="K17:N17"/>
    <mergeCell ref="R5:T5"/>
    <mergeCell ref="U5:W5"/>
    <mergeCell ref="X5:Z5"/>
    <mergeCell ref="AA5:AC5"/>
    <mergeCell ref="AD5:AF5"/>
    <mergeCell ref="AG5:AI5"/>
    <mergeCell ref="AM5:AO5"/>
    <mergeCell ref="BQ16:BZ16"/>
    <mergeCell ref="CH17:CJ17"/>
    <mergeCell ref="O17:R17"/>
    <mergeCell ref="AA17:AD17"/>
    <mergeCell ref="CB17:CD17"/>
    <mergeCell ref="AX16:BA16"/>
    <mergeCell ref="AX17:AX18"/>
    <mergeCell ref="AY17:BA17"/>
    <mergeCell ref="AR17:AT17"/>
    <mergeCell ref="AQ17:AQ18"/>
    <mergeCell ref="BQ5:BS5"/>
    <mergeCell ref="C5:E5"/>
    <mergeCell ref="F5:H5"/>
    <mergeCell ref="T28:T30"/>
    <mergeCell ref="AH19:AH23"/>
    <mergeCell ref="AL19:AL23"/>
    <mergeCell ref="AP19:AP23"/>
    <mergeCell ref="C28:L28"/>
    <mergeCell ref="C29:H29"/>
    <mergeCell ref="I29:J29"/>
    <mergeCell ref="AA16:AH16"/>
    <mergeCell ref="C15:AP15"/>
    <mergeCell ref="M28:Q28"/>
    <mergeCell ref="Y27:AD27"/>
    <mergeCell ref="AP27:AP30"/>
    <mergeCell ref="AD28:AD30"/>
    <mergeCell ref="Z19:Z23"/>
    <mergeCell ref="AD19:AD23"/>
    <mergeCell ref="AO27:AO30"/>
    <mergeCell ref="V19:V23"/>
    <mergeCell ref="O29:O30"/>
    <mergeCell ref="Q29:Q30"/>
    <mergeCell ref="S29:S30"/>
    <mergeCell ref="U27:X27"/>
    <mergeCell ref="U28:U30"/>
    <mergeCell ref="AX41:AZ43"/>
    <mergeCell ref="I5:K5"/>
    <mergeCell ref="L5:N5"/>
    <mergeCell ref="O5:Q5"/>
    <mergeCell ref="AV5:AX5"/>
    <mergeCell ref="R19:R23"/>
    <mergeCell ref="G39:J39"/>
    <mergeCell ref="CG19:CG23"/>
    <mergeCell ref="CD19:CD23"/>
    <mergeCell ref="CE17:CG17"/>
    <mergeCell ref="AQ16:AW16"/>
    <mergeCell ref="AU17:AW17"/>
    <mergeCell ref="BT19:BT23"/>
    <mergeCell ref="V28:V30"/>
    <mergeCell ref="AE28:AE30"/>
    <mergeCell ref="AF28:AF30"/>
    <mergeCell ref="AG28:AG30"/>
    <mergeCell ref="BB5:BD5"/>
    <mergeCell ref="AN28:AN30"/>
    <mergeCell ref="AE27:AN27"/>
    <mergeCell ref="W17:Z17"/>
    <mergeCell ref="AE17:AH17"/>
    <mergeCell ref="AM28:AM30"/>
    <mergeCell ref="AC28:AC30"/>
    <mergeCell ref="DJ19:DJ23"/>
    <mergeCell ref="DL19:DL23"/>
    <mergeCell ref="DN19:DN23"/>
    <mergeCell ref="DC14:DN14"/>
    <mergeCell ref="BQ17:BQ18"/>
    <mergeCell ref="BR17:BT17"/>
    <mergeCell ref="BU17:BW17"/>
    <mergeCell ref="BX17:BZ17"/>
    <mergeCell ref="DB19:DB23"/>
    <mergeCell ref="DC15:DD17"/>
    <mergeCell ref="DI15:DJ17"/>
    <mergeCell ref="DK15:DL17"/>
    <mergeCell ref="CY15:DB17"/>
    <mergeCell ref="DM15:DN17"/>
    <mergeCell ref="DE15:DF17"/>
    <mergeCell ref="DG15:DH17"/>
    <mergeCell ref="CM14:DB14"/>
    <mergeCell ref="CK14:CL14"/>
    <mergeCell ref="BW19:BW23"/>
    <mergeCell ref="BZ19:BZ23"/>
    <mergeCell ref="CJ19:CJ23"/>
    <mergeCell ref="CL19:CL23"/>
    <mergeCell ref="BQ15:CJ15"/>
    <mergeCell ref="CT19:CT23"/>
  </mergeCells>
  <phoneticPr fontId="9" type="noConversion"/>
  <pageMargins left="0.25" right="0.25" top="0.75" bottom="0.75" header="0.3" footer="0.3"/>
  <pageSetup paperSize="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H65"/>
  <sheetViews>
    <sheetView topLeftCell="A14" zoomScale="70" zoomScaleNormal="70" workbookViewId="0">
      <pane xSplit="2" topLeftCell="C1" activePane="topRight" state="frozenSplit"/>
      <selection pane="topRight" activeCell="G37" sqref="G37"/>
    </sheetView>
  </sheetViews>
  <sheetFormatPr baseColWidth="10" defaultColWidth="11.453125" defaultRowHeight="14.5" x14ac:dyDescent="0.35"/>
  <cols>
    <col min="53" max="53" width="21" customWidth="1"/>
    <col min="54" max="54" width="19" bestFit="1" customWidth="1"/>
  </cols>
  <sheetData>
    <row r="1" spans="1:138" ht="15" customHeight="1" x14ac:dyDescent="0.35">
      <c r="A1" s="7"/>
      <c r="B1" s="392" t="s">
        <v>172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392"/>
      <c r="AI1" s="392"/>
      <c r="AJ1" s="392"/>
      <c r="AK1" s="392"/>
      <c r="AL1" s="392"/>
      <c r="AM1" s="392"/>
      <c r="AN1" s="392"/>
      <c r="AO1" s="392"/>
      <c r="AP1" s="392"/>
      <c r="AQ1" s="392"/>
      <c r="AR1" s="392"/>
      <c r="AS1" s="392"/>
      <c r="AT1" s="392"/>
      <c r="AU1" s="392"/>
      <c r="AV1" s="392"/>
      <c r="AW1" s="392"/>
      <c r="AX1" s="392"/>
      <c r="AY1" s="392"/>
      <c r="AZ1" s="392"/>
      <c r="BA1" s="392"/>
      <c r="BB1" s="392"/>
      <c r="BC1" s="392"/>
      <c r="BD1" s="392"/>
      <c r="BE1" s="392"/>
      <c r="BF1" s="392"/>
      <c r="BG1" s="392"/>
      <c r="BH1" s="392"/>
      <c r="BI1" s="392"/>
      <c r="BJ1" s="392"/>
      <c r="BK1" s="392"/>
      <c r="BL1" s="392"/>
      <c r="BM1" s="392"/>
      <c r="BN1" s="392"/>
      <c r="BO1" s="392"/>
      <c r="BP1" s="392"/>
      <c r="BQ1" s="392"/>
      <c r="BR1" s="392"/>
      <c r="BS1" s="392"/>
      <c r="BT1" s="392"/>
      <c r="BU1" s="392"/>
      <c r="BV1" s="392"/>
      <c r="BW1" s="392"/>
      <c r="BX1" s="392"/>
      <c r="BY1" s="392"/>
      <c r="BZ1" s="392"/>
      <c r="CA1" s="392"/>
      <c r="CB1" s="392"/>
      <c r="CC1" s="392"/>
      <c r="CD1" s="392"/>
      <c r="CE1" s="392"/>
      <c r="CF1" s="392"/>
      <c r="CG1" s="392"/>
      <c r="CH1" s="392"/>
    </row>
    <row r="2" spans="1:138" ht="15" customHeight="1" x14ac:dyDescent="0.35"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392"/>
      <c r="AI2" s="392"/>
      <c r="AJ2" s="392"/>
      <c r="AK2" s="392"/>
      <c r="AL2" s="392"/>
      <c r="AM2" s="392"/>
      <c r="AN2" s="392"/>
      <c r="AO2" s="392"/>
      <c r="AP2" s="392"/>
      <c r="AQ2" s="392"/>
      <c r="AR2" s="392"/>
      <c r="AS2" s="392"/>
      <c r="AT2" s="392"/>
      <c r="AU2" s="392"/>
      <c r="AV2" s="392"/>
      <c r="AW2" s="392"/>
      <c r="AX2" s="392"/>
      <c r="AY2" s="392"/>
      <c r="AZ2" s="392"/>
      <c r="BA2" s="392"/>
      <c r="BB2" s="392"/>
      <c r="BC2" s="392"/>
      <c r="BD2" s="392"/>
      <c r="BE2" s="392"/>
      <c r="BF2" s="392"/>
      <c r="BG2" s="392"/>
      <c r="BH2" s="392"/>
      <c r="BI2" s="392"/>
      <c r="BJ2" s="392"/>
      <c r="BK2" s="392"/>
      <c r="BL2" s="392"/>
      <c r="BM2" s="392"/>
      <c r="BN2" s="392"/>
      <c r="BO2" s="392"/>
      <c r="BP2" s="392"/>
      <c r="BQ2" s="392"/>
      <c r="BR2" s="392"/>
      <c r="BS2" s="392"/>
      <c r="BT2" s="392"/>
      <c r="BU2" s="392"/>
      <c r="BV2" s="392"/>
      <c r="BW2" s="392"/>
      <c r="BX2" s="392"/>
      <c r="BY2" s="392"/>
      <c r="BZ2" s="392"/>
      <c r="CA2" s="392"/>
      <c r="CB2" s="392"/>
      <c r="CC2" s="392"/>
      <c r="CD2" s="392"/>
      <c r="CE2" s="392"/>
      <c r="CF2" s="392"/>
      <c r="CG2" s="392"/>
      <c r="CH2" s="392"/>
    </row>
    <row r="3" spans="1:138" ht="15" customHeight="1" thickBot="1" x14ac:dyDescent="0.8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394"/>
      <c r="BQ3" s="394"/>
      <c r="BR3" s="394"/>
      <c r="BS3" s="394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2"/>
      <c r="CG3" s="232"/>
      <c r="CH3" s="232"/>
      <c r="CI3" s="232"/>
      <c r="CJ3" s="394"/>
      <c r="CK3" s="394"/>
      <c r="CL3" s="394"/>
      <c r="CM3" s="394"/>
      <c r="CN3" s="231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8" ht="15" customHeight="1" x14ac:dyDescent="0.75">
      <c r="B4" s="12"/>
      <c r="C4" s="380" t="s">
        <v>24</v>
      </c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381"/>
      <c r="AE4" s="381"/>
      <c r="AF4" s="382"/>
      <c r="AG4" s="380" t="s">
        <v>25</v>
      </c>
      <c r="AH4" s="381"/>
      <c r="AI4" s="381"/>
      <c r="AJ4" s="381"/>
      <c r="AK4" s="381"/>
      <c r="AL4" s="381"/>
      <c r="AM4" s="381"/>
      <c r="AN4" s="381"/>
      <c r="AO4" s="381"/>
      <c r="AP4" s="381"/>
      <c r="AQ4" s="381"/>
      <c r="AR4" s="381"/>
      <c r="AS4" s="381"/>
      <c r="AT4" s="381"/>
      <c r="AU4" s="382"/>
      <c r="AV4" s="380" t="s">
        <v>26</v>
      </c>
      <c r="AW4" s="381"/>
      <c r="AX4" s="440"/>
      <c r="AY4" s="393" t="s">
        <v>26</v>
      </c>
      <c r="AZ4" s="381"/>
      <c r="BA4" s="382"/>
      <c r="BB4" s="446" t="s">
        <v>27</v>
      </c>
      <c r="BC4" s="447"/>
      <c r="BD4" s="448"/>
      <c r="BE4" s="443" t="s">
        <v>28</v>
      </c>
      <c r="BF4" s="444"/>
      <c r="BG4" s="444"/>
      <c r="BH4" s="444"/>
      <c r="BI4" s="444"/>
      <c r="BJ4" s="444"/>
      <c r="BK4" s="444"/>
      <c r="BL4" s="444"/>
      <c r="BM4" s="444"/>
      <c r="BN4" s="444"/>
      <c r="BO4" s="444"/>
      <c r="BP4" s="445"/>
      <c r="BQ4" s="449" t="s">
        <v>29</v>
      </c>
      <c r="BR4" s="411"/>
      <c r="BS4" s="411"/>
      <c r="BT4" s="411"/>
      <c r="BU4" s="411"/>
      <c r="BV4" s="411"/>
      <c r="BW4" s="411"/>
      <c r="BX4" s="411"/>
      <c r="BY4" s="411"/>
      <c r="BZ4" s="411"/>
      <c r="CA4" s="411"/>
      <c r="CB4" s="411"/>
      <c r="CC4" s="411"/>
      <c r="CD4" s="411"/>
      <c r="CE4" s="411"/>
      <c r="CF4" s="411"/>
      <c r="CG4" s="411"/>
      <c r="CH4" s="412"/>
      <c r="CI4" s="449" t="s">
        <v>29</v>
      </c>
      <c r="CJ4" s="411"/>
      <c r="CK4" s="411"/>
      <c r="CL4" s="411"/>
      <c r="CM4" s="411"/>
      <c r="CN4" s="411"/>
      <c r="CO4" s="411"/>
      <c r="CP4" s="411"/>
      <c r="CQ4" s="411"/>
      <c r="CR4" s="411"/>
      <c r="CS4" s="411"/>
      <c r="CT4" s="411"/>
      <c r="CU4" s="411"/>
      <c r="CV4" s="411"/>
      <c r="CW4" s="411"/>
      <c r="CX4" s="411"/>
      <c r="CY4" s="411"/>
      <c r="CZ4" s="411"/>
      <c r="DA4" s="411"/>
      <c r="DB4" s="411"/>
      <c r="DC4" s="411"/>
      <c r="DD4" s="411"/>
      <c r="DE4" s="411"/>
      <c r="DF4" s="411"/>
      <c r="DG4" s="411"/>
      <c r="DH4" s="411"/>
      <c r="DI4" s="411"/>
      <c r="DJ4" s="411"/>
      <c r="DK4" s="411"/>
      <c r="DL4" s="412"/>
    </row>
    <row r="5" spans="1:138" s="67" customFormat="1" ht="30" customHeight="1" x14ac:dyDescent="0.35">
      <c r="B5" s="68"/>
      <c r="C5" s="356" t="s">
        <v>30</v>
      </c>
      <c r="D5" s="355"/>
      <c r="E5" s="355"/>
      <c r="F5" s="355" t="s">
        <v>31</v>
      </c>
      <c r="G5" s="355"/>
      <c r="H5" s="355"/>
      <c r="I5" s="355" t="s">
        <v>32</v>
      </c>
      <c r="J5" s="355"/>
      <c r="K5" s="355"/>
      <c r="L5" s="355" t="s">
        <v>33</v>
      </c>
      <c r="M5" s="355"/>
      <c r="N5" s="355"/>
      <c r="O5" s="355" t="s">
        <v>34</v>
      </c>
      <c r="P5" s="355"/>
      <c r="Q5" s="355"/>
      <c r="R5" s="355" t="s">
        <v>273</v>
      </c>
      <c r="S5" s="355"/>
      <c r="T5" s="355"/>
      <c r="U5" s="355" t="s">
        <v>36</v>
      </c>
      <c r="V5" s="355"/>
      <c r="W5" s="355"/>
      <c r="X5" s="355" t="s">
        <v>37</v>
      </c>
      <c r="Y5" s="355"/>
      <c r="Z5" s="355"/>
      <c r="AA5" s="355" t="s">
        <v>38</v>
      </c>
      <c r="AB5" s="355"/>
      <c r="AC5" s="355"/>
      <c r="AD5" s="355" t="s">
        <v>39</v>
      </c>
      <c r="AE5" s="355"/>
      <c r="AF5" s="395"/>
      <c r="AG5" s="356" t="s">
        <v>40</v>
      </c>
      <c r="AH5" s="355"/>
      <c r="AI5" s="355"/>
      <c r="AJ5" s="383" t="s">
        <v>41</v>
      </c>
      <c r="AK5" s="384"/>
      <c r="AL5" s="385"/>
      <c r="AM5" s="355" t="s">
        <v>42</v>
      </c>
      <c r="AN5" s="355"/>
      <c r="AO5" s="355"/>
      <c r="AP5" s="355" t="s">
        <v>43</v>
      </c>
      <c r="AQ5" s="355"/>
      <c r="AR5" s="355"/>
      <c r="AS5" s="355" t="s">
        <v>275</v>
      </c>
      <c r="AT5" s="355"/>
      <c r="AU5" s="395"/>
      <c r="AV5" s="356" t="s">
        <v>44</v>
      </c>
      <c r="AW5" s="355"/>
      <c r="AX5" s="355"/>
      <c r="AY5" s="355" t="s">
        <v>277</v>
      </c>
      <c r="AZ5" s="355"/>
      <c r="BA5" s="395"/>
      <c r="BB5" s="369" t="s">
        <v>274</v>
      </c>
      <c r="BC5" s="370"/>
      <c r="BD5" s="371"/>
      <c r="BE5" s="441" t="s">
        <v>45</v>
      </c>
      <c r="BF5" s="442"/>
      <c r="BG5" s="442"/>
      <c r="BH5" s="442" t="s">
        <v>46</v>
      </c>
      <c r="BI5" s="442"/>
      <c r="BJ5" s="442"/>
      <c r="BK5" s="442" t="s">
        <v>47</v>
      </c>
      <c r="BL5" s="442"/>
      <c r="BM5" s="442"/>
      <c r="BN5" s="442" t="s">
        <v>48</v>
      </c>
      <c r="BO5" s="442"/>
      <c r="BP5" s="451"/>
      <c r="BQ5" s="482"/>
      <c r="BR5" s="483"/>
      <c r="BS5" s="483"/>
      <c r="BT5" s="483"/>
      <c r="BU5" s="483"/>
      <c r="BV5" s="483"/>
      <c r="BW5" s="483"/>
      <c r="BX5" s="483"/>
      <c r="BY5" s="483"/>
      <c r="BZ5" s="483"/>
      <c r="CA5" s="483"/>
      <c r="CB5" s="483"/>
      <c r="CC5" s="483"/>
      <c r="CD5" s="483"/>
      <c r="CE5" s="483"/>
      <c r="CF5" s="483"/>
      <c r="CG5" s="483"/>
      <c r="CH5" s="484"/>
      <c r="CI5" s="481" t="s">
        <v>50</v>
      </c>
      <c r="CJ5" s="413"/>
      <c r="CK5" s="413"/>
      <c r="CL5" s="413" t="s">
        <v>51</v>
      </c>
      <c r="CM5" s="413"/>
      <c r="CN5" s="413"/>
      <c r="CO5" s="413" t="s">
        <v>52</v>
      </c>
      <c r="CP5" s="413"/>
      <c r="CQ5" s="413"/>
      <c r="CR5" s="413" t="s">
        <v>53</v>
      </c>
      <c r="CS5" s="413"/>
      <c r="CT5" s="413"/>
      <c r="CU5" s="413" t="s">
        <v>54</v>
      </c>
      <c r="CV5" s="413"/>
      <c r="CW5" s="413"/>
      <c r="CX5" s="414" t="s">
        <v>55</v>
      </c>
      <c r="CY5" s="414"/>
      <c r="CZ5" s="414"/>
      <c r="DA5" s="413" t="s">
        <v>56</v>
      </c>
      <c r="DB5" s="413"/>
      <c r="DC5" s="413"/>
      <c r="DD5" s="413" t="s">
        <v>57</v>
      </c>
      <c r="DE5" s="413"/>
      <c r="DF5" s="413"/>
      <c r="DG5" s="414" t="s">
        <v>58</v>
      </c>
      <c r="DH5" s="414"/>
      <c r="DI5" s="414"/>
      <c r="DJ5" s="413" t="s">
        <v>59</v>
      </c>
      <c r="DK5" s="413"/>
      <c r="DL5" s="415"/>
    </row>
    <row r="6" spans="1:138" ht="33.75" customHeight="1" x14ac:dyDescent="0.35">
      <c r="B6" s="18"/>
      <c r="C6" s="20" t="s">
        <v>60</v>
      </c>
      <c r="D6" s="19" t="s">
        <v>61</v>
      </c>
      <c r="E6" s="19" t="s">
        <v>62</v>
      </c>
      <c r="F6" s="19" t="s">
        <v>60</v>
      </c>
      <c r="G6" s="19" t="s">
        <v>61</v>
      </c>
      <c r="H6" s="19" t="s">
        <v>62</v>
      </c>
      <c r="I6" s="19" t="s">
        <v>60</v>
      </c>
      <c r="J6" s="19" t="s">
        <v>61</v>
      </c>
      <c r="K6" s="19" t="s">
        <v>62</v>
      </c>
      <c r="L6" s="19" t="s">
        <v>60</v>
      </c>
      <c r="M6" s="19" t="s">
        <v>61</v>
      </c>
      <c r="N6" s="19" t="s">
        <v>62</v>
      </c>
      <c r="O6" s="19" t="s">
        <v>60</v>
      </c>
      <c r="P6" s="19" t="s">
        <v>61</v>
      </c>
      <c r="Q6" s="19" t="s">
        <v>62</v>
      </c>
      <c r="R6" s="19" t="s">
        <v>60</v>
      </c>
      <c r="S6" s="19" t="s">
        <v>61</v>
      </c>
      <c r="T6" s="19" t="s">
        <v>62</v>
      </c>
      <c r="U6" s="19" t="s">
        <v>60</v>
      </c>
      <c r="V6" s="19" t="s">
        <v>61</v>
      </c>
      <c r="W6" s="19" t="s">
        <v>62</v>
      </c>
      <c r="X6" s="19" t="s">
        <v>60</v>
      </c>
      <c r="Y6" s="19" t="s">
        <v>61</v>
      </c>
      <c r="Z6" s="19" t="s">
        <v>62</v>
      </c>
      <c r="AA6" s="19" t="s">
        <v>60</v>
      </c>
      <c r="AB6" s="19" t="s">
        <v>61</v>
      </c>
      <c r="AC6" s="19" t="s">
        <v>62</v>
      </c>
      <c r="AD6" s="19" t="s">
        <v>60</v>
      </c>
      <c r="AE6" s="19" t="s">
        <v>61</v>
      </c>
      <c r="AF6" s="21" t="s">
        <v>62</v>
      </c>
      <c r="AG6" s="20" t="s">
        <v>60</v>
      </c>
      <c r="AH6" s="19" t="s">
        <v>61</v>
      </c>
      <c r="AI6" s="19" t="s">
        <v>62</v>
      </c>
      <c r="AJ6" s="19" t="s">
        <v>60</v>
      </c>
      <c r="AK6" s="19" t="s">
        <v>61</v>
      </c>
      <c r="AL6" s="19" t="s">
        <v>62</v>
      </c>
      <c r="AM6" s="19" t="s">
        <v>60</v>
      </c>
      <c r="AN6" s="19" t="s">
        <v>61</v>
      </c>
      <c r="AO6" s="19" t="s">
        <v>62</v>
      </c>
      <c r="AP6" s="19" t="s">
        <v>60</v>
      </c>
      <c r="AQ6" s="19" t="s">
        <v>61</v>
      </c>
      <c r="AR6" s="19" t="s">
        <v>62</v>
      </c>
      <c r="AS6" s="19" t="s">
        <v>60</v>
      </c>
      <c r="AT6" s="19" t="s">
        <v>61</v>
      </c>
      <c r="AU6" s="21" t="s">
        <v>62</v>
      </c>
      <c r="AV6" s="20" t="s">
        <v>60</v>
      </c>
      <c r="AW6" s="19" t="s">
        <v>61</v>
      </c>
      <c r="AX6" s="19" t="s">
        <v>62</v>
      </c>
      <c r="AY6" s="19" t="s">
        <v>60</v>
      </c>
      <c r="AZ6" s="19" t="s">
        <v>61</v>
      </c>
      <c r="BA6" s="21" t="s">
        <v>62</v>
      </c>
      <c r="BB6" s="20" t="s">
        <v>60</v>
      </c>
      <c r="BC6" s="19" t="s">
        <v>61</v>
      </c>
      <c r="BD6" s="21" t="s">
        <v>62</v>
      </c>
      <c r="BE6" s="20" t="s">
        <v>60</v>
      </c>
      <c r="BF6" s="19" t="s">
        <v>61</v>
      </c>
      <c r="BG6" s="19" t="s">
        <v>62</v>
      </c>
      <c r="BH6" s="19" t="s">
        <v>60</v>
      </c>
      <c r="BI6" s="19" t="s">
        <v>61</v>
      </c>
      <c r="BJ6" s="19" t="s">
        <v>62</v>
      </c>
      <c r="BK6" s="19" t="s">
        <v>60</v>
      </c>
      <c r="BL6" s="19" t="s">
        <v>61</v>
      </c>
      <c r="BM6" s="19" t="s">
        <v>62</v>
      </c>
      <c r="BN6" s="19" t="s">
        <v>60</v>
      </c>
      <c r="BO6" s="19" t="s">
        <v>61</v>
      </c>
      <c r="BP6" s="21" t="s">
        <v>62</v>
      </c>
      <c r="BQ6" s="20" t="s">
        <v>60</v>
      </c>
      <c r="BR6" s="19" t="s">
        <v>61</v>
      </c>
      <c r="BS6" s="19" t="s">
        <v>62</v>
      </c>
      <c r="BT6" s="19" t="s">
        <v>60</v>
      </c>
      <c r="BU6" s="19" t="s">
        <v>61</v>
      </c>
      <c r="BV6" s="19" t="s">
        <v>62</v>
      </c>
      <c r="BW6" s="19" t="s">
        <v>60</v>
      </c>
      <c r="BX6" s="19" t="s">
        <v>61</v>
      </c>
      <c r="BY6" s="19" t="s">
        <v>62</v>
      </c>
      <c r="BZ6" s="19" t="s">
        <v>60</v>
      </c>
      <c r="CA6" s="19" t="s">
        <v>61</v>
      </c>
      <c r="CB6" s="19" t="s">
        <v>62</v>
      </c>
      <c r="CC6" s="19" t="s">
        <v>60</v>
      </c>
      <c r="CD6" s="19" t="s">
        <v>61</v>
      </c>
      <c r="CE6" s="19" t="s">
        <v>62</v>
      </c>
      <c r="CF6" s="19" t="s">
        <v>60</v>
      </c>
      <c r="CG6" s="19" t="s">
        <v>61</v>
      </c>
      <c r="CH6" s="21" t="s">
        <v>62</v>
      </c>
      <c r="CI6" s="20" t="s">
        <v>63</v>
      </c>
      <c r="CJ6" s="19" t="s">
        <v>64</v>
      </c>
      <c r="CK6" s="19" t="s">
        <v>65</v>
      </c>
      <c r="CL6" s="19" t="s">
        <v>63</v>
      </c>
      <c r="CM6" s="19" t="s">
        <v>64</v>
      </c>
      <c r="CN6" s="19" t="s">
        <v>65</v>
      </c>
      <c r="CO6" s="19" t="s">
        <v>63</v>
      </c>
      <c r="CP6" s="19" t="s">
        <v>64</v>
      </c>
      <c r="CQ6" s="19" t="s">
        <v>65</v>
      </c>
      <c r="CR6" s="19" t="s">
        <v>63</v>
      </c>
      <c r="CS6" s="19" t="s">
        <v>64</v>
      </c>
      <c r="CT6" s="19" t="s">
        <v>65</v>
      </c>
      <c r="CU6" s="19" t="s">
        <v>63</v>
      </c>
      <c r="CV6" s="19" t="s">
        <v>64</v>
      </c>
      <c r="CW6" s="19" t="s">
        <v>65</v>
      </c>
      <c r="CX6" s="19" t="s">
        <v>63</v>
      </c>
      <c r="CY6" s="19" t="s">
        <v>64</v>
      </c>
      <c r="CZ6" s="19" t="s">
        <v>65</v>
      </c>
      <c r="DA6" s="19" t="s">
        <v>63</v>
      </c>
      <c r="DB6" s="19" t="s">
        <v>64</v>
      </c>
      <c r="DC6" s="19" t="s">
        <v>65</v>
      </c>
      <c r="DD6" s="19" t="s">
        <v>63</v>
      </c>
      <c r="DE6" s="19" t="s">
        <v>64</v>
      </c>
      <c r="DF6" s="19" t="s">
        <v>65</v>
      </c>
      <c r="DG6" s="19" t="s">
        <v>63</v>
      </c>
      <c r="DH6" s="19" t="s">
        <v>64</v>
      </c>
      <c r="DI6" s="19" t="s">
        <v>65</v>
      </c>
      <c r="DJ6" s="19" t="s">
        <v>63</v>
      </c>
      <c r="DK6" s="19" t="s">
        <v>64</v>
      </c>
      <c r="DL6" s="21" t="s">
        <v>65</v>
      </c>
    </row>
    <row r="7" spans="1:138" x14ac:dyDescent="0.35">
      <c r="B7" s="27" t="s">
        <v>173</v>
      </c>
      <c r="C7" s="168"/>
      <c r="D7" s="112"/>
      <c r="E7" s="112"/>
      <c r="F7" s="226"/>
      <c r="G7" s="112"/>
      <c r="H7" s="112"/>
      <c r="I7" s="226"/>
      <c r="J7" s="112"/>
      <c r="K7" s="112"/>
      <c r="L7" s="226">
        <v>3320</v>
      </c>
      <c r="M7" s="112"/>
      <c r="N7" s="112"/>
      <c r="O7" s="226"/>
      <c r="P7" s="112"/>
      <c r="Q7" s="112"/>
      <c r="R7" s="226">
        <v>82750</v>
      </c>
      <c r="S7" s="112"/>
      <c r="T7" s="112"/>
      <c r="U7" s="226"/>
      <c r="V7" s="112"/>
      <c r="W7" s="112"/>
      <c r="X7" s="226"/>
      <c r="Y7" s="112"/>
      <c r="Z7" s="112"/>
      <c r="AA7" s="226"/>
      <c r="AB7" s="112"/>
      <c r="AC7" s="112"/>
      <c r="AD7" s="226"/>
      <c r="AE7" s="112"/>
      <c r="AF7" s="113"/>
      <c r="AG7" s="168"/>
      <c r="AH7" s="112"/>
      <c r="AI7" s="112"/>
      <c r="AJ7" s="226"/>
      <c r="AK7" s="112"/>
      <c r="AL7" s="112"/>
      <c r="AM7" s="226"/>
      <c r="AN7" s="112"/>
      <c r="AO7" s="112"/>
      <c r="AP7" s="226"/>
      <c r="AQ7" s="112"/>
      <c r="AR7" s="112"/>
      <c r="AS7" s="226"/>
      <c r="AT7" s="112"/>
      <c r="AU7" s="113"/>
      <c r="AV7" s="168"/>
      <c r="AW7" s="112"/>
      <c r="AX7" s="112"/>
      <c r="AY7" s="226"/>
      <c r="AZ7" s="112"/>
      <c r="BA7" s="113"/>
      <c r="BB7" s="111">
        <v>1851.3</v>
      </c>
      <c r="BC7" s="112"/>
      <c r="BD7" s="113"/>
      <c r="BE7" s="111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3"/>
      <c r="BQ7" s="111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3"/>
      <c r="CI7" s="111"/>
      <c r="CJ7" s="112"/>
      <c r="CK7" s="112"/>
      <c r="CL7" s="112"/>
      <c r="CM7" s="112"/>
      <c r="CN7" s="112"/>
      <c r="CO7" s="226">
        <v>459.8</v>
      </c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3"/>
    </row>
    <row r="8" spans="1:138" x14ac:dyDescent="0.35">
      <c r="B8" s="27" t="s">
        <v>174</v>
      </c>
      <c r="C8" s="168"/>
      <c r="D8" s="112"/>
      <c r="E8" s="112"/>
      <c r="F8" s="226"/>
      <c r="G8" s="112"/>
      <c r="H8" s="112"/>
      <c r="I8" s="226"/>
      <c r="J8" s="112"/>
      <c r="K8" s="112"/>
      <c r="L8" s="226">
        <v>3320</v>
      </c>
      <c r="M8" s="112"/>
      <c r="N8" s="112"/>
      <c r="O8" s="226"/>
      <c r="P8" s="112"/>
      <c r="Q8" s="112"/>
      <c r="R8" s="226">
        <v>82750</v>
      </c>
      <c r="S8" s="112"/>
      <c r="T8" s="112"/>
      <c r="U8" s="226"/>
      <c r="V8" s="112"/>
      <c r="W8" s="112"/>
      <c r="X8" s="226"/>
      <c r="Y8" s="112"/>
      <c r="Z8" s="112"/>
      <c r="AA8" s="226"/>
      <c r="AB8" s="112"/>
      <c r="AC8" s="112"/>
      <c r="AD8" s="226"/>
      <c r="AE8" s="112"/>
      <c r="AF8" s="113"/>
      <c r="AG8" s="168"/>
      <c r="AH8" s="112"/>
      <c r="AI8" s="112"/>
      <c r="AJ8" s="226"/>
      <c r="AK8" s="112"/>
      <c r="AL8" s="112"/>
      <c r="AM8" s="226"/>
      <c r="AN8" s="112"/>
      <c r="AO8" s="112"/>
      <c r="AP8" s="226"/>
      <c r="AQ8" s="112"/>
      <c r="AR8" s="112"/>
      <c r="AS8" s="226"/>
      <c r="AT8" s="112"/>
      <c r="AU8" s="113"/>
      <c r="AV8" s="168"/>
      <c r="AW8" s="112"/>
      <c r="AX8" s="112"/>
      <c r="AY8" s="226"/>
      <c r="AZ8" s="112"/>
      <c r="BA8" s="113"/>
      <c r="BB8" s="111">
        <v>1851.3</v>
      </c>
      <c r="BC8" s="112"/>
      <c r="BD8" s="113"/>
      <c r="BE8" s="111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3"/>
      <c r="BQ8" s="111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3"/>
      <c r="CI8" s="111"/>
      <c r="CJ8" s="112"/>
      <c r="CK8" s="112"/>
      <c r="CL8" s="112"/>
      <c r="CM8" s="112"/>
      <c r="CN8" s="112"/>
      <c r="CO8" s="226">
        <v>459.8</v>
      </c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3"/>
    </row>
    <row r="9" spans="1:138" x14ac:dyDescent="0.35">
      <c r="B9" s="27" t="s">
        <v>175</v>
      </c>
      <c r="C9" s="168"/>
      <c r="D9" s="112"/>
      <c r="E9" s="112"/>
      <c r="F9" s="226"/>
      <c r="G9" s="112"/>
      <c r="H9" s="112"/>
      <c r="I9" s="226"/>
      <c r="J9" s="112"/>
      <c r="K9" s="112"/>
      <c r="L9" s="226">
        <v>3320</v>
      </c>
      <c r="M9" s="112"/>
      <c r="N9" s="112"/>
      <c r="O9" s="226"/>
      <c r="P9" s="112"/>
      <c r="Q9" s="112"/>
      <c r="R9" s="226">
        <v>82750</v>
      </c>
      <c r="S9" s="112"/>
      <c r="T9" s="112"/>
      <c r="U9" s="226"/>
      <c r="V9" s="112"/>
      <c r="W9" s="112"/>
      <c r="X9" s="226"/>
      <c r="Y9" s="112"/>
      <c r="Z9" s="112"/>
      <c r="AA9" s="226"/>
      <c r="AB9" s="112"/>
      <c r="AC9" s="112"/>
      <c r="AD9" s="226"/>
      <c r="AE9" s="112"/>
      <c r="AF9" s="113"/>
      <c r="AG9" s="168"/>
      <c r="AH9" s="112"/>
      <c r="AI9" s="112"/>
      <c r="AJ9" s="226"/>
      <c r="AK9" s="112"/>
      <c r="AL9" s="112"/>
      <c r="AM9" s="226"/>
      <c r="AN9" s="112"/>
      <c r="AO9" s="112"/>
      <c r="AP9" s="226"/>
      <c r="AQ9" s="112"/>
      <c r="AR9" s="112"/>
      <c r="AS9" s="226"/>
      <c r="AT9" s="112"/>
      <c r="AU9" s="113"/>
      <c r="AV9" s="168"/>
      <c r="AW9" s="112"/>
      <c r="AX9" s="112"/>
      <c r="AY9" s="226"/>
      <c r="AZ9" s="112"/>
      <c r="BA9" s="113"/>
      <c r="BB9" s="111">
        <v>1851.3</v>
      </c>
      <c r="BC9" s="112"/>
      <c r="BD9" s="113"/>
      <c r="BE9" s="111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3"/>
      <c r="BQ9" s="111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  <c r="CF9" s="112"/>
      <c r="CG9" s="112"/>
      <c r="CH9" s="113"/>
      <c r="CI9" s="111"/>
      <c r="CJ9" s="112"/>
      <c r="CK9" s="112"/>
      <c r="CL9" s="112"/>
      <c r="CM9" s="112"/>
      <c r="CN9" s="112"/>
      <c r="CO9" s="226">
        <v>459.8</v>
      </c>
      <c r="CP9" s="112"/>
      <c r="CQ9" s="112"/>
      <c r="CR9" s="112"/>
      <c r="CS9" s="112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3"/>
    </row>
    <row r="10" spans="1:138" x14ac:dyDescent="0.35">
      <c r="B10" s="27" t="s">
        <v>176</v>
      </c>
      <c r="C10" s="168"/>
      <c r="D10" s="112"/>
      <c r="E10" s="112"/>
      <c r="F10" s="226"/>
      <c r="G10" s="112"/>
      <c r="H10" s="112"/>
      <c r="I10" s="226"/>
      <c r="J10" s="112"/>
      <c r="K10" s="112"/>
      <c r="L10" s="226">
        <v>3320</v>
      </c>
      <c r="M10" s="112"/>
      <c r="N10" s="112"/>
      <c r="O10" s="226"/>
      <c r="P10" s="112"/>
      <c r="Q10" s="112"/>
      <c r="R10" s="226">
        <v>82750</v>
      </c>
      <c r="S10" s="112"/>
      <c r="T10" s="112"/>
      <c r="U10" s="226"/>
      <c r="V10" s="112"/>
      <c r="W10" s="112"/>
      <c r="X10" s="226"/>
      <c r="Y10" s="112"/>
      <c r="Z10" s="112"/>
      <c r="AA10" s="226"/>
      <c r="AB10" s="112"/>
      <c r="AC10" s="112"/>
      <c r="AD10" s="226"/>
      <c r="AE10" s="112"/>
      <c r="AF10" s="113"/>
      <c r="AG10" s="168"/>
      <c r="AH10" s="112"/>
      <c r="AI10" s="112"/>
      <c r="AJ10" s="226"/>
      <c r="AK10" s="112"/>
      <c r="AL10" s="112"/>
      <c r="AM10" s="226"/>
      <c r="AN10" s="112"/>
      <c r="AO10" s="112"/>
      <c r="AP10" s="226"/>
      <c r="AQ10" s="112"/>
      <c r="AR10" s="112"/>
      <c r="AS10" s="226"/>
      <c r="AT10" s="112"/>
      <c r="AU10" s="113"/>
      <c r="AV10" s="168"/>
      <c r="AW10" s="112"/>
      <c r="AX10" s="112"/>
      <c r="AY10" s="226"/>
      <c r="AZ10" s="112"/>
      <c r="BA10" s="113"/>
      <c r="BB10" s="111">
        <v>1851.3</v>
      </c>
      <c r="BC10" s="112"/>
      <c r="BD10" s="113"/>
      <c r="BE10" s="111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3"/>
      <c r="BQ10" s="111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3"/>
      <c r="CI10" s="111"/>
      <c r="CJ10" s="112"/>
      <c r="CK10" s="112"/>
      <c r="CL10" s="112"/>
      <c r="CM10" s="112"/>
      <c r="CN10" s="112"/>
      <c r="CO10" s="226">
        <v>459.8</v>
      </c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3"/>
    </row>
    <row r="11" spans="1:138" ht="15" customHeight="1" thickBot="1" x14ac:dyDescent="0.4">
      <c r="B11" s="27" t="s">
        <v>177</v>
      </c>
      <c r="C11" s="229"/>
      <c r="D11" s="116"/>
      <c r="E11" s="116"/>
      <c r="F11" s="116"/>
      <c r="G11" s="116"/>
      <c r="H11" s="116"/>
      <c r="I11" s="116"/>
      <c r="J11" s="116"/>
      <c r="K11" s="116"/>
      <c r="L11" s="116">
        <v>3320</v>
      </c>
      <c r="M11" s="116"/>
      <c r="N11" s="116"/>
      <c r="O11" s="116"/>
      <c r="P11" s="116"/>
      <c r="Q11" s="116"/>
      <c r="R11" s="230">
        <v>82750</v>
      </c>
      <c r="S11" s="116"/>
      <c r="T11" s="116"/>
      <c r="U11" s="230"/>
      <c r="V11" s="116"/>
      <c r="W11" s="116"/>
      <c r="X11" s="230"/>
      <c r="Y11" s="116"/>
      <c r="Z11" s="116"/>
      <c r="AA11" s="230"/>
      <c r="AB11" s="116"/>
      <c r="AC11" s="116"/>
      <c r="AD11" s="230"/>
      <c r="AE11" s="116"/>
      <c r="AF11" s="117"/>
      <c r="AG11" s="229"/>
      <c r="AH11" s="116"/>
      <c r="AI11" s="116"/>
      <c r="AJ11" s="230"/>
      <c r="AK11" s="116"/>
      <c r="AL11" s="116"/>
      <c r="AM11" s="230"/>
      <c r="AN11" s="116"/>
      <c r="AO11" s="116"/>
      <c r="AP11" s="230"/>
      <c r="AQ11" s="116"/>
      <c r="AR11" s="116"/>
      <c r="AS11" s="230"/>
      <c r="AT11" s="116"/>
      <c r="AU11" s="117"/>
      <c r="AV11" s="229"/>
      <c r="AW11" s="116"/>
      <c r="AX11" s="116"/>
      <c r="AY11" s="230"/>
      <c r="AZ11" s="116"/>
      <c r="BA11" s="117"/>
      <c r="BB11" s="115">
        <v>1851.3</v>
      </c>
      <c r="BC11" s="116"/>
      <c r="BD11" s="117"/>
      <c r="BE11" s="115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7"/>
      <c r="BQ11" s="115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7"/>
      <c r="CI11" s="115"/>
      <c r="CJ11" s="116"/>
      <c r="CK11" s="116"/>
      <c r="CL11" s="116"/>
      <c r="CM11" s="116"/>
      <c r="CN11" s="116"/>
      <c r="CO11" s="230">
        <v>459.8</v>
      </c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7"/>
    </row>
    <row r="12" spans="1:138" x14ac:dyDescent="0.35">
      <c r="B12" s="183"/>
      <c r="C12" s="227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228"/>
      <c r="BN12" s="228"/>
      <c r="BO12" s="228"/>
      <c r="BP12" s="228"/>
      <c r="BQ12" s="228"/>
      <c r="BR12" s="228"/>
      <c r="BS12" s="228"/>
      <c r="BT12" s="228"/>
      <c r="BU12" s="228"/>
      <c r="BV12" s="228"/>
      <c r="BW12" s="228"/>
      <c r="BX12" s="228"/>
      <c r="BY12" s="228"/>
      <c r="BZ12" s="228"/>
      <c r="CA12" s="228"/>
      <c r="CB12" s="228"/>
      <c r="CC12" s="228"/>
      <c r="CD12" s="228"/>
      <c r="CE12" s="228"/>
      <c r="CF12" s="228"/>
      <c r="CG12" s="228"/>
      <c r="CH12" s="228"/>
      <c r="CI12" s="228"/>
      <c r="CJ12" s="228"/>
      <c r="CK12" s="228"/>
      <c r="CL12" s="228"/>
      <c r="CM12" s="228"/>
      <c r="CN12" s="228"/>
      <c r="CO12" s="228"/>
      <c r="CP12" s="228"/>
      <c r="CQ12" s="228"/>
      <c r="CR12" s="228"/>
      <c r="CS12" s="228"/>
      <c r="CT12" s="228"/>
      <c r="CU12" s="228"/>
      <c r="CV12" s="228"/>
      <c r="CW12" s="228"/>
      <c r="CX12" s="228"/>
      <c r="CY12" s="228"/>
      <c r="CZ12" s="228"/>
      <c r="DA12" s="228"/>
      <c r="DB12" s="228"/>
      <c r="DC12" s="228"/>
      <c r="DD12" s="228"/>
      <c r="DE12" s="228"/>
      <c r="DF12" s="228"/>
      <c r="DG12" s="228"/>
      <c r="DH12" s="228"/>
      <c r="DI12" s="228"/>
      <c r="DJ12" s="228"/>
      <c r="DK12" s="228"/>
      <c r="DL12" s="228"/>
    </row>
    <row r="13" spans="1:138" ht="14.5" customHeight="1" x14ac:dyDescent="0.35">
      <c r="B13" s="416" t="s">
        <v>244</v>
      </c>
      <c r="C13" s="417"/>
      <c r="D13" s="417"/>
      <c r="E13" s="417"/>
      <c r="F13" s="417"/>
      <c r="G13" s="417"/>
      <c r="H13" s="417"/>
      <c r="I13" s="417"/>
      <c r="J13" s="417"/>
      <c r="K13" s="417"/>
      <c r="L13" s="417"/>
      <c r="M13" s="417"/>
      <c r="N13" s="417"/>
      <c r="O13" s="417"/>
      <c r="P13" s="417"/>
      <c r="Q13" s="417"/>
      <c r="R13" s="417"/>
      <c r="S13" s="417"/>
      <c r="T13" s="417"/>
      <c r="U13" s="417"/>
      <c r="V13" s="417"/>
      <c r="W13" s="417"/>
      <c r="X13" s="417"/>
      <c r="Y13" s="417"/>
      <c r="Z13" s="417"/>
      <c r="AA13" s="417"/>
      <c r="AB13" s="417"/>
      <c r="AC13" s="417"/>
      <c r="AD13" s="417"/>
      <c r="AE13" s="417"/>
      <c r="AF13" s="417"/>
      <c r="AG13" s="417"/>
      <c r="AH13" s="417"/>
      <c r="AI13" s="417"/>
      <c r="AJ13" s="417"/>
      <c r="AK13" s="417"/>
      <c r="AL13" s="417"/>
      <c r="AM13" s="417"/>
      <c r="AN13" s="417"/>
      <c r="AO13" s="417"/>
      <c r="AP13" s="417"/>
      <c r="AQ13" s="417"/>
      <c r="AR13" s="417"/>
      <c r="AS13" s="417"/>
      <c r="AT13" s="417"/>
      <c r="AU13" s="417"/>
      <c r="AV13" s="417"/>
      <c r="AW13" s="417"/>
      <c r="AX13" s="417"/>
      <c r="AY13" s="417"/>
      <c r="AZ13" s="417"/>
      <c r="BA13" s="417"/>
      <c r="BB13" s="417"/>
      <c r="BC13" s="417"/>
      <c r="BD13" s="417"/>
      <c r="BE13" s="417"/>
      <c r="BF13" s="417"/>
      <c r="BG13" s="417"/>
      <c r="BH13" s="417"/>
      <c r="BI13" s="417"/>
      <c r="BJ13" s="417"/>
      <c r="BK13" s="417"/>
      <c r="BL13" s="417"/>
      <c r="BM13" s="417"/>
      <c r="BN13" s="417"/>
      <c r="BO13" s="417"/>
      <c r="BP13" s="417"/>
      <c r="BQ13" s="417"/>
      <c r="BR13" s="417"/>
      <c r="BS13" s="417"/>
      <c r="BT13" s="417"/>
      <c r="BU13" s="417"/>
      <c r="BV13" s="417"/>
      <c r="BW13" s="417"/>
      <c r="BX13" s="417"/>
      <c r="BY13" s="417"/>
      <c r="BZ13" s="417"/>
      <c r="CA13" s="417"/>
      <c r="CB13" s="417"/>
      <c r="CC13" s="417"/>
      <c r="CD13" s="417"/>
      <c r="CE13" s="417"/>
      <c r="CF13" s="417"/>
      <c r="CG13" s="417"/>
      <c r="CH13" s="417"/>
      <c r="CI13" s="417"/>
      <c r="CJ13" s="417"/>
      <c r="CK13" s="417"/>
      <c r="CL13" s="417"/>
      <c r="CM13" s="417"/>
      <c r="CN13" s="417"/>
      <c r="CO13" s="417"/>
      <c r="CP13" s="417"/>
      <c r="CQ13" s="417"/>
      <c r="CR13" s="417"/>
      <c r="CS13" s="417"/>
      <c r="CT13" s="417"/>
      <c r="CU13" s="417"/>
      <c r="CV13" s="417"/>
      <c r="CW13" s="417"/>
      <c r="CX13" s="417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</row>
    <row r="14" spans="1:138" ht="30" customHeight="1" thickBot="1" x14ac:dyDescent="0.4">
      <c r="B14" s="399"/>
      <c r="C14" s="418" t="s">
        <v>71</v>
      </c>
      <c r="D14" s="419"/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19"/>
      <c r="AL14" s="419"/>
      <c r="AM14" s="419"/>
      <c r="AN14" s="419"/>
      <c r="AO14" s="419"/>
      <c r="AP14" s="419"/>
      <c r="AQ14" s="419"/>
      <c r="AR14" s="419"/>
      <c r="AS14" s="419"/>
      <c r="AT14" s="419"/>
      <c r="AU14" s="419"/>
      <c r="AV14" s="419"/>
      <c r="AW14" s="419"/>
      <c r="AX14" s="419"/>
      <c r="AY14" s="419"/>
      <c r="AZ14" s="419"/>
      <c r="BA14" s="419"/>
      <c r="BB14" s="419"/>
      <c r="BC14" s="419"/>
      <c r="BD14" s="419"/>
      <c r="BE14" s="419"/>
      <c r="BF14" s="419"/>
      <c r="BG14" s="419"/>
      <c r="BH14" s="419"/>
      <c r="BI14" s="419"/>
      <c r="BJ14" s="419"/>
      <c r="BK14" s="419"/>
      <c r="BL14" s="419"/>
      <c r="BM14" s="419"/>
      <c r="BN14" s="419"/>
      <c r="BO14" s="419"/>
      <c r="BP14" s="419"/>
      <c r="BQ14" s="419"/>
      <c r="BR14" s="420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341" t="s">
        <v>27</v>
      </c>
      <c r="CL14" s="342"/>
      <c r="CM14" s="338" t="s">
        <v>72</v>
      </c>
      <c r="CN14" s="339"/>
      <c r="CO14" s="339"/>
      <c r="CP14" s="339"/>
      <c r="CQ14" s="339"/>
      <c r="CR14" s="339"/>
      <c r="CS14" s="339"/>
      <c r="CT14" s="339"/>
      <c r="CU14" s="339"/>
      <c r="CV14" s="339"/>
      <c r="CW14" s="339"/>
      <c r="CX14" s="339"/>
      <c r="CY14" s="339"/>
      <c r="CZ14" s="339"/>
      <c r="DA14" s="339"/>
      <c r="DB14" s="340"/>
      <c r="DC14" s="309" t="s">
        <v>29</v>
      </c>
      <c r="DD14" s="310"/>
      <c r="DE14" s="310"/>
      <c r="DF14" s="310"/>
      <c r="DG14" s="310"/>
      <c r="DH14" s="310"/>
      <c r="DI14" s="310"/>
      <c r="DJ14" s="310"/>
      <c r="DK14" s="310"/>
      <c r="DL14" s="310"/>
      <c r="DM14" s="310"/>
      <c r="DN14" s="311"/>
      <c r="DO14" s="452" t="s">
        <v>29</v>
      </c>
      <c r="DP14" s="453"/>
      <c r="DQ14" s="453"/>
      <c r="DR14" s="453"/>
      <c r="DS14" s="453"/>
      <c r="DT14" s="453"/>
      <c r="DU14" s="453"/>
      <c r="DV14" s="453"/>
      <c r="DW14" s="453"/>
      <c r="DX14" s="453"/>
      <c r="DY14" s="453"/>
      <c r="DZ14" s="453"/>
      <c r="EA14" s="453"/>
      <c r="EB14" s="453"/>
      <c r="EC14" s="453"/>
      <c r="ED14" s="453"/>
      <c r="EE14" s="453"/>
      <c r="EF14" s="453"/>
      <c r="EG14" s="453"/>
      <c r="EH14" s="454"/>
    </row>
    <row r="15" spans="1:138" ht="15" customHeight="1" x14ac:dyDescent="0.35">
      <c r="B15" s="401"/>
      <c r="C15" s="380" t="s">
        <v>24</v>
      </c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  <c r="AJ15" s="381"/>
      <c r="AK15" s="381"/>
      <c r="AL15" s="381"/>
      <c r="AM15" s="381"/>
      <c r="AN15" s="381"/>
      <c r="AO15" s="381"/>
      <c r="AP15" s="382"/>
      <c r="AQ15" s="346" t="s">
        <v>25</v>
      </c>
      <c r="AR15" s="347"/>
      <c r="AS15" s="347"/>
      <c r="AT15" s="347"/>
      <c r="AU15" s="347"/>
      <c r="AV15" s="347"/>
      <c r="AW15" s="347"/>
      <c r="AX15" s="347"/>
      <c r="AY15" s="347"/>
      <c r="AZ15" s="347"/>
      <c r="BA15" s="347"/>
      <c r="BB15" s="347"/>
      <c r="BC15" s="347"/>
      <c r="BD15" s="347"/>
      <c r="BE15" s="347"/>
      <c r="BF15" s="347"/>
      <c r="BG15" s="347"/>
      <c r="BH15" s="347"/>
      <c r="BI15" s="347"/>
      <c r="BJ15" s="347"/>
      <c r="BK15" s="347"/>
      <c r="BL15" s="347"/>
      <c r="BM15" s="347"/>
      <c r="BN15" s="347"/>
      <c r="BO15" s="347"/>
      <c r="BP15" s="348"/>
      <c r="BQ15" s="346" t="s">
        <v>26</v>
      </c>
      <c r="BR15" s="347"/>
      <c r="BS15" s="347"/>
      <c r="BT15" s="347"/>
      <c r="BU15" s="347"/>
      <c r="BV15" s="347"/>
      <c r="BW15" s="347"/>
      <c r="BX15" s="347"/>
      <c r="BY15" s="347"/>
      <c r="BZ15" s="347"/>
      <c r="CA15" s="347"/>
      <c r="CB15" s="347"/>
      <c r="CC15" s="347"/>
      <c r="CD15" s="347"/>
      <c r="CE15" s="347"/>
      <c r="CF15" s="347"/>
      <c r="CG15" s="347"/>
      <c r="CH15" s="347"/>
      <c r="CI15" s="347"/>
      <c r="CJ15" s="348"/>
      <c r="CK15" s="425" t="s">
        <v>73</v>
      </c>
      <c r="CL15" s="426"/>
      <c r="CM15" s="431" t="s">
        <v>74</v>
      </c>
      <c r="CN15" s="432"/>
      <c r="CO15" s="432"/>
      <c r="CP15" s="433"/>
      <c r="CQ15" s="329" t="s">
        <v>75</v>
      </c>
      <c r="CR15" s="330"/>
      <c r="CS15" s="330"/>
      <c r="CT15" s="422"/>
      <c r="CU15" s="329" t="s">
        <v>76</v>
      </c>
      <c r="CV15" s="330"/>
      <c r="CW15" s="330"/>
      <c r="CX15" s="422"/>
      <c r="CY15" s="329" t="s">
        <v>77</v>
      </c>
      <c r="CZ15" s="330"/>
      <c r="DA15" s="330"/>
      <c r="DB15" s="331"/>
      <c r="DC15" s="320">
        <f>BQ5</f>
        <v>0</v>
      </c>
      <c r="DD15" s="321"/>
      <c r="DE15" s="326">
        <f>BT5</f>
        <v>0</v>
      </c>
      <c r="DF15" s="321"/>
      <c r="DG15" s="326">
        <f>BW5</f>
        <v>0</v>
      </c>
      <c r="DH15" s="321"/>
      <c r="DI15" s="326">
        <f>BZ5</f>
        <v>0</v>
      </c>
      <c r="DJ15" s="321"/>
      <c r="DK15" s="326">
        <f>CC5</f>
        <v>0</v>
      </c>
      <c r="DL15" s="321"/>
      <c r="DM15" s="326">
        <f>CF5</f>
        <v>0</v>
      </c>
      <c r="DN15" s="485"/>
      <c r="DO15" s="488" t="s">
        <v>50</v>
      </c>
      <c r="DP15" s="456"/>
      <c r="DQ15" s="455" t="s">
        <v>51</v>
      </c>
      <c r="DR15" s="456"/>
      <c r="DS15" s="455" t="s">
        <v>52</v>
      </c>
      <c r="DT15" s="456"/>
      <c r="DU15" s="455" t="s">
        <v>53</v>
      </c>
      <c r="DV15" s="456"/>
      <c r="DW15" s="461" t="s">
        <v>54</v>
      </c>
      <c r="DX15" s="462"/>
      <c r="DY15" s="461" t="s">
        <v>55</v>
      </c>
      <c r="DZ15" s="462"/>
      <c r="EA15" s="455" t="s">
        <v>56</v>
      </c>
      <c r="EB15" s="456"/>
      <c r="EC15" s="455" t="s">
        <v>57</v>
      </c>
      <c r="ED15" s="456"/>
      <c r="EE15" s="467" t="s">
        <v>58</v>
      </c>
      <c r="EF15" s="468"/>
      <c r="EG15" s="455" t="s">
        <v>59</v>
      </c>
      <c r="EH15" s="473"/>
    </row>
    <row r="16" spans="1:138" x14ac:dyDescent="0.35">
      <c r="B16" s="401"/>
      <c r="C16" s="360" t="s">
        <v>78</v>
      </c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1"/>
      <c r="Y16" s="361"/>
      <c r="Z16" s="362"/>
      <c r="AA16" s="379" t="s">
        <v>79</v>
      </c>
      <c r="AB16" s="361"/>
      <c r="AC16" s="361"/>
      <c r="AD16" s="361"/>
      <c r="AE16" s="361"/>
      <c r="AF16" s="361"/>
      <c r="AG16" s="361"/>
      <c r="AH16" s="362"/>
      <c r="AI16" s="314" t="s">
        <v>80</v>
      </c>
      <c r="AJ16" s="315"/>
      <c r="AK16" s="315"/>
      <c r="AL16" s="315"/>
      <c r="AM16" s="315"/>
      <c r="AN16" s="315"/>
      <c r="AO16" s="315"/>
      <c r="AP16" s="396"/>
      <c r="AQ16" s="360" t="s">
        <v>81</v>
      </c>
      <c r="AR16" s="361"/>
      <c r="AS16" s="361"/>
      <c r="AT16" s="361"/>
      <c r="AU16" s="361"/>
      <c r="AV16" s="361"/>
      <c r="AW16" s="362"/>
      <c r="AX16" s="379" t="s">
        <v>82</v>
      </c>
      <c r="AY16" s="361"/>
      <c r="AZ16" s="361"/>
      <c r="BA16" s="362"/>
      <c r="BB16" s="379" t="s">
        <v>83</v>
      </c>
      <c r="BC16" s="361"/>
      <c r="BD16" s="361"/>
      <c r="BE16" s="361"/>
      <c r="BF16" s="361"/>
      <c r="BG16" s="361"/>
      <c r="BH16" s="362"/>
      <c r="BI16" s="379" t="s">
        <v>84</v>
      </c>
      <c r="BJ16" s="361"/>
      <c r="BK16" s="361"/>
      <c r="BL16" s="362"/>
      <c r="BM16" s="379" t="s">
        <v>85</v>
      </c>
      <c r="BN16" s="361"/>
      <c r="BO16" s="361"/>
      <c r="BP16" s="421"/>
      <c r="BQ16" s="360" t="s">
        <v>86</v>
      </c>
      <c r="BR16" s="361"/>
      <c r="BS16" s="361"/>
      <c r="BT16" s="361"/>
      <c r="BU16" s="361"/>
      <c r="BV16" s="361"/>
      <c r="BW16" s="361"/>
      <c r="BX16" s="361"/>
      <c r="BY16" s="361"/>
      <c r="BZ16" s="362"/>
      <c r="CA16" s="379" t="s">
        <v>87</v>
      </c>
      <c r="CB16" s="361"/>
      <c r="CC16" s="361"/>
      <c r="CD16" s="361"/>
      <c r="CE16" s="361"/>
      <c r="CF16" s="361"/>
      <c r="CG16" s="361"/>
      <c r="CH16" s="361"/>
      <c r="CI16" s="361"/>
      <c r="CJ16" s="421"/>
      <c r="CK16" s="427"/>
      <c r="CL16" s="428"/>
      <c r="CM16" s="434"/>
      <c r="CN16" s="435"/>
      <c r="CO16" s="435"/>
      <c r="CP16" s="436"/>
      <c r="CQ16" s="332"/>
      <c r="CR16" s="333"/>
      <c r="CS16" s="333"/>
      <c r="CT16" s="423"/>
      <c r="CU16" s="332"/>
      <c r="CV16" s="333"/>
      <c r="CW16" s="333"/>
      <c r="CX16" s="423"/>
      <c r="CY16" s="332"/>
      <c r="CZ16" s="333"/>
      <c r="DA16" s="333"/>
      <c r="DB16" s="334"/>
      <c r="DC16" s="322"/>
      <c r="DD16" s="323"/>
      <c r="DE16" s="327"/>
      <c r="DF16" s="323"/>
      <c r="DG16" s="327"/>
      <c r="DH16" s="323"/>
      <c r="DI16" s="327"/>
      <c r="DJ16" s="323"/>
      <c r="DK16" s="327"/>
      <c r="DL16" s="323"/>
      <c r="DM16" s="327"/>
      <c r="DN16" s="486"/>
      <c r="DO16" s="489"/>
      <c r="DP16" s="458"/>
      <c r="DQ16" s="457"/>
      <c r="DR16" s="458"/>
      <c r="DS16" s="457"/>
      <c r="DT16" s="458"/>
      <c r="DU16" s="457"/>
      <c r="DV16" s="458"/>
      <c r="DW16" s="463"/>
      <c r="DX16" s="464"/>
      <c r="DY16" s="463"/>
      <c r="DZ16" s="464"/>
      <c r="EA16" s="457"/>
      <c r="EB16" s="458"/>
      <c r="EC16" s="457"/>
      <c r="ED16" s="458"/>
      <c r="EE16" s="469"/>
      <c r="EF16" s="470"/>
      <c r="EG16" s="457"/>
      <c r="EH16" s="474"/>
    </row>
    <row r="17" spans="2:138" x14ac:dyDescent="0.35">
      <c r="B17" s="401"/>
      <c r="C17" s="360" t="s">
        <v>30</v>
      </c>
      <c r="D17" s="361"/>
      <c r="E17" s="361"/>
      <c r="F17" s="362"/>
      <c r="G17" s="379" t="s">
        <v>31</v>
      </c>
      <c r="H17" s="361"/>
      <c r="I17" s="361"/>
      <c r="J17" s="362"/>
      <c r="K17" s="379" t="s">
        <v>32</v>
      </c>
      <c r="L17" s="361"/>
      <c r="M17" s="361"/>
      <c r="N17" s="362"/>
      <c r="O17" s="379" t="s">
        <v>33</v>
      </c>
      <c r="P17" s="361"/>
      <c r="Q17" s="361"/>
      <c r="R17" s="362"/>
      <c r="S17" s="379" t="s">
        <v>34</v>
      </c>
      <c r="T17" s="361"/>
      <c r="U17" s="361"/>
      <c r="V17" s="362"/>
      <c r="W17" s="314" t="s">
        <v>273</v>
      </c>
      <c r="X17" s="315"/>
      <c r="Y17" s="315"/>
      <c r="Z17" s="316"/>
      <c r="AA17" s="379" t="s">
        <v>36</v>
      </c>
      <c r="AB17" s="361"/>
      <c r="AC17" s="361"/>
      <c r="AD17" s="362"/>
      <c r="AE17" s="314" t="s">
        <v>37</v>
      </c>
      <c r="AF17" s="315"/>
      <c r="AG17" s="315"/>
      <c r="AH17" s="316"/>
      <c r="AI17" s="314" t="s">
        <v>38</v>
      </c>
      <c r="AJ17" s="315"/>
      <c r="AK17" s="315"/>
      <c r="AL17" s="316"/>
      <c r="AM17" s="314" t="s">
        <v>39</v>
      </c>
      <c r="AN17" s="315"/>
      <c r="AO17" s="315"/>
      <c r="AP17" s="396"/>
      <c r="AQ17" s="312" t="s">
        <v>88</v>
      </c>
      <c r="AR17" s="314" t="s">
        <v>89</v>
      </c>
      <c r="AS17" s="315"/>
      <c r="AT17" s="316"/>
      <c r="AU17" s="314" t="s">
        <v>90</v>
      </c>
      <c r="AV17" s="315"/>
      <c r="AW17" s="316"/>
      <c r="AX17" s="363" t="s">
        <v>88</v>
      </c>
      <c r="AY17" s="314" t="s">
        <v>90</v>
      </c>
      <c r="AZ17" s="315"/>
      <c r="BA17" s="316"/>
      <c r="BB17" s="363" t="s">
        <v>88</v>
      </c>
      <c r="BC17" s="314" t="s">
        <v>91</v>
      </c>
      <c r="BD17" s="315"/>
      <c r="BE17" s="316"/>
      <c r="BF17" s="314" t="s">
        <v>90</v>
      </c>
      <c r="BG17" s="315"/>
      <c r="BH17" s="316"/>
      <c r="BI17" s="363" t="s">
        <v>88</v>
      </c>
      <c r="BJ17" s="314" t="s">
        <v>90</v>
      </c>
      <c r="BK17" s="315"/>
      <c r="BL17" s="316"/>
      <c r="BM17" s="363" t="s">
        <v>88</v>
      </c>
      <c r="BN17" s="314" t="s">
        <v>90</v>
      </c>
      <c r="BO17" s="315"/>
      <c r="BP17" s="396"/>
      <c r="BQ17" s="312" t="s">
        <v>88</v>
      </c>
      <c r="BR17" s="314" t="s">
        <v>91</v>
      </c>
      <c r="BS17" s="315"/>
      <c r="BT17" s="316"/>
      <c r="BU17" s="314" t="s">
        <v>89</v>
      </c>
      <c r="BV17" s="315"/>
      <c r="BW17" s="316"/>
      <c r="BX17" s="314" t="s">
        <v>90</v>
      </c>
      <c r="BY17" s="315"/>
      <c r="BZ17" s="316"/>
      <c r="CA17" s="363" t="s">
        <v>88</v>
      </c>
      <c r="CB17" s="314" t="s">
        <v>91</v>
      </c>
      <c r="CC17" s="315"/>
      <c r="CD17" s="316"/>
      <c r="CE17" s="314" t="s">
        <v>89</v>
      </c>
      <c r="CF17" s="315"/>
      <c r="CG17" s="316"/>
      <c r="CH17" s="314" t="s">
        <v>90</v>
      </c>
      <c r="CI17" s="315"/>
      <c r="CJ17" s="396"/>
      <c r="CK17" s="429"/>
      <c r="CL17" s="430"/>
      <c r="CM17" s="437"/>
      <c r="CN17" s="438"/>
      <c r="CO17" s="438"/>
      <c r="CP17" s="439"/>
      <c r="CQ17" s="335"/>
      <c r="CR17" s="336"/>
      <c r="CS17" s="336"/>
      <c r="CT17" s="424"/>
      <c r="CU17" s="335"/>
      <c r="CV17" s="336"/>
      <c r="CW17" s="336"/>
      <c r="CX17" s="424"/>
      <c r="CY17" s="335"/>
      <c r="CZ17" s="336"/>
      <c r="DA17" s="336"/>
      <c r="DB17" s="337"/>
      <c r="DC17" s="324"/>
      <c r="DD17" s="325"/>
      <c r="DE17" s="328"/>
      <c r="DF17" s="325"/>
      <c r="DG17" s="328"/>
      <c r="DH17" s="325"/>
      <c r="DI17" s="328"/>
      <c r="DJ17" s="325"/>
      <c r="DK17" s="328"/>
      <c r="DL17" s="325"/>
      <c r="DM17" s="328"/>
      <c r="DN17" s="487"/>
      <c r="DO17" s="490"/>
      <c r="DP17" s="460"/>
      <c r="DQ17" s="459"/>
      <c r="DR17" s="460"/>
      <c r="DS17" s="459"/>
      <c r="DT17" s="460"/>
      <c r="DU17" s="459"/>
      <c r="DV17" s="460"/>
      <c r="DW17" s="465"/>
      <c r="DX17" s="466"/>
      <c r="DY17" s="465"/>
      <c r="DZ17" s="466"/>
      <c r="EA17" s="459"/>
      <c r="EB17" s="460"/>
      <c r="EC17" s="459"/>
      <c r="ED17" s="460"/>
      <c r="EE17" s="471"/>
      <c r="EF17" s="472"/>
      <c r="EG17" s="459"/>
      <c r="EH17" s="475"/>
    </row>
    <row r="18" spans="2:138" x14ac:dyDescent="0.35">
      <c r="B18" s="402"/>
      <c r="C18" s="234" t="s">
        <v>88</v>
      </c>
      <c r="D18" s="76" t="s">
        <v>92</v>
      </c>
      <c r="E18" s="76" t="s">
        <v>93</v>
      </c>
      <c r="F18" s="76" t="s">
        <v>94</v>
      </c>
      <c r="G18" s="76" t="s">
        <v>88</v>
      </c>
      <c r="H18" s="76" t="s">
        <v>92</v>
      </c>
      <c r="I18" s="76" t="s">
        <v>93</v>
      </c>
      <c r="J18" s="76" t="s">
        <v>94</v>
      </c>
      <c r="K18" s="76" t="s">
        <v>88</v>
      </c>
      <c r="L18" s="76" t="s">
        <v>92</v>
      </c>
      <c r="M18" s="76" t="s">
        <v>93</v>
      </c>
      <c r="N18" s="76" t="s">
        <v>94</v>
      </c>
      <c r="O18" s="76" t="s">
        <v>88</v>
      </c>
      <c r="P18" s="76" t="s">
        <v>92</v>
      </c>
      <c r="Q18" s="76" t="s">
        <v>93</v>
      </c>
      <c r="R18" s="76" t="s">
        <v>94</v>
      </c>
      <c r="S18" s="76" t="s">
        <v>88</v>
      </c>
      <c r="T18" s="76" t="s">
        <v>92</v>
      </c>
      <c r="U18" s="76" t="s">
        <v>93</v>
      </c>
      <c r="V18" s="76" t="s">
        <v>94</v>
      </c>
      <c r="W18" s="76" t="s">
        <v>88</v>
      </c>
      <c r="X18" s="76" t="s">
        <v>92</v>
      </c>
      <c r="Y18" s="76" t="s">
        <v>93</v>
      </c>
      <c r="Z18" s="205" t="s">
        <v>94</v>
      </c>
      <c r="AA18" s="76" t="s">
        <v>88</v>
      </c>
      <c r="AB18" s="76" t="s">
        <v>95</v>
      </c>
      <c r="AC18" s="76" t="s">
        <v>96</v>
      </c>
      <c r="AD18" s="76" t="s">
        <v>97</v>
      </c>
      <c r="AE18" s="76" t="s">
        <v>88</v>
      </c>
      <c r="AF18" s="76" t="s">
        <v>95</v>
      </c>
      <c r="AG18" s="76" t="s">
        <v>96</v>
      </c>
      <c r="AH18" s="76" t="s">
        <v>97</v>
      </c>
      <c r="AI18" s="76" t="s">
        <v>88</v>
      </c>
      <c r="AJ18" s="76" t="s">
        <v>98</v>
      </c>
      <c r="AK18" s="76" t="s">
        <v>99</v>
      </c>
      <c r="AL18" s="76" t="s">
        <v>100</v>
      </c>
      <c r="AM18" s="76" t="s">
        <v>88</v>
      </c>
      <c r="AN18" s="76" t="s">
        <v>101</v>
      </c>
      <c r="AO18" s="76" t="s">
        <v>99</v>
      </c>
      <c r="AP18" s="235" t="s">
        <v>100</v>
      </c>
      <c r="AQ18" s="313"/>
      <c r="AR18" s="76" t="s">
        <v>95</v>
      </c>
      <c r="AS18" s="76" t="s">
        <v>96</v>
      </c>
      <c r="AT18" s="76" t="s">
        <v>97</v>
      </c>
      <c r="AU18" s="76" t="s">
        <v>101</v>
      </c>
      <c r="AV18" s="76" t="s">
        <v>99</v>
      </c>
      <c r="AW18" s="205" t="s">
        <v>100</v>
      </c>
      <c r="AX18" s="365"/>
      <c r="AY18" s="76" t="s">
        <v>101</v>
      </c>
      <c r="AZ18" s="76" t="s">
        <v>99</v>
      </c>
      <c r="BA18" s="205" t="s">
        <v>100</v>
      </c>
      <c r="BB18" s="365"/>
      <c r="BC18" s="76" t="s">
        <v>92</v>
      </c>
      <c r="BD18" s="76" t="s">
        <v>93</v>
      </c>
      <c r="BE18" s="76" t="s">
        <v>94</v>
      </c>
      <c r="BF18" s="76" t="s">
        <v>98</v>
      </c>
      <c r="BG18" s="76" t="s">
        <v>99</v>
      </c>
      <c r="BH18" s="76" t="s">
        <v>100</v>
      </c>
      <c r="BI18" s="365"/>
      <c r="BJ18" s="76" t="s">
        <v>102</v>
      </c>
      <c r="BK18" s="76" t="s">
        <v>103</v>
      </c>
      <c r="BL18" s="205" t="s">
        <v>104</v>
      </c>
      <c r="BM18" s="365"/>
      <c r="BN18" s="76" t="s">
        <v>102</v>
      </c>
      <c r="BO18" s="76" t="s">
        <v>103</v>
      </c>
      <c r="BP18" s="235" t="s">
        <v>104</v>
      </c>
      <c r="BQ18" s="313"/>
      <c r="BR18" s="76" t="s">
        <v>92</v>
      </c>
      <c r="BS18" s="76" t="s">
        <v>93</v>
      </c>
      <c r="BT18" s="76" t="s">
        <v>94</v>
      </c>
      <c r="BU18" s="76" t="s">
        <v>95</v>
      </c>
      <c r="BV18" s="76" t="s">
        <v>96</v>
      </c>
      <c r="BW18" s="76" t="s">
        <v>97</v>
      </c>
      <c r="BX18" s="76" t="s">
        <v>98</v>
      </c>
      <c r="BY18" s="76" t="s">
        <v>99</v>
      </c>
      <c r="BZ18" s="76" t="s">
        <v>100</v>
      </c>
      <c r="CA18" s="365"/>
      <c r="CB18" s="76" t="s">
        <v>92</v>
      </c>
      <c r="CC18" s="76" t="s">
        <v>93</v>
      </c>
      <c r="CD18" s="76" t="s">
        <v>94</v>
      </c>
      <c r="CE18" s="76" t="s">
        <v>95</v>
      </c>
      <c r="CF18" s="76" t="s">
        <v>96</v>
      </c>
      <c r="CG18" s="76" t="s">
        <v>97</v>
      </c>
      <c r="CH18" s="76" t="s">
        <v>98</v>
      </c>
      <c r="CI18" s="76" t="s">
        <v>99</v>
      </c>
      <c r="CJ18" s="235" t="s">
        <v>100</v>
      </c>
      <c r="CK18" s="253" t="s">
        <v>88</v>
      </c>
      <c r="CL18" s="254" t="s">
        <v>105</v>
      </c>
      <c r="CM18" s="253" t="s">
        <v>88</v>
      </c>
      <c r="CN18" s="2" t="s">
        <v>106</v>
      </c>
      <c r="CO18" s="32" t="s">
        <v>107</v>
      </c>
      <c r="CP18" s="2" t="s">
        <v>108</v>
      </c>
      <c r="CQ18" s="32" t="s">
        <v>88</v>
      </c>
      <c r="CR18" s="2" t="s">
        <v>109</v>
      </c>
      <c r="CS18" s="32" t="s">
        <v>107</v>
      </c>
      <c r="CT18" s="32" t="s">
        <v>110</v>
      </c>
      <c r="CU18" s="32" t="s">
        <v>88</v>
      </c>
      <c r="CV18" s="2" t="s">
        <v>109</v>
      </c>
      <c r="CW18" s="32" t="s">
        <v>107</v>
      </c>
      <c r="CX18" s="32" t="s">
        <v>111</v>
      </c>
      <c r="CY18" s="32" t="s">
        <v>88</v>
      </c>
      <c r="CZ18" s="2" t="s">
        <v>109</v>
      </c>
      <c r="DA18" s="32" t="s">
        <v>107</v>
      </c>
      <c r="DB18" s="254" t="s">
        <v>112</v>
      </c>
      <c r="DC18" s="253" t="s">
        <v>88</v>
      </c>
      <c r="DD18" s="32" t="s">
        <v>113</v>
      </c>
      <c r="DE18" s="32" t="s">
        <v>88</v>
      </c>
      <c r="DF18" s="32" t="s">
        <v>114</v>
      </c>
      <c r="DG18" s="32" t="s">
        <v>88</v>
      </c>
      <c r="DH18" s="32" t="s">
        <v>115</v>
      </c>
      <c r="DI18" s="32" t="s">
        <v>88</v>
      </c>
      <c r="DJ18" s="32" t="s">
        <v>116</v>
      </c>
      <c r="DK18" s="32" t="s">
        <v>88</v>
      </c>
      <c r="DL18" s="32" t="s">
        <v>117</v>
      </c>
      <c r="DM18" s="32" t="s">
        <v>88</v>
      </c>
      <c r="DN18" s="254" t="s">
        <v>118</v>
      </c>
      <c r="DO18" s="253" t="s">
        <v>119</v>
      </c>
      <c r="DP18" s="32" t="s">
        <v>120</v>
      </c>
      <c r="DQ18" s="32" t="s">
        <v>119</v>
      </c>
      <c r="DR18" s="32" t="s">
        <v>120</v>
      </c>
      <c r="DS18" s="32" t="s">
        <v>119</v>
      </c>
      <c r="DT18" s="32" t="s">
        <v>120</v>
      </c>
      <c r="DU18" s="32" t="s">
        <v>119</v>
      </c>
      <c r="DV18" s="32" t="s">
        <v>120</v>
      </c>
      <c r="DW18" s="32" t="s">
        <v>119</v>
      </c>
      <c r="DX18" s="32" t="s">
        <v>120</v>
      </c>
      <c r="DY18" s="32" t="s">
        <v>119</v>
      </c>
      <c r="DZ18" s="32" t="s">
        <v>120</v>
      </c>
      <c r="EA18" s="32" t="s">
        <v>119</v>
      </c>
      <c r="EB18" s="32" t="s">
        <v>120</v>
      </c>
      <c r="EC18" s="32" t="s">
        <v>119</v>
      </c>
      <c r="ED18" s="32" t="s">
        <v>120</v>
      </c>
      <c r="EE18" s="32" t="s">
        <v>119</v>
      </c>
      <c r="EF18" s="32" t="s">
        <v>120</v>
      </c>
      <c r="EG18" s="32" t="s">
        <v>119</v>
      </c>
      <c r="EH18" s="254" t="s">
        <v>120</v>
      </c>
    </row>
    <row r="19" spans="2:138" x14ac:dyDescent="0.35">
      <c r="B19" s="27" t="s">
        <v>173</v>
      </c>
      <c r="C19" s="236">
        <f>C7+D7-E7</f>
        <v>0</v>
      </c>
      <c r="D19" s="10">
        <v>0.82</v>
      </c>
      <c r="E19" s="2">
        <f>C19*D19</f>
        <v>0</v>
      </c>
      <c r="F19" s="343">
        <v>2.9260000000000002</v>
      </c>
      <c r="G19" s="171">
        <f>F7+G7-H7</f>
        <v>0</v>
      </c>
      <c r="H19" s="8">
        <v>0.33500000000000002</v>
      </c>
      <c r="I19" s="2">
        <f>G19*H19</f>
        <v>0</v>
      </c>
      <c r="J19" s="343">
        <v>3.97</v>
      </c>
      <c r="K19" s="2">
        <f>I7+J7-K7</f>
        <v>0</v>
      </c>
      <c r="L19" s="10">
        <v>0.27</v>
      </c>
      <c r="M19" s="2">
        <f>K19*L19</f>
        <v>0</v>
      </c>
      <c r="N19" s="343">
        <v>4.18</v>
      </c>
      <c r="O19" s="2">
        <f>L7+M7-N7</f>
        <v>3320</v>
      </c>
      <c r="P19" s="10">
        <v>0.39</v>
      </c>
      <c r="Q19" s="2">
        <f>O19*P19/1.3</f>
        <v>995.99999999999989</v>
      </c>
      <c r="R19" s="343">
        <v>4.99</v>
      </c>
      <c r="S19" s="75">
        <f>O7+P7-Q7</f>
        <v>0</v>
      </c>
      <c r="T19" s="9">
        <v>0.46</v>
      </c>
      <c r="U19" s="2">
        <f>S19*T19</f>
        <v>0</v>
      </c>
      <c r="V19" s="343">
        <v>4.54</v>
      </c>
      <c r="W19" s="75">
        <f>R7+S7-T7</f>
        <v>82750</v>
      </c>
      <c r="X19" s="118">
        <v>0.29060000000000002</v>
      </c>
      <c r="Y19" s="75">
        <f>W19*X19</f>
        <v>24047.15</v>
      </c>
      <c r="Z19" s="343">
        <v>4.99</v>
      </c>
      <c r="AA19" s="75">
        <f>U7+V7-W7</f>
        <v>0</v>
      </c>
      <c r="AB19" s="66">
        <v>0.46</v>
      </c>
      <c r="AC19" s="2">
        <f>AA19*AB19</f>
        <v>0</v>
      </c>
      <c r="AD19" s="343">
        <v>1.45</v>
      </c>
      <c r="AE19" s="75">
        <f>X7+Y7-Z7</f>
        <v>0</v>
      </c>
      <c r="AF19" s="119"/>
      <c r="AG19" s="2">
        <f>AE19*AF19</f>
        <v>0</v>
      </c>
      <c r="AH19" s="343">
        <v>1.45</v>
      </c>
      <c r="AI19" s="75">
        <f>AA7+AB7-AC7</f>
        <v>0</v>
      </c>
      <c r="AJ19" s="11">
        <v>0.6</v>
      </c>
      <c r="AK19" s="2">
        <f>AI19*AJ19</f>
        <v>0</v>
      </c>
      <c r="AL19" s="343">
        <v>0.71</v>
      </c>
      <c r="AM19" s="75">
        <f>AD7+AE7-AF7</f>
        <v>0</v>
      </c>
      <c r="AN19" s="119"/>
      <c r="AO19" s="2">
        <f>AM19*AN19</f>
        <v>0</v>
      </c>
      <c r="AP19" s="317">
        <v>0.71</v>
      </c>
      <c r="AQ19" s="248">
        <f>AG7+AH7-AI7</f>
        <v>0</v>
      </c>
      <c r="AR19" s="119"/>
      <c r="AS19" s="2">
        <f>AQ19*AR19</f>
        <v>0</v>
      </c>
      <c r="AT19" s="343">
        <v>1.45</v>
      </c>
      <c r="AU19" s="119"/>
      <c r="AV19" s="2">
        <f>AQ19*AU19</f>
        <v>0</v>
      </c>
      <c r="AW19" s="343">
        <v>0.71</v>
      </c>
      <c r="AX19" s="2">
        <f>AJ7+AK7-AL7</f>
        <v>0</v>
      </c>
      <c r="AY19" s="22">
        <v>0.44</v>
      </c>
      <c r="AZ19" s="2">
        <f>AX19*AY19</f>
        <v>0</v>
      </c>
      <c r="BA19" s="343">
        <v>2.74</v>
      </c>
      <c r="BB19" s="75">
        <f>AM7+AN7-AO7</f>
        <v>0</v>
      </c>
      <c r="BC19" s="118"/>
      <c r="BD19" s="2">
        <f>BB19*BC19</f>
        <v>0</v>
      </c>
      <c r="BE19" s="343">
        <v>2.74</v>
      </c>
      <c r="BF19" s="118"/>
      <c r="BG19" s="75">
        <f>BB19*BF19</f>
        <v>0</v>
      </c>
      <c r="BH19" s="343">
        <v>0.71</v>
      </c>
      <c r="BI19" s="2">
        <f>AP7+AQ7-AR7</f>
        <v>0</v>
      </c>
      <c r="BJ19" s="10">
        <v>0.54</v>
      </c>
      <c r="BK19" s="2">
        <f>BI19*BJ19</f>
        <v>0</v>
      </c>
      <c r="BL19" s="343">
        <v>1.82</v>
      </c>
      <c r="BM19" s="2">
        <f>AS7+AT7-AU7</f>
        <v>0</v>
      </c>
      <c r="BN19" s="22">
        <v>0.46</v>
      </c>
      <c r="BO19" s="2">
        <f>BM19*BN19</f>
        <v>0</v>
      </c>
      <c r="BP19" s="317">
        <v>3.02</v>
      </c>
      <c r="BQ19" s="305">
        <f>AV7+AW7-AX7</f>
        <v>0</v>
      </c>
      <c r="BR19" s="118"/>
      <c r="BS19" s="2">
        <f>BQ19*BR19</f>
        <v>0</v>
      </c>
      <c r="BT19" s="343">
        <v>3.97</v>
      </c>
      <c r="BU19" s="120"/>
      <c r="BV19" s="2">
        <f>BQ19*BU19</f>
        <v>0</v>
      </c>
      <c r="BW19" s="343">
        <v>1.83</v>
      </c>
      <c r="BX19" s="120"/>
      <c r="BY19" s="2">
        <f>BQ19*BX19</f>
        <v>0</v>
      </c>
      <c r="BZ19" s="343">
        <v>0.71</v>
      </c>
      <c r="CA19" s="75">
        <f>AY7+AZ7-BA7</f>
        <v>0</v>
      </c>
      <c r="CB19" s="118"/>
      <c r="CC19" s="2">
        <f>CA19*CB19</f>
        <v>0</v>
      </c>
      <c r="CD19" s="343">
        <v>3.97</v>
      </c>
      <c r="CE19" s="120"/>
      <c r="CF19" s="2">
        <f>CA19*CE19</f>
        <v>0</v>
      </c>
      <c r="CG19" s="343">
        <v>1.83</v>
      </c>
      <c r="CH19" s="120"/>
      <c r="CI19" s="2">
        <f>CA19*CH19</f>
        <v>0</v>
      </c>
      <c r="CJ19" s="317">
        <v>0.71</v>
      </c>
      <c r="CK19" s="236">
        <f>BB7+BC7-BD7</f>
        <v>1851.3</v>
      </c>
      <c r="CL19" s="317">
        <v>9.8610000000000007</v>
      </c>
      <c r="CM19" s="236">
        <f>BE7+BF7-BG7</f>
        <v>0</v>
      </c>
      <c r="CN19" s="10">
        <v>0.94</v>
      </c>
      <c r="CO19" s="204">
        <f>CM19*CN19</f>
        <v>0</v>
      </c>
      <c r="CP19" s="343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43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43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17">
        <v>0.1</v>
      </c>
      <c r="DC19" s="248">
        <f>BQ7+BR7-BS7</f>
        <v>0</v>
      </c>
      <c r="DD19" s="306"/>
      <c r="DE19" s="75">
        <f>BT7+BU7-BV7</f>
        <v>0</v>
      </c>
      <c r="DF19" s="306"/>
      <c r="DG19" s="75">
        <f>BW7+BX7-BY7</f>
        <v>0</v>
      </c>
      <c r="DH19" s="306"/>
      <c r="DI19" s="75">
        <f>BZ7+CA7-CB7</f>
        <v>0</v>
      </c>
      <c r="DJ19" s="306"/>
      <c r="DK19" s="75">
        <f>CC7+CD7-CE7</f>
        <v>0</v>
      </c>
      <c r="DL19" s="306"/>
      <c r="DM19" s="2">
        <f>CF7+CG7-CH7</f>
        <v>0</v>
      </c>
      <c r="DN19" s="478"/>
      <c r="DO19" s="61">
        <f>CI7+CJ7-CK7</f>
        <v>0</v>
      </c>
      <c r="DP19" s="343">
        <v>625</v>
      </c>
      <c r="DQ19" s="1">
        <f>CL7+CM7-CN7</f>
        <v>0</v>
      </c>
      <c r="DR19" s="343">
        <v>517</v>
      </c>
      <c r="DS19" s="1">
        <f>CO7+CP7-CQ7</f>
        <v>459.8</v>
      </c>
      <c r="DT19" s="343">
        <v>14.6</v>
      </c>
      <c r="DU19" s="1">
        <f>CR7+CS7-CT7</f>
        <v>0</v>
      </c>
      <c r="DV19" s="343">
        <v>234</v>
      </c>
      <c r="DW19" s="1">
        <f>CU7+CV7-CW7</f>
        <v>0</v>
      </c>
      <c r="DX19" s="343">
        <v>701</v>
      </c>
      <c r="DY19" s="1">
        <f>CX7+CY7-CZ7</f>
        <v>0</v>
      </c>
      <c r="DZ19" s="343">
        <v>1190</v>
      </c>
      <c r="EA19" s="1">
        <f>DA7+DB7-DC7</f>
        <v>0</v>
      </c>
      <c r="EB19" s="343">
        <v>1486</v>
      </c>
      <c r="EC19" s="1">
        <f>DD7+DE7-DF7</f>
        <v>0</v>
      </c>
      <c r="ED19" s="343">
        <v>3084</v>
      </c>
      <c r="EE19" s="1">
        <f>DG7+DH7-DI7</f>
        <v>0</v>
      </c>
      <c r="EF19" s="343">
        <v>193</v>
      </c>
      <c r="EG19" s="1">
        <f>DJ7+DK7-DL7</f>
        <v>0</v>
      </c>
      <c r="EH19" s="317">
        <v>320</v>
      </c>
    </row>
    <row r="20" spans="2:138" x14ac:dyDescent="0.35">
      <c r="B20" s="27" t="s">
        <v>174</v>
      </c>
      <c r="C20" s="236">
        <f>C8+D8-E8</f>
        <v>0</v>
      </c>
      <c r="D20" s="10">
        <v>0.82</v>
      </c>
      <c r="E20" s="2">
        <f>C20*D20</f>
        <v>0</v>
      </c>
      <c r="F20" s="344"/>
      <c r="G20" s="171">
        <f t="shared" ref="G20:G23" si="0">F8+G8-H8</f>
        <v>0</v>
      </c>
      <c r="H20" s="8">
        <v>0.33500000000000002</v>
      </c>
      <c r="I20" s="2">
        <f>G20*H20</f>
        <v>0</v>
      </c>
      <c r="J20" s="344"/>
      <c r="K20" s="2">
        <f>I8+J8-K8</f>
        <v>0</v>
      </c>
      <c r="L20" s="10">
        <v>0.27</v>
      </c>
      <c r="M20" s="2">
        <f>K20*L20</f>
        <v>0</v>
      </c>
      <c r="N20" s="344"/>
      <c r="O20" s="2">
        <f>L8+M8-N8</f>
        <v>3320</v>
      </c>
      <c r="P20" s="10">
        <v>0.39</v>
      </c>
      <c r="Q20" s="2">
        <f t="shared" ref="Q20:Q23" si="1">O20*P20/1.3</f>
        <v>995.99999999999989</v>
      </c>
      <c r="R20" s="344"/>
      <c r="S20" s="75">
        <f>O8+P8-Q8</f>
        <v>0</v>
      </c>
      <c r="T20" s="9">
        <v>0.46</v>
      </c>
      <c r="U20" s="2">
        <f>S20*T20</f>
        <v>0</v>
      </c>
      <c r="V20" s="344"/>
      <c r="W20" s="75">
        <f>R8+S8-T8</f>
        <v>82750</v>
      </c>
      <c r="X20" s="118">
        <v>0.29060000000000002</v>
      </c>
      <c r="Y20" s="75">
        <f>W20*X20</f>
        <v>24047.15</v>
      </c>
      <c r="Z20" s="344"/>
      <c r="AA20" s="75">
        <f>U8+V8-W8</f>
        <v>0</v>
      </c>
      <c r="AB20" s="66">
        <v>0.46</v>
      </c>
      <c r="AC20" s="2">
        <f t="shared" ref="AC20:AC23" si="2">AA20*AB20</f>
        <v>0</v>
      </c>
      <c r="AD20" s="344"/>
      <c r="AE20" s="75">
        <f>X8+Y8-Z8</f>
        <v>0</v>
      </c>
      <c r="AF20" s="119"/>
      <c r="AG20" s="2">
        <f t="shared" ref="AG20:AG23" si="3">AE20*AF20</f>
        <v>0</v>
      </c>
      <c r="AH20" s="344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44"/>
      <c r="AM20" s="75">
        <f t="shared" ref="AM20:AM23" si="6">AD8+AE8-AF8</f>
        <v>0</v>
      </c>
      <c r="AN20" s="119"/>
      <c r="AO20" s="2">
        <f t="shared" ref="AO20:AO23" si="7">AM20*AN20</f>
        <v>0</v>
      </c>
      <c r="AP20" s="318"/>
      <c r="AQ20" s="248">
        <f t="shared" ref="AQ20:AQ23" si="8">AG8+AH8-AI8</f>
        <v>0</v>
      </c>
      <c r="AR20" s="119"/>
      <c r="AS20" s="2">
        <f t="shared" ref="AS20:AS23" si="9">AQ20*AR20</f>
        <v>0</v>
      </c>
      <c r="AT20" s="344"/>
      <c r="AU20" s="119"/>
      <c r="AV20" s="2">
        <f t="shared" ref="AV20:AV23" si="10">AQ20*AU20</f>
        <v>0</v>
      </c>
      <c r="AW20" s="344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44"/>
      <c r="BB20" s="75">
        <f t="shared" ref="BB20:BB23" si="13">AM8+AN8-AO8</f>
        <v>0</v>
      </c>
      <c r="BC20" s="118"/>
      <c r="BD20" s="2">
        <f t="shared" ref="BD20:BD23" si="14">BB20*BC20</f>
        <v>0</v>
      </c>
      <c r="BE20" s="344"/>
      <c r="BF20" s="118"/>
      <c r="BG20" s="75">
        <f t="shared" ref="BG20:BG23" si="15">BB20*BF20</f>
        <v>0</v>
      </c>
      <c r="BH20" s="344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44"/>
      <c r="BM20" s="2">
        <f t="shared" ref="BM20:BM23" si="18">AS8+AT8-AU8</f>
        <v>0</v>
      </c>
      <c r="BN20" s="22">
        <v>0.46</v>
      </c>
      <c r="BO20" s="2">
        <f t="shared" ref="BO20:BO23" si="19">BM20*BN20</f>
        <v>0</v>
      </c>
      <c r="BP20" s="318"/>
      <c r="BQ20" s="305">
        <f t="shared" ref="BQ20:BQ23" si="20">AV8+AW8-AX8</f>
        <v>0</v>
      </c>
      <c r="BR20" s="118"/>
      <c r="BS20" s="2">
        <f t="shared" ref="BS20:BS23" si="21">BQ20*BR20</f>
        <v>0</v>
      </c>
      <c r="BT20" s="344"/>
      <c r="BU20" s="120"/>
      <c r="BV20" s="2">
        <f t="shared" ref="BV20:BV23" si="22">BQ20*BU20</f>
        <v>0</v>
      </c>
      <c r="BW20" s="344"/>
      <c r="BX20" s="120"/>
      <c r="BY20" s="2">
        <f t="shared" ref="BY20:BY23" si="23">BQ20*BX20</f>
        <v>0</v>
      </c>
      <c r="BZ20" s="344"/>
      <c r="CA20" s="75">
        <f>AY8+AZ8-BA8</f>
        <v>0</v>
      </c>
      <c r="CB20" s="118"/>
      <c r="CC20" s="2">
        <f t="shared" ref="CC20:CC23" si="24">CA20*CB20</f>
        <v>0</v>
      </c>
      <c r="CD20" s="344"/>
      <c r="CE20" s="119"/>
      <c r="CF20" s="2">
        <f t="shared" ref="CF20:CF23" si="25">CA20*CE20</f>
        <v>0</v>
      </c>
      <c r="CG20" s="344"/>
      <c r="CH20" s="119"/>
      <c r="CI20" s="2">
        <f t="shared" ref="CI20:CI23" si="26">CA20*CH20</f>
        <v>0</v>
      </c>
      <c r="CJ20" s="318"/>
      <c r="CK20" s="236">
        <f>BB8+BC8-BD8</f>
        <v>1851.3</v>
      </c>
      <c r="CL20" s="318"/>
      <c r="CM20" s="236">
        <f t="shared" ref="CM20:CM23" si="27">BE8+BF8-BG8</f>
        <v>0</v>
      </c>
      <c r="CN20" s="10">
        <v>0.94</v>
      </c>
      <c r="CO20" s="204">
        <f t="shared" ref="CO20:CO23" si="28">CM20*CN20</f>
        <v>0</v>
      </c>
      <c r="CP20" s="344"/>
      <c r="CQ20" s="75">
        <f t="shared" ref="CQ20:CQ23" si="29">BH8+BI8-BJ8</f>
        <v>0</v>
      </c>
      <c r="CR20" s="25">
        <v>0.55000000000000004</v>
      </c>
      <c r="CS20" s="75">
        <f t="shared" ref="CS20:CS23" si="30">CQ20*CR20</f>
        <v>0</v>
      </c>
      <c r="CT20" s="344"/>
      <c r="CU20" s="75">
        <f t="shared" ref="CU20:CU23" si="31">BK8+BL8-BM8</f>
        <v>0</v>
      </c>
      <c r="CV20" s="25">
        <v>0.55000000000000004</v>
      </c>
      <c r="CW20" s="75">
        <f t="shared" ref="CW20:CW23" si="32">CU20*CV20</f>
        <v>0</v>
      </c>
      <c r="CX20" s="344"/>
      <c r="CY20" s="75">
        <f t="shared" ref="CY20:CY23" si="33">BN8+BO8-BP8</f>
        <v>0</v>
      </c>
      <c r="CZ20" s="25">
        <v>0.35</v>
      </c>
      <c r="DA20" s="75">
        <f t="shared" ref="DA20:DA23" si="34">CY20*CZ20</f>
        <v>0</v>
      </c>
      <c r="DB20" s="318"/>
      <c r="DC20" s="248">
        <f>BQ8+BR8-BS8</f>
        <v>0</v>
      </c>
      <c r="DD20" s="307"/>
      <c r="DE20" s="75">
        <f t="shared" ref="DE20:DE23" si="35">BT8+BU8-BV8</f>
        <v>0</v>
      </c>
      <c r="DF20" s="307"/>
      <c r="DG20" s="75">
        <f t="shared" ref="DG20:DG23" si="36">BW8+BX8-BY8</f>
        <v>0</v>
      </c>
      <c r="DH20" s="307"/>
      <c r="DI20" s="75">
        <f t="shared" ref="DI20:DI23" si="37">BZ8+CA8-CB8</f>
        <v>0</v>
      </c>
      <c r="DJ20" s="307"/>
      <c r="DK20" s="75">
        <f t="shared" ref="DK20:DK23" si="38">CC8+CD8-CE8</f>
        <v>0</v>
      </c>
      <c r="DL20" s="307"/>
      <c r="DM20" s="2">
        <f>CF8+CG8-CH8</f>
        <v>0</v>
      </c>
      <c r="DN20" s="479"/>
      <c r="DO20" s="61">
        <f>CI8+CJ8-CK8</f>
        <v>0</v>
      </c>
      <c r="DP20" s="344"/>
      <c r="DQ20" s="1">
        <f>CL8+CM8-CN8</f>
        <v>0</v>
      </c>
      <c r="DR20" s="344"/>
      <c r="DS20" s="1">
        <f>CO8+CP8-CQ8</f>
        <v>459.8</v>
      </c>
      <c r="DT20" s="344"/>
      <c r="DU20" s="1">
        <f>CR8+CS8-CT8</f>
        <v>0</v>
      </c>
      <c r="DV20" s="344"/>
      <c r="DW20" s="1">
        <f>CU8+CV8-CW8</f>
        <v>0</v>
      </c>
      <c r="DX20" s="344"/>
      <c r="DY20" s="1">
        <f>CX8+CY8-CZ8</f>
        <v>0</v>
      </c>
      <c r="DZ20" s="344"/>
      <c r="EA20" s="1">
        <f>DA8+DB8-DC8</f>
        <v>0</v>
      </c>
      <c r="EB20" s="344"/>
      <c r="EC20" s="1">
        <f>DD8+DE8-DF8</f>
        <v>0</v>
      </c>
      <c r="ED20" s="344"/>
      <c r="EE20" s="1">
        <f>DG8+DH8-DI8</f>
        <v>0</v>
      </c>
      <c r="EF20" s="344"/>
      <c r="EG20" s="1">
        <f>DJ8+DK8-DL8</f>
        <v>0</v>
      </c>
      <c r="EH20" s="318"/>
    </row>
    <row r="21" spans="2:138" x14ac:dyDescent="0.35">
      <c r="B21" s="27" t="s">
        <v>175</v>
      </c>
      <c r="C21" s="236">
        <f>C9+D9-E9</f>
        <v>0</v>
      </c>
      <c r="D21" s="10">
        <v>0.82</v>
      </c>
      <c r="E21" s="2">
        <f>C21*D21</f>
        <v>0</v>
      </c>
      <c r="F21" s="344"/>
      <c r="G21" s="171">
        <f t="shared" si="0"/>
        <v>0</v>
      </c>
      <c r="H21" s="8">
        <v>0.33500000000000002</v>
      </c>
      <c r="I21" s="2">
        <f>G21*H21</f>
        <v>0</v>
      </c>
      <c r="J21" s="344"/>
      <c r="K21" s="2">
        <f>I9+J9-K9</f>
        <v>0</v>
      </c>
      <c r="L21" s="10">
        <v>0.27</v>
      </c>
      <c r="M21" s="2">
        <f>K21*L21</f>
        <v>0</v>
      </c>
      <c r="N21" s="344"/>
      <c r="O21" s="2">
        <f>L9+M9-N9</f>
        <v>3320</v>
      </c>
      <c r="P21" s="10">
        <v>0.39</v>
      </c>
      <c r="Q21" s="2">
        <f t="shared" si="1"/>
        <v>995.99999999999989</v>
      </c>
      <c r="R21" s="344"/>
      <c r="S21" s="75">
        <f>O9+P9-Q9</f>
        <v>0</v>
      </c>
      <c r="T21" s="9">
        <v>0.46</v>
      </c>
      <c r="U21" s="2">
        <f>S21*T21</f>
        <v>0</v>
      </c>
      <c r="V21" s="344"/>
      <c r="W21" s="75">
        <f>R9+S9-T9</f>
        <v>82750</v>
      </c>
      <c r="X21" s="118">
        <v>0.29060000000000002</v>
      </c>
      <c r="Y21" s="75">
        <f t="shared" ref="Y21:Y23" si="39">W21*X21</f>
        <v>24047.15</v>
      </c>
      <c r="Z21" s="344"/>
      <c r="AA21" s="75">
        <f>U9+V9-W9</f>
        <v>0</v>
      </c>
      <c r="AB21" s="66">
        <v>0.46</v>
      </c>
      <c r="AC21" s="2">
        <f t="shared" si="2"/>
        <v>0</v>
      </c>
      <c r="AD21" s="344"/>
      <c r="AE21" s="75">
        <f>X9+Y9-Z9</f>
        <v>0</v>
      </c>
      <c r="AF21" s="119"/>
      <c r="AG21" s="2">
        <f t="shared" si="3"/>
        <v>0</v>
      </c>
      <c r="AH21" s="344"/>
      <c r="AI21" s="75">
        <f t="shared" si="4"/>
        <v>0</v>
      </c>
      <c r="AJ21" s="11">
        <v>0.6</v>
      </c>
      <c r="AK21" s="2">
        <f t="shared" si="5"/>
        <v>0</v>
      </c>
      <c r="AL21" s="344"/>
      <c r="AM21" s="75">
        <f t="shared" si="6"/>
        <v>0</v>
      </c>
      <c r="AN21" s="119"/>
      <c r="AO21" s="2">
        <f t="shared" si="7"/>
        <v>0</v>
      </c>
      <c r="AP21" s="318"/>
      <c r="AQ21" s="248">
        <f t="shared" si="8"/>
        <v>0</v>
      </c>
      <c r="AR21" s="119"/>
      <c r="AS21" s="2">
        <f t="shared" si="9"/>
        <v>0</v>
      </c>
      <c r="AT21" s="344"/>
      <c r="AU21" s="119"/>
      <c r="AV21" s="2">
        <f t="shared" si="10"/>
        <v>0</v>
      </c>
      <c r="AW21" s="344"/>
      <c r="AX21" s="2">
        <f t="shared" si="11"/>
        <v>0</v>
      </c>
      <c r="AY21" s="22">
        <v>0.44</v>
      </c>
      <c r="AZ21" s="2">
        <f t="shared" si="12"/>
        <v>0</v>
      </c>
      <c r="BA21" s="344"/>
      <c r="BB21" s="75">
        <f t="shared" si="13"/>
        <v>0</v>
      </c>
      <c r="BC21" s="118"/>
      <c r="BD21" s="2">
        <f t="shared" si="14"/>
        <v>0</v>
      </c>
      <c r="BE21" s="344"/>
      <c r="BF21" s="118"/>
      <c r="BG21" s="75">
        <f t="shared" si="15"/>
        <v>0</v>
      </c>
      <c r="BH21" s="344"/>
      <c r="BI21" s="2">
        <f t="shared" si="16"/>
        <v>0</v>
      </c>
      <c r="BJ21" s="10">
        <v>0.54</v>
      </c>
      <c r="BK21" s="2">
        <f t="shared" si="17"/>
        <v>0</v>
      </c>
      <c r="BL21" s="344"/>
      <c r="BM21" s="2">
        <f t="shared" si="18"/>
        <v>0</v>
      </c>
      <c r="BN21" s="22">
        <v>0.46</v>
      </c>
      <c r="BO21" s="2">
        <f t="shared" si="19"/>
        <v>0</v>
      </c>
      <c r="BP21" s="318"/>
      <c r="BQ21" s="305">
        <f t="shared" si="20"/>
        <v>0</v>
      </c>
      <c r="BR21" s="118"/>
      <c r="BS21" s="2">
        <f t="shared" si="21"/>
        <v>0</v>
      </c>
      <c r="BT21" s="344"/>
      <c r="BU21" s="120"/>
      <c r="BV21" s="2">
        <f t="shared" si="22"/>
        <v>0</v>
      </c>
      <c r="BW21" s="344"/>
      <c r="BX21" s="120"/>
      <c r="BY21" s="2">
        <f t="shared" si="23"/>
        <v>0</v>
      </c>
      <c r="BZ21" s="344"/>
      <c r="CA21" s="75">
        <f>AY9+AZ9-BA9</f>
        <v>0</v>
      </c>
      <c r="CB21" s="118"/>
      <c r="CC21" s="2">
        <f t="shared" si="24"/>
        <v>0</v>
      </c>
      <c r="CD21" s="344"/>
      <c r="CE21" s="119"/>
      <c r="CF21" s="2">
        <f t="shared" si="25"/>
        <v>0</v>
      </c>
      <c r="CG21" s="344"/>
      <c r="CH21" s="119"/>
      <c r="CI21" s="2">
        <f t="shared" si="26"/>
        <v>0</v>
      </c>
      <c r="CJ21" s="318"/>
      <c r="CK21" s="236">
        <f>BB9+BC9-BD9</f>
        <v>1851.3</v>
      </c>
      <c r="CL21" s="318"/>
      <c r="CM21" s="236">
        <f t="shared" si="27"/>
        <v>0</v>
      </c>
      <c r="CN21" s="10">
        <v>0.94</v>
      </c>
      <c r="CO21" s="204">
        <f t="shared" si="28"/>
        <v>0</v>
      </c>
      <c r="CP21" s="344"/>
      <c r="CQ21" s="75">
        <f t="shared" si="29"/>
        <v>0</v>
      </c>
      <c r="CR21" s="25">
        <v>0.55000000000000004</v>
      </c>
      <c r="CS21" s="75">
        <f t="shared" si="30"/>
        <v>0</v>
      </c>
      <c r="CT21" s="344"/>
      <c r="CU21" s="75">
        <f t="shared" si="31"/>
        <v>0</v>
      </c>
      <c r="CV21" s="25">
        <v>0.55000000000000004</v>
      </c>
      <c r="CW21" s="75">
        <f t="shared" si="32"/>
        <v>0</v>
      </c>
      <c r="CX21" s="344"/>
      <c r="CY21" s="75">
        <f t="shared" si="33"/>
        <v>0</v>
      </c>
      <c r="CZ21" s="25">
        <v>0.35</v>
      </c>
      <c r="DA21" s="75">
        <f t="shared" si="34"/>
        <v>0</v>
      </c>
      <c r="DB21" s="318"/>
      <c r="DC21" s="248">
        <f>BQ9+BR9-BS9</f>
        <v>0</v>
      </c>
      <c r="DD21" s="307"/>
      <c r="DE21" s="75">
        <f t="shared" si="35"/>
        <v>0</v>
      </c>
      <c r="DF21" s="307"/>
      <c r="DG21" s="75">
        <f t="shared" si="36"/>
        <v>0</v>
      </c>
      <c r="DH21" s="307"/>
      <c r="DI21" s="75">
        <f t="shared" si="37"/>
        <v>0</v>
      </c>
      <c r="DJ21" s="307"/>
      <c r="DK21" s="75">
        <f t="shared" si="38"/>
        <v>0</v>
      </c>
      <c r="DL21" s="307"/>
      <c r="DM21" s="2">
        <f>CF9+CG9-CH9</f>
        <v>0</v>
      </c>
      <c r="DN21" s="479"/>
      <c r="DO21" s="61">
        <f>CI9+CJ9-CK9</f>
        <v>0</v>
      </c>
      <c r="DP21" s="344"/>
      <c r="DQ21" s="1">
        <f>CL9+CM9-CN9</f>
        <v>0</v>
      </c>
      <c r="DR21" s="344"/>
      <c r="DS21" s="1">
        <f>CO9+CP9-CQ9</f>
        <v>459.8</v>
      </c>
      <c r="DT21" s="344"/>
      <c r="DU21" s="1">
        <f>CR9+CS9-CT9</f>
        <v>0</v>
      </c>
      <c r="DV21" s="344"/>
      <c r="DW21" s="1">
        <f>CU9+CV9-CW9</f>
        <v>0</v>
      </c>
      <c r="DX21" s="344"/>
      <c r="DY21" s="1">
        <f>CX9+CY9-CZ9</f>
        <v>0</v>
      </c>
      <c r="DZ21" s="344"/>
      <c r="EA21" s="1">
        <f>DA9+DB9-DC9</f>
        <v>0</v>
      </c>
      <c r="EB21" s="344"/>
      <c r="EC21" s="1">
        <f>DD9+DE9-DF9</f>
        <v>0</v>
      </c>
      <c r="ED21" s="344"/>
      <c r="EE21" s="1">
        <f>DG9+DH9-DI9</f>
        <v>0</v>
      </c>
      <c r="EF21" s="344"/>
      <c r="EG21" s="1">
        <f>DJ9+DK9-DL9</f>
        <v>0</v>
      </c>
      <c r="EH21" s="318"/>
    </row>
    <row r="22" spans="2:138" x14ac:dyDescent="0.35">
      <c r="B22" s="27" t="s">
        <v>176</v>
      </c>
      <c r="C22" s="236">
        <f>C10+D10-E10</f>
        <v>0</v>
      </c>
      <c r="D22" s="10">
        <v>0.82</v>
      </c>
      <c r="E22" s="2">
        <f>C22*D22</f>
        <v>0</v>
      </c>
      <c r="F22" s="344"/>
      <c r="G22" s="171">
        <f t="shared" si="0"/>
        <v>0</v>
      </c>
      <c r="H22" s="8">
        <v>0.33500000000000002</v>
      </c>
      <c r="I22" s="2">
        <f>G22*H22</f>
        <v>0</v>
      </c>
      <c r="J22" s="344"/>
      <c r="K22" s="2">
        <f>I10+J10-K10</f>
        <v>0</v>
      </c>
      <c r="L22" s="10">
        <v>0.27</v>
      </c>
      <c r="M22" s="2">
        <f>K22*L22</f>
        <v>0</v>
      </c>
      <c r="N22" s="344"/>
      <c r="O22" s="2">
        <f>L10+M10-N10</f>
        <v>3320</v>
      </c>
      <c r="P22" s="10">
        <v>0.39</v>
      </c>
      <c r="Q22" s="2">
        <f t="shared" si="1"/>
        <v>995.99999999999989</v>
      </c>
      <c r="R22" s="344"/>
      <c r="S22" s="75">
        <f>O10+P10-Q10</f>
        <v>0</v>
      </c>
      <c r="T22" s="9">
        <v>0.46</v>
      </c>
      <c r="U22" s="2">
        <f>S22*T22</f>
        <v>0</v>
      </c>
      <c r="V22" s="344"/>
      <c r="W22" s="75">
        <f>R10+S10-T10</f>
        <v>82750</v>
      </c>
      <c r="X22" s="118">
        <v>0.29060000000000002</v>
      </c>
      <c r="Y22" s="75">
        <f t="shared" si="39"/>
        <v>24047.15</v>
      </c>
      <c r="Z22" s="344"/>
      <c r="AA22" s="75">
        <f>U10+V10-W10</f>
        <v>0</v>
      </c>
      <c r="AB22" s="66">
        <v>0.46</v>
      </c>
      <c r="AC22" s="2">
        <f t="shared" si="2"/>
        <v>0</v>
      </c>
      <c r="AD22" s="344"/>
      <c r="AE22" s="75">
        <f>X10+Y10-Z10</f>
        <v>0</v>
      </c>
      <c r="AF22" s="119"/>
      <c r="AG22" s="2">
        <f t="shared" si="3"/>
        <v>0</v>
      </c>
      <c r="AH22" s="344"/>
      <c r="AI22" s="75">
        <f t="shared" si="4"/>
        <v>0</v>
      </c>
      <c r="AJ22" s="11">
        <v>0.6</v>
      </c>
      <c r="AK22" s="2">
        <f t="shared" si="5"/>
        <v>0</v>
      </c>
      <c r="AL22" s="344"/>
      <c r="AM22" s="75">
        <f t="shared" si="6"/>
        <v>0</v>
      </c>
      <c r="AN22" s="119"/>
      <c r="AO22" s="2">
        <f t="shared" si="7"/>
        <v>0</v>
      </c>
      <c r="AP22" s="318"/>
      <c r="AQ22" s="248">
        <f t="shared" si="8"/>
        <v>0</v>
      </c>
      <c r="AR22" s="119"/>
      <c r="AS22" s="2">
        <f t="shared" si="9"/>
        <v>0</v>
      </c>
      <c r="AT22" s="344"/>
      <c r="AU22" s="119"/>
      <c r="AV22" s="2">
        <f t="shared" si="10"/>
        <v>0</v>
      </c>
      <c r="AW22" s="344"/>
      <c r="AX22" s="2">
        <f t="shared" si="11"/>
        <v>0</v>
      </c>
      <c r="AY22" s="22">
        <v>0.44</v>
      </c>
      <c r="AZ22" s="2">
        <f t="shared" si="12"/>
        <v>0</v>
      </c>
      <c r="BA22" s="344"/>
      <c r="BB22" s="75">
        <f t="shared" si="13"/>
        <v>0</v>
      </c>
      <c r="BC22" s="118"/>
      <c r="BD22" s="2">
        <f t="shared" si="14"/>
        <v>0</v>
      </c>
      <c r="BE22" s="344"/>
      <c r="BF22" s="118"/>
      <c r="BG22" s="75">
        <f t="shared" si="15"/>
        <v>0</v>
      </c>
      <c r="BH22" s="344"/>
      <c r="BI22" s="2">
        <f t="shared" si="16"/>
        <v>0</v>
      </c>
      <c r="BJ22" s="10">
        <v>0.54</v>
      </c>
      <c r="BK22" s="2">
        <f t="shared" si="17"/>
        <v>0</v>
      </c>
      <c r="BL22" s="344"/>
      <c r="BM22" s="2">
        <f t="shared" si="18"/>
        <v>0</v>
      </c>
      <c r="BN22" s="22">
        <v>0.46</v>
      </c>
      <c r="BO22" s="2">
        <f t="shared" si="19"/>
        <v>0</v>
      </c>
      <c r="BP22" s="318"/>
      <c r="BQ22" s="305">
        <f t="shared" si="20"/>
        <v>0</v>
      </c>
      <c r="BR22" s="118"/>
      <c r="BS22" s="2">
        <f t="shared" si="21"/>
        <v>0</v>
      </c>
      <c r="BT22" s="344"/>
      <c r="BU22" s="120"/>
      <c r="BV22" s="2">
        <f t="shared" si="22"/>
        <v>0</v>
      </c>
      <c r="BW22" s="344"/>
      <c r="BX22" s="120"/>
      <c r="BY22" s="2">
        <f t="shared" si="23"/>
        <v>0</v>
      </c>
      <c r="BZ22" s="344"/>
      <c r="CA22" s="75">
        <f>AY10+AZ10-BA10</f>
        <v>0</v>
      </c>
      <c r="CB22" s="118"/>
      <c r="CC22" s="2">
        <f t="shared" si="24"/>
        <v>0</v>
      </c>
      <c r="CD22" s="344"/>
      <c r="CE22" s="119"/>
      <c r="CF22" s="2">
        <f t="shared" si="25"/>
        <v>0</v>
      </c>
      <c r="CG22" s="344"/>
      <c r="CH22" s="119"/>
      <c r="CI22" s="2">
        <f t="shared" si="26"/>
        <v>0</v>
      </c>
      <c r="CJ22" s="318"/>
      <c r="CK22" s="236">
        <f>BB10+BC10-BD10</f>
        <v>1851.3</v>
      </c>
      <c r="CL22" s="318"/>
      <c r="CM22" s="236">
        <f t="shared" si="27"/>
        <v>0</v>
      </c>
      <c r="CN22" s="10">
        <v>0.94</v>
      </c>
      <c r="CO22" s="204">
        <f t="shared" si="28"/>
        <v>0</v>
      </c>
      <c r="CP22" s="344"/>
      <c r="CQ22" s="75">
        <f t="shared" si="29"/>
        <v>0</v>
      </c>
      <c r="CR22" s="25">
        <v>0.55000000000000004</v>
      </c>
      <c r="CS22" s="75">
        <f t="shared" si="30"/>
        <v>0</v>
      </c>
      <c r="CT22" s="344"/>
      <c r="CU22" s="75">
        <f t="shared" si="31"/>
        <v>0</v>
      </c>
      <c r="CV22" s="25">
        <v>0.55000000000000004</v>
      </c>
      <c r="CW22" s="75">
        <f t="shared" si="32"/>
        <v>0</v>
      </c>
      <c r="CX22" s="344"/>
      <c r="CY22" s="75">
        <f t="shared" si="33"/>
        <v>0</v>
      </c>
      <c r="CZ22" s="25">
        <v>0.35</v>
      </c>
      <c r="DA22" s="75">
        <f t="shared" si="34"/>
        <v>0</v>
      </c>
      <c r="DB22" s="318"/>
      <c r="DC22" s="248">
        <f>BQ10+BR10-BS10</f>
        <v>0</v>
      </c>
      <c r="DD22" s="307"/>
      <c r="DE22" s="75">
        <f t="shared" si="35"/>
        <v>0</v>
      </c>
      <c r="DF22" s="307"/>
      <c r="DG22" s="75">
        <f t="shared" si="36"/>
        <v>0</v>
      </c>
      <c r="DH22" s="307"/>
      <c r="DI22" s="75">
        <f t="shared" si="37"/>
        <v>0</v>
      </c>
      <c r="DJ22" s="307"/>
      <c r="DK22" s="75">
        <f t="shared" si="38"/>
        <v>0</v>
      </c>
      <c r="DL22" s="307"/>
      <c r="DM22" s="2">
        <f>CF10+CG10-CH10</f>
        <v>0</v>
      </c>
      <c r="DN22" s="479"/>
      <c r="DO22" s="61">
        <f>CI10+CJ10-CK10</f>
        <v>0</v>
      </c>
      <c r="DP22" s="344"/>
      <c r="DQ22" s="1">
        <f>CL10+CM10-CN10</f>
        <v>0</v>
      </c>
      <c r="DR22" s="344"/>
      <c r="DS22" s="1">
        <f>CO10+CP10-CQ10</f>
        <v>459.8</v>
      </c>
      <c r="DT22" s="344"/>
      <c r="DU22" s="1">
        <f>CR10+CS10-CT10</f>
        <v>0</v>
      </c>
      <c r="DV22" s="344"/>
      <c r="DW22" s="1">
        <f>CU10+CV10-CW10</f>
        <v>0</v>
      </c>
      <c r="DX22" s="344"/>
      <c r="DY22" s="1">
        <f>CX10+CY10-CZ10</f>
        <v>0</v>
      </c>
      <c r="DZ22" s="344"/>
      <c r="EA22" s="1">
        <f>DA10+DB10-DC10</f>
        <v>0</v>
      </c>
      <c r="EB22" s="344"/>
      <c r="EC22" s="1">
        <f>DD10+DE10-DF10</f>
        <v>0</v>
      </c>
      <c r="ED22" s="344"/>
      <c r="EE22" s="1">
        <f>DG10+DH10-DI10</f>
        <v>0</v>
      </c>
      <c r="EF22" s="344"/>
      <c r="EG22" s="1">
        <f>DJ10+DK10-DL10</f>
        <v>0</v>
      </c>
      <c r="EH22" s="318"/>
    </row>
    <row r="23" spans="2:138" ht="15" thickBot="1" x14ac:dyDescent="0.4">
      <c r="B23" s="27" t="s">
        <v>177</v>
      </c>
      <c r="C23" s="237">
        <f>C11+D11-E11</f>
        <v>0</v>
      </c>
      <c r="D23" s="238">
        <v>0.82</v>
      </c>
      <c r="E23" s="239">
        <f>C23*D23</f>
        <v>0</v>
      </c>
      <c r="F23" s="345"/>
      <c r="G23" s="240">
        <f t="shared" si="0"/>
        <v>0</v>
      </c>
      <c r="H23" s="241">
        <v>0.33500000000000002</v>
      </c>
      <c r="I23" s="239">
        <f>G23*H23</f>
        <v>0</v>
      </c>
      <c r="J23" s="345"/>
      <c r="K23" s="239">
        <f>I11+J11-K11</f>
        <v>0</v>
      </c>
      <c r="L23" s="238">
        <v>0.27</v>
      </c>
      <c r="M23" s="239">
        <f>K23*L23</f>
        <v>0</v>
      </c>
      <c r="N23" s="345"/>
      <c r="O23" s="239">
        <f>L11+M11-N11</f>
        <v>3320</v>
      </c>
      <c r="P23" s="238">
        <v>0.39</v>
      </c>
      <c r="Q23" s="2">
        <f t="shared" si="1"/>
        <v>995.99999999999989</v>
      </c>
      <c r="R23" s="345"/>
      <c r="S23" s="242">
        <f>O11+P11-Q11</f>
        <v>0</v>
      </c>
      <c r="T23" s="243">
        <v>0.46</v>
      </c>
      <c r="U23" s="239">
        <f>S23*T23</f>
        <v>0</v>
      </c>
      <c r="V23" s="345"/>
      <c r="W23" s="242">
        <f>R11+S11-T11</f>
        <v>82750</v>
      </c>
      <c r="X23" s="244">
        <v>0.29060000000000002</v>
      </c>
      <c r="Y23" s="242">
        <f t="shared" si="39"/>
        <v>24047.15</v>
      </c>
      <c r="Z23" s="345"/>
      <c r="AA23" s="242">
        <f>U11+V11-W11</f>
        <v>0</v>
      </c>
      <c r="AB23" s="245">
        <v>0.46</v>
      </c>
      <c r="AC23" s="239">
        <f t="shared" si="2"/>
        <v>0</v>
      </c>
      <c r="AD23" s="345"/>
      <c r="AE23" s="242">
        <f>X11+Y11-Z11</f>
        <v>0</v>
      </c>
      <c r="AF23" s="246"/>
      <c r="AG23" s="239">
        <f t="shared" si="3"/>
        <v>0</v>
      </c>
      <c r="AH23" s="345"/>
      <c r="AI23" s="242">
        <f t="shared" si="4"/>
        <v>0</v>
      </c>
      <c r="AJ23" s="247">
        <v>0.6</v>
      </c>
      <c r="AK23" s="239">
        <f t="shared" si="5"/>
        <v>0</v>
      </c>
      <c r="AL23" s="345"/>
      <c r="AM23" s="242">
        <f t="shared" si="6"/>
        <v>0</v>
      </c>
      <c r="AN23" s="246"/>
      <c r="AO23" s="239">
        <f t="shared" si="7"/>
        <v>0</v>
      </c>
      <c r="AP23" s="319"/>
      <c r="AQ23" s="249">
        <f t="shared" si="8"/>
        <v>0</v>
      </c>
      <c r="AR23" s="246"/>
      <c r="AS23" s="239">
        <f t="shared" si="9"/>
        <v>0</v>
      </c>
      <c r="AT23" s="345"/>
      <c r="AU23" s="246"/>
      <c r="AV23" s="239">
        <f t="shared" si="10"/>
        <v>0</v>
      </c>
      <c r="AW23" s="345"/>
      <c r="AX23" s="239">
        <f t="shared" si="11"/>
        <v>0</v>
      </c>
      <c r="AY23" s="250">
        <v>0.44</v>
      </c>
      <c r="AZ23" s="239">
        <f t="shared" si="12"/>
        <v>0</v>
      </c>
      <c r="BA23" s="345"/>
      <c r="BB23" s="242">
        <f t="shared" si="13"/>
        <v>0</v>
      </c>
      <c r="BC23" s="244"/>
      <c r="BD23" s="239">
        <f t="shared" si="14"/>
        <v>0</v>
      </c>
      <c r="BE23" s="345"/>
      <c r="BF23" s="244"/>
      <c r="BG23" s="242">
        <f t="shared" si="15"/>
        <v>0</v>
      </c>
      <c r="BH23" s="345"/>
      <c r="BI23" s="239">
        <f t="shared" si="16"/>
        <v>0</v>
      </c>
      <c r="BJ23" s="238">
        <v>0.54</v>
      </c>
      <c r="BK23" s="239">
        <f t="shared" si="17"/>
        <v>0</v>
      </c>
      <c r="BL23" s="345"/>
      <c r="BM23" s="239">
        <f t="shared" si="18"/>
        <v>0</v>
      </c>
      <c r="BN23" s="250">
        <v>0.46</v>
      </c>
      <c r="BO23" s="239">
        <f t="shared" si="19"/>
        <v>0</v>
      </c>
      <c r="BP23" s="319"/>
      <c r="BQ23" s="305">
        <f t="shared" si="20"/>
        <v>0</v>
      </c>
      <c r="BR23" s="244"/>
      <c r="BS23" s="239">
        <f t="shared" si="21"/>
        <v>0</v>
      </c>
      <c r="BT23" s="345"/>
      <c r="BU23" s="252"/>
      <c r="BV23" s="239">
        <f t="shared" si="22"/>
        <v>0</v>
      </c>
      <c r="BW23" s="345"/>
      <c r="BX23" s="252"/>
      <c r="BY23" s="239">
        <f t="shared" si="23"/>
        <v>0</v>
      </c>
      <c r="BZ23" s="345"/>
      <c r="CA23" s="242">
        <f>AY11+AZ11-BA11</f>
        <v>0</v>
      </c>
      <c r="CB23" s="244"/>
      <c r="CC23" s="239">
        <f t="shared" si="24"/>
        <v>0</v>
      </c>
      <c r="CD23" s="345"/>
      <c r="CE23" s="246"/>
      <c r="CF23" s="239">
        <f t="shared" si="25"/>
        <v>0</v>
      </c>
      <c r="CG23" s="345"/>
      <c r="CH23" s="246"/>
      <c r="CI23" s="239">
        <f t="shared" si="26"/>
        <v>0</v>
      </c>
      <c r="CJ23" s="319"/>
      <c r="CK23" s="237">
        <f>BB11+BC11-BD11</f>
        <v>1851.3</v>
      </c>
      <c r="CL23" s="319"/>
      <c r="CM23" s="237">
        <f t="shared" si="27"/>
        <v>0</v>
      </c>
      <c r="CN23" s="238">
        <v>0.94</v>
      </c>
      <c r="CO23" s="239">
        <f t="shared" si="28"/>
        <v>0</v>
      </c>
      <c r="CP23" s="345"/>
      <c r="CQ23" s="242">
        <f t="shared" si="29"/>
        <v>0</v>
      </c>
      <c r="CR23" s="257">
        <v>0.55000000000000004</v>
      </c>
      <c r="CS23" s="242">
        <f t="shared" si="30"/>
        <v>0</v>
      </c>
      <c r="CT23" s="345"/>
      <c r="CU23" s="242">
        <f t="shared" si="31"/>
        <v>0</v>
      </c>
      <c r="CV23" s="257">
        <v>0.55000000000000004</v>
      </c>
      <c r="CW23" s="242">
        <f t="shared" si="32"/>
        <v>0</v>
      </c>
      <c r="CX23" s="345"/>
      <c r="CY23" s="242">
        <f t="shared" si="33"/>
        <v>0</v>
      </c>
      <c r="CZ23" s="257">
        <v>0.35</v>
      </c>
      <c r="DA23" s="242">
        <f t="shared" si="34"/>
        <v>0</v>
      </c>
      <c r="DB23" s="319"/>
      <c r="DC23" s="249">
        <f>BQ11+BR11-BS11</f>
        <v>0</v>
      </c>
      <c r="DD23" s="308"/>
      <c r="DE23" s="242">
        <f t="shared" si="35"/>
        <v>0</v>
      </c>
      <c r="DF23" s="308"/>
      <c r="DG23" s="242">
        <f t="shared" si="36"/>
        <v>0</v>
      </c>
      <c r="DH23" s="308"/>
      <c r="DI23" s="242">
        <f t="shared" si="37"/>
        <v>0</v>
      </c>
      <c r="DJ23" s="308"/>
      <c r="DK23" s="242">
        <f t="shared" si="38"/>
        <v>0</v>
      </c>
      <c r="DL23" s="308"/>
      <c r="DM23" s="239">
        <f>CF11+CG11-CH11</f>
        <v>0</v>
      </c>
      <c r="DN23" s="480"/>
      <c r="DO23" s="258">
        <f>CI11+CJ11-CK11</f>
        <v>0</v>
      </c>
      <c r="DP23" s="345"/>
      <c r="DQ23" s="259">
        <f>CL11+CM11-CN11</f>
        <v>0</v>
      </c>
      <c r="DR23" s="345"/>
      <c r="DS23" s="259">
        <f>CO11+CP11-CQ11</f>
        <v>459.8</v>
      </c>
      <c r="DT23" s="345"/>
      <c r="DU23" s="259">
        <f>CR11+CS11-CT11</f>
        <v>0</v>
      </c>
      <c r="DV23" s="345"/>
      <c r="DW23" s="259">
        <f>CU11+CV11-CW11</f>
        <v>0</v>
      </c>
      <c r="DX23" s="345"/>
      <c r="DY23" s="259">
        <f>CX11+CY11-CZ11</f>
        <v>0</v>
      </c>
      <c r="DZ23" s="345"/>
      <c r="EA23" s="259">
        <f>DA11+DB11-DC11</f>
        <v>0</v>
      </c>
      <c r="EB23" s="345"/>
      <c r="EC23" s="259">
        <f>DD11+DE11-DF11</f>
        <v>0</v>
      </c>
      <c r="ED23" s="345"/>
      <c r="EE23" s="259">
        <f>DG11+DH11-DI11</f>
        <v>0</v>
      </c>
      <c r="EF23" s="345"/>
      <c r="EG23" s="259">
        <f>DJ11+DK11-DL11</f>
        <v>0</v>
      </c>
      <c r="EH23" s="319"/>
    </row>
    <row r="24" spans="2:138" x14ac:dyDescent="0.35">
      <c r="B24" s="5" t="s">
        <v>121</v>
      </c>
      <c r="C24" s="80">
        <f>SUM(C19:C23)</f>
        <v>0</v>
      </c>
      <c r="E24" s="80">
        <f>SUM(E19:E23)</f>
        <v>0</v>
      </c>
      <c r="G24" s="80">
        <f>SUM(G19:G23)</f>
        <v>0</v>
      </c>
      <c r="I24" s="80">
        <f>SUM(I19:I23)</f>
        <v>0</v>
      </c>
      <c r="K24" s="80">
        <f>SUM(K19:K23)</f>
        <v>0</v>
      </c>
      <c r="M24" s="80">
        <f>SUM(M19:M23)</f>
        <v>0</v>
      </c>
      <c r="O24" s="80">
        <f>SUM(O19:O23)</f>
        <v>16600</v>
      </c>
      <c r="Q24" s="233">
        <f>SUM(Q19:Q23)</f>
        <v>4979.9999999999991</v>
      </c>
      <c r="S24" s="80">
        <f>SUM(S19:S23)</f>
        <v>0</v>
      </c>
      <c r="U24" s="80">
        <f>SUM(U19:U23)</f>
        <v>0</v>
      </c>
      <c r="W24" s="80">
        <f>SUM(W19:W23)</f>
        <v>413750</v>
      </c>
      <c r="Y24" s="80">
        <f>SUM(Y19:Y23)</f>
        <v>120235.75</v>
      </c>
      <c r="AA24" s="80">
        <f>SUM(AA19:AA23)</f>
        <v>0</v>
      </c>
      <c r="AC24" s="233">
        <f>SUM(AC19:AC23)</f>
        <v>0</v>
      </c>
      <c r="AE24" s="233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33">
        <f>SUM(AM19:AM23)</f>
        <v>0</v>
      </c>
      <c r="AO24" s="233">
        <f>SUM(AO19:AO23)</f>
        <v>0</v>
      </c>
      <c r="AQ24" s="80">
        <f>SUM(AQ19:AQ23)</f>
        <v>0</v>
      </c>
      <c r="AS24" s="80">
        <f>SUM(AS19:AS23)</f>
        <v>0</v>
      </c>
      <c r="AV24" s="233">
        <f>SUM(AV19:AV23)</f>
        <v>0</v>
      </c>
      <c r="AZ24" s="233">
        <f>SUM(AZ19:AZ23)</f>
        <v>0</v>
      </c>
      <c r="BB24" s="233">
        <f>SUM(BB19:BB23)</f>
        <v>0</v>
      </c>
      <c r="BD24" s="233">
        <f>SUM(BD19:BD23)</f>
        <v>0</v>
      </c>
      <c r="BG24" s="233">
        <f>SUM(BG19:BG23)</f>
        <v>0</v>
      </c>
      <c r="BK24" s="233">
        <f>SUM(BK19:BK23)</f>
        <v>0</v>
      </c>
      <c r="BO24" s="233">
        <f>SUM(BO19:BO23)</f>
        <v>0</v>
      </c>
      <c r="BQ24" s="233">
        <f>SUM(BQ19:BQ23)</f>
        <v>0</v>
      </c>
      <c r="BS24" s="233">
        <f>SUM(BS19:BS23)</f>
        <v>0</v>
      </c>
      <c r="BV24" s="233">
        <f>SUM(BV19:BV23)</f>
        <v>0</v>
      </c>
      <c r="BY24" s="233">
        <f>SUM(BY19:BY23)</f>
        <v>0</v>
      </c>
      <c r="CA24" s="80">
        <f>SUM(CA19:CA23)</f>
        <v>0</v>
      </c>
      <c r="CC24" s="80">
        <f>SUM(CC19:CC23)</f>
        <v>0</v>
      </c>
      <c r="CF24" s="80">
        <f>SUM(CF19:CF23)</f>
        <v>0</v>
      </c>
      <c r="CI24" s="80">
        <f>SUM(CI19:CI23)</f>
        <v>0</v>
      </c>
      <c r="CK24" s="80">
        <f>SUM(CK19:CK23)</f>
        <v>9256.5</v>
      </c>
      <c r="CM24" s="255">
        <f>SUM(CM19:CM23)</f>
        <v>0</v>
      </c>
      <c r="CN24" s="30"/>
      <c r="CO24" s="256">
        <f t="shared" ref="CO24" si="40">SUM(CO19:CO23)</f>
        <v>0</v>
      </c>
      <c r="CQ24" s="233">
        <f>SUM(CQ19:CQ23)</f>
        <v>0</v>
      </c>
      <c r="CR24" s="34"/>
      <c r="CS24" s="33">
        <f xml:space="preserve"> SUM(CS19:CS23)</f>
        <v>0</v>
      </c>
      <c r="CT24" s="34"/>
      <c r="CU24" s="233">
        <f>SUM(CU19:CU23)</f>
        <v>0</v>
      </c>
      <c r="CV24" s="34"/>
      <c r="CW24" s="33">
        <f xml:space="preserve"> SUM(CW19:CW23)</f>
        <v>0</v>
      </c>
      <c r="CX24" s="34"/>
      <c r="CY24" s="233">
        <f>SUM(CY19:CY23)</f>
        <v>0</v>
      </c>
      <c r="CZ24" s="34"/>
      <c r="DA24" s="33">
        <f xml:space="preserve"> SUM(DA19:DA23)</f>
        <v>0</v>
      </c>
      <c r="DB24" s="34"/>
      <c r="DC24" s="233">
        <f>SUM(DC19:DC23)</f>
        <v>0</v>
      </c>
      <c r="DE24" s="233">
        <f>SUM(DE19:DE23)</f>
        <v>0</v>
      </c>
      <c r="DG24" s="233">
        <f>SUM(DG19:DG23)</f>
        <v>0</v>
      </c>
      <c r="DI24" s="233">
        <f>SUM(DI19:DI23)</f>
        <v>0</v>
      </c>
      <c r="DK24" s="233">
        <f>SUM(DK19:DK23)</f>
        <v>0</v>
      </c>
      <c r="DM24" s="233">
        <f>SUM(DM19:DM23)</f>
        <v>0</v>
      </c>
      <c r="DO24" s="233">
        <f>SUM(DO19:DO23)</f>
        <v>0</v>
      </c>
      <c r="DQ24" s="233">
        <f>SUM(DQ19:DQ23)</f>
        <v>0</v>
      </c>
      <c r="DS24" s="233">
        <f>SUM(DS19:DS23)</f>
        <v>2299</v>
      </c>
      <c r="DU24" s="233">
        <f>SUM(DU19:DU23)</f>
        <v>0</v>
      </c>
      <c r="DW24" s="233">
        <f>SUM(DW19:DW23)</f>
        <v>0</v>
      </c>
      <c r="DY24" s="233">
        <f>SUM(DY19:DY23)</f>
        <v>0</v>
      </c>
      <c r="EA24" s="233">
        <f>SUM(EA19:EA23)</f>
        <v>0</v>
      </c>
      <c r="EC24" s="233">
        <f>SUM(EC19:EC23)</f>
        <v>0</v>
      </c>
      <c r="EE24" s="233">
        <f>SUM(EE19:EE23)</f>
        <v>0</v>
      </c>
      <c r="EG24" s="233">
        <f>SUM(EG19:EG23)</f>
        <v>0</v>
      </c>
    </row>
    <row r="26" spans="2:138" ht="14.5" customHeight="1" thickBot="1" x14ac:dyDescent="0.4">
      <c r="B26" s="14" t="s">
        <v>122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14"/>
      <c r="AP26" s="16"/>
      <c r="AQ26" s="3"/>
      <c r="AR26" s="3"/>
      <c r="AS26" s="3"/>
    </row>
    <row r="27" spans="2:138" ht="15" customHeight="1" x14ac:dyDescent="0.35">
      <c r="B27" s="491"/>
      <c r="C27" s="260" t="s">
        <v>71</v>
      </c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2"/>
      <c r="T27" s="267" t="s">
        <v>123</v>
      </c>
      <c r="U27" s="492" t="s">
        <v>28</v>
      </c>
      <c r="V27" s="493"/>
      <c r="W27" s="493"/>
      <c r="X27" s="494"/>
      <c r="Y27" s="495" t="s">
        <v>29</v>
      </c>
      <c r="Z27" s="496"/>
      <c r="AA27" s="496"/>
      <c r="AB27" s="496"/>
      <c r="AC27" s="496"/>
      <c r="AD27" s="497"/>
      <c r="AE27" s="495" t="s">
        <v>124</v>
      </c>
      <c r="AF27" s="496"/>
      <c r="AG27" s="496"/>
      <c r="AH27" s="496"/>
      <c r="AI27" s="496"/>
      <c r="AJ27" s="496"/>
      <c r="AK27" s="496"/>
      <c r="AL27" s="496"/>
      <c r="AM27" s="496"/>
      <c r="AN27" s="497"/>
      <c r="AO27" s="498" t="s">
        <v>125</v>
      </c>
      <c r="AP27" s="386" t="s">
        <v>126</v>
      </c>
      <c r="AR27" s="4"/>
    </row>
    <row r="28" spans="2:138" ht="15" customHeight="1" x14ac:dyDescent="0.35">
      <c r="B28" s="401"/>
      <c r="C28" s="356" t="s">
        <v>24</v>
      </c>
      <c r="D28" s="355"/>
      <c r="E28" s="355"/>
      <c r="F28" s="355"/>
      <c r="G28" s="355"/>
      <c r="H28" s="355"/>
      <c r="I28" s="355"/>
      <c r="J28" s="355"/>
      <c r="K28" s="355"/>
      <c r="L28" s="355"/>
      <c r="M28" s="383" t="s">
        <v>25</v>
      </c>
      <c r="N28" s="384"/>
      <c r="O28" s="384"/>
      <c r="P28" s="384"/>
      <c r="Q28" s="385"/>
      <c r="R28" s="383" t="s">
        <v>26</v>
      </c>
      <c r="S28" s="515"/>
      <c r="T28" s="502" t="s">
        <v>276</v>
      </c>
      <c r="U28" s="312" t="s">
        <v>45</v>
      </c>
      <c r="V28" s="363" t="s">
        <v>46</v>
      </c>
      <c r="W28" s="399" t="s">
        <v>47</v>
      </c>
      <c r="X28" s="509" t="s">
        <v>127</v>
      </c>
      <c r="Y28" s="312">
        <f>DC15</f>
        <v>0</v>
      </c>
      <c r="Z28" s="363">
        <f>DE15</f>
        <v>0</v>
      </c>
      <c r="AA28" s="363">
        <f>DG15</f>
        <v>0</v>
      </c>
      <c r="AB28" s="363" t="s">
        <v>49</v>
      </c>
      <c r="AC28" s="363">
        <f>DK15</f>
        <v>0</v>
      </c>
      <c r="AD28" s="509">
        <f>DM15</f>
        <v>0</v>
      </c>
      <c r="AE28" s="512" t="s">
        <v>50</v>
      </c>
      <c r="AF28" s="366" t="s">
        <v>51</v>
      </c>
      <c r="AG28" s="366" t="s">
        <v>52</v>
      </c>
      <c r="AH28" s="372" t="s">
        <v>53</v>
      </c>
      <c r="AI28" s="372" t="s">
        <v>54</v>
      </c>
      <c r="AJ28" s="372" t="s">
        <v>55</v>
      </c>
      <c r="AK28" s="372" t="s">
        <v>56</v>
      </c>
      <c r="AL28" s="372" t="s">
        <v>57</v>
      </c>
      <c r="AM28" s="372" t="s">
        <v>58</v>
      </c>
      <c r="AN28" s="506" t="s">
        <v>59</v>
      </c>
      <c r="AO28" s="499"/>
      <c r="AP28" s="387"/>
    </row>
    <row r="29" spans="2:138" ht="15" customHeight="1" x14ac:dyDescent="0.35">
      <c r="B29" s="401"/>
      <c r="C29" s="501" t="s">
        <v>78</v>
      </c>
      <c r="D29" s="378"/>
      <c r="E29" s="378"/>
      <c r="F29" s="378"/>
      <c r="G29" s="378"/>
      <c r="H29" s="378"/>
      <c r="I29" s="378" t="s">
        <v>79</v>
      </c>
      <c r="J29" s="378"/>
      <c r="K29" s="378" t="s">
        <v>80</v>
      </c>
      <c r="L29" s="378"/>
      <c r="M29" s="363" t="s">
        <v>81</v>
      </c>
      <c r="N29" s="363" t="s">
        <v>41</v>
      </c>
      <c r="O29" s="363" t="s">
        <v>83</v>
      </c>
      <c r="P29" s="363" t="s">
        <v>84</v>
      </c>
      <c r="Q29" s="363" t="s">
        <v>85</v>
      </c>
      <c r="R29" s="363" t="s">
        <v>86</v>
      </c>
      <c r="S29" s="509" t="s">
        <v>87</v>
      </c>
      <c r="T29" s="503"/>
      <c r="U29" s="505"/>
      <c r="V29" s="364"/>
      <c r="W29" s="400"/>
      <c r="X29" s="510"/>
      <c r="Y29" s="505"/>
      <c r="Z29" s="364"/>
      <c r="AA29" s="364"/>
      <c r="AB29" s="364"/>
      <c r="AC29" s="364"/>
      <c r="AD29" s="510"/>
      <c r="AE29" s="513"/>
      <c r="AF29" s="367"/>
      <c r="AG29" s="367"/>
      <c r="AH29" s="373"/>
      <c r="AI29" s="373"/>
      <c r="AJ29" s="373"/>
      <c r="AK29" s="373"/>
      <c r="AL29" s="373"/>
      <c r="AM29" s="373"/>
      <c r="AN29" s="507"/>
      <c r="AO29" s="499"/>
      <c r="AP29" s="387"/>
    </row>
    <row r="30" spans="2:138" x14ac:dyDescent="0.35">
      <c r="B30" s="402"/>
      <c r="C30" s="234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65"/>
      <c r="N30" s="365"/>
      <c r="O30" s="365"/>
      <c r="P30" s="365"/>
      <c r="Q30" s="365"/>
      <c r="R30" s="365"/>
      <c r="S30" s="511"/>
      <c r="T30" s="504"/>
      <c r="U30" s="313"/>
      <c r="V30" s="365"/>
      <c r="W30" s="406"/>
      <c r="X30" s="511"/>
      <c r="Y30" s="313"/>
      <c r="Z30" s="365"/>
      <c r="AA30" s="365"/>
      <c r="AB30" s="365"/>
      <c r="AC30" s="365"/>
      <c r="AD30" s="511"/>
      <c r="AE30" s="514"/>
      <c r="AF30" s="368"/>
      <c r="AG30" s="368"/>
      <c r="AH30" s="374"/>
      <c r="AI30" s="374"/>
      <c r="AJ30" s="374"/>
      <c r="AK30" s="374"/>
      <c r="AL30" s="374"/>
      <c r="AM30" s="374"/>
      <c r="AN30" s="508"/>
      <c r="AO30" s="500"/>
      <c r="AP30" s="388"/>
    </row>
    <row r="31" spans="2:138" x14ac:dyDescent="0.35">
      <c r="B31" s="27" t="s">
        <v>173</v>
      </c>
      <c r="C31" s="236">
        <f>E19*$F$19</f>
        <v>0</v>
      </c>
      <c r="D31" s="2">
        <f>I19*$J$19</f>
        <v>0</v>
      </c>
      <c r="E31" s="2">
        <f>M19*$N$19</f>
        <v>0</v>
      </c>
      <c r="F31" s="2">
        <f>Q19*$R$19</f>
        <v>4970.04</v>
      </c>
      <c r="G31" s="2">
        <f>U19*$V$19</f>
        <v>0</v>
      </c>
      <c r="H31" s="2">
        <f>Y19*$Z$19</f>
        <v>119995.27850000001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63">
        <f>CC19*$CD$19+CF19*$CG$19+CI19*$CJ$19</f>
        <v>0</v>
      </c>
      <c r="T31" s="220">
        <f>CK19*$CL$19</f>
        <v>18255.669300000001</v>
      </c>
      <c r="U31" s="236">
        <f>CO19*$CP$19</f>
        <v>0</v>
      </c>
      <c r="V31" s="2">
        <f>CS19*$CT$19</f>
        <v>0</v>
      </c>
      <c r="W31" s="2">
        <f>CW19*$CX$19</f>
        <v>0</v>
      </c>
      <c r="X31" s="263">
        <f>DA19*$DB$19</f>
        <v>0</v>
      </c>
      <c r="Y31" s="236">
        <f>DC19*$DD$19</f>
        <v>0</v>
      </c>
      <c r="Z31" s="27">
        <f>DE19*$DF$19</f>
        <v>0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63">
        <f>DM19*$DN$19</f>
        <v>0</v>
      </c>
      <c r="AE31" s="206">
        <f>DO19*$DP$19</f>
        <v>0</v>
      </c>
      <c r="AF31" s="27">
        <f>DQ19*$DR$19</f>
        <v>0</v>
      </c>
      <c r="AG31" s="27">
        <f>DS19*$DT$19</f>
        <v>6713.08</v>
      </c>
      <c r="AH31" s="27">
        <f>DU19*$DV$19</f>
        <v>0</v>
      </c>
      <c r="AI31" s="27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63">
        <f>EG19*$EH$19</f>
        <v>0</v>
      </c>
      <c r="AO31" s="269">
        <f>SUM(C31:AN31)</f>
        <v>149934.06779999999</v>
      </c>
      <c r="AP31" s="38">
        <f>AO31/'SUIVI RABAIS PRODUCTION ET C '!O9</f>
        <v>488.92606730581093</v>
      </c>
    </row>
    <row r="32" spans="2:138" x14ac:dyDescent="0.35">
      <c r="B32" s="27" t="s">
        <v>174</v>
      </c>
      <c r="C32" s="236">
        <f t="shared" ref="C32:C35" si="41">E20*$F$19</f>
        <v>0</v>
      </c>
      <c r="D32" s="2">
        <f t="shared" ref="D32:D35" si="42">I20*$J$19</f>
        <v>0</v>
      </c>
      <c r="E32" s="2">
        <f t="shared" ref="E32:E35" si="43">M20*$N$19</f>
        <v>0</v>
      </c>
      <c r="F32" s="2">
        <f t="shared" ref="F32:F35" si="44">Q20*$R$19</f>
        <v>4970.04</v>
      </c>
      <c r="G32" s="2">
        <f t="shared" ref="G32:G35" si="45">U20*$V$19</f>
        <v>0</v>
      </c>
      <c r="H32" s="2">
        <f t="shared" ref="H32:H35" si="46">Y20*$Z$19</f>
        <v>119995.27850000001</v>
      </c>
      <c r="I32" s="2">
        <f t="shared" ref="I32:I35" si="47">AC20*$AD$19</f>
        <v>0</v>
      </c>
      <c r="J32" s="2">
        <f t="shared" ref="J32:J35" si="48">AG20*$AH$19</f>
        <v>0</v>
      </c>
      <c r="K32" s="2">
        <f t="shared" ref="K32:K35" si="49">AK20*$AL$19</f>
        <v>0</v>
      </c>
      <c r="L32" s="2">
        <f t="shared" ref="L32:L35" si="50">AO20*$AP$19</f>
        <v>0</v>
      </c>
      <c r="M32" s="2">
        <f t="shared" ref="M32:M35" si="51">AS20*$AT$19+AV20*$AW$19</f>
        <v>0</v>
      </c>
      <c r="N32" s="2">
        <f t="shared" ref="N32:N35" si="52">AZ20*$BA$19</f>
        <v>0</v>
      </c>
      <c r="O32" s="2">
        <f t="shared" ref="O32:O35" si="53">BD20*$BE$19+BG20*$BH$19</f>
        <v>0</v>
      </c>
      <c r="P32" s="2">
        <f t="shared" ref="P32:P35" si="54">BK20*$BL$19</f>
        <v>0</v>
      </c>
      <c r="Q32" s="2">
        <f t="shared" ref="Q32:Q35" si="55">BO20*$BP$19</f>
        <v>0</v>
      </c>
      <c r="R32" s="2">
        <f t="shared" ref="R32:R35" si="56">BS20*$BT$19+BV20*$BW$19+BY20*$BZ$19</f>
        <v>0</v>
      </c>
      <c r="S32" s="263">
        <f t="shared" ref="S32:S35" si="57">CC20*$CD$19+CF20*$CG$19+CI20*$CJ$19</f>
        <v>0</v>
      </c>
      <c r="T32" s="220">
        <f t="shared" ref="T32:T35" si="58">CK20*$CL$19</f>
        <v>18255.669300000001</v>
      </c>
      <c r="U32" s="236">
        <f t="shared" ref="U32:U35" si="59">CO20*$CP$19</f>
        <v>0</v>
      </c>
      <c r="V32" s="2">
        <f t="shared" ref="V32:V35" si="60">CS20*$CT$19</f>
        <v>0</v>
      </c>
      <c r="W32" s="2">
        <f t="shared" ref="W32:W35" si="61">CW20*$CX$19</f>
        <v>0</v>
      </c>
      <c r="X32" s="263">
        <f t="shared" ref="X32:X35" si="62">DA20*$DB$19</f>
        <v>0</v>
      </c>
      <c r="Y32" s="236">
        <f t="shared" ref="Y32:Y35" si="63">DC20*$DD$19</f>
        <v>0</v>
      </c>
      <c r="Z32" s="27">
        <f t="shared" ref="Z32:Z35" si="64">DE20*$DF$19</f>
        <v>0</v>
      </c>
      <c r="AA32" s="27">
        <f t="shared" ref="AA32:AA35" si="65">DG20*$DH$19</f>
        <v>0</v>
      </c>
      <c r="AB32" s="27">
        <f t="shared" ref="AB32:AB35" si="66">DI20*$DJ$19</f>
        <v>0</v>
      </c>
      <c r="AC32" s="27">
        <f t="shared" ref="AC32:AC35" si="67">DK20*$DL$19</f>
        <v>0</v>
      </c>
      <c r="AD32" s="263">
        <f t="shared" ref="AD32:AD35" si="68">DM20*$DN$19</f>
        <v>0</v>
      </c>
      <c r="AE32" s="206">
        <f>DO20*$DP$19</f>
        <v>0</v>
      </c>
      <c r="AF32" s="27">
        <f t="shared" ref="AF32:AF35" si="69">DQ20*$DR$19</f>
        <v>0</v>
      </c>
      <c r="AG32" s="27">
        <f>DS20*$DT$19</f>
        <v>6713.08</v>
      </c>
      <c r="AH32" s="27">
        <f t="shared" ref="AH32:AH35" si="70">DU20*$DV$19</f>
        <v>0</v>
      </c>
      <c r="AI32" s="27">
        <f>DW20*$DX$19</f>
        <v>0</v>
      </c>
      <c r="AJ32" s="27">
        <f t="shared" ref="AJ32:AJ35" si="71">DY20*$DZ$19</f>
        <v>0</v>
      </c>
      <c r="AK32" s="27">
        <f t="shared" ref="AK32:AK35" si="72">EA20*$EB$19</f>
        <v>0</v>
      </c>
      <c r="AL32" s="27">
        <f t="shared" ref="AL32:AL35" si="73">EC20*$ED$19</f>
        <v>0</v>
      </c>
      <c r="AM32" s="27">
        <f>EE20*$EF$19</f>
        <v>0</v>
      </c>
      <c r="AN32" s="263">
        <f>EG20*$EH$19</f>
        <v>0</v>
      </c>
      <c r="AO32" s="269">
        <f t="shared" ref="AO32:AO35" si="74">SUM(C32:AN32)</f>
        <v>149934.06779999999</v>
      </c>
      <c r="AP32" s="38">
        <f>AO32/'SUIVI RABAIS PRODUCTION ET C '!P9</f>
        <v>489.11746525738886</v>
      </c>
    </row>
    <row r="33" spans="2:109" x14ac:dyDescent="0.35">
      <c r="B33" s="27" t="s">
        <v>175</v>
      </c>
      <c r="C33" s="236">
        <f t="shared" si="41"/>
        <v>0</v>
      </c>
      <c r="D33" s="2">
        <f t="shared" si="42"/>
        <v>0</v>
      </c>
      <c r="E33" s="2">
        <f t="shared" si="43"/>
        <v>0</v>
      </c>
      <c r="F33" s="2">
        <f t="shared" si="44"/>
        <v>4970.04</v>
      </c>
      <c r="G33" s="2">
        <f t="shared" si="45"/>
        <v>0</v>
      </c>
      <c r="H33" s="2">
        <f t="shared" si="46"/>
        <v>119995.27850000001</v>
      </c>
      <c r="I33" s="2">
        <f t="shared" si="47"/>
        <v>0</v>
      </c>
      <c r="J33" s="2">
        <f t="shared" si="48"/>
        <v>0</v>
      </c>
      <c r="K33" s="2">
        <f t="shared" si="49"/>
        <v>0</v>
      </c>
      <c r="L33" s="2">
        <f t="shared" si="50"/>
        <v>0</v>
      </c>
      <c r="M33" s="2">
        <f t="shared" si="51"/>
        <v>0</v>
      </c>
      <c r="N33" s="2">
        <f t="shared" si="52"/>
        <v>0</v>
      </c>
      <c r="O33" s="2">
        <f t="shared" si="53"/>
        <v>0</v>
      </c>
      <c r="P33" s="2">
        <f t="shared" si="54"/>
        <v>0</v>
      </c>
      <c r="Q33" s="2">
        <f t="shared" si="55"/>
        <v>0</v>
      </c>
      <c r="R33" s="2">
        <f t="shared" si="56"/>
        <v>0</v>
      </c>
      <c r="S33" s="263">
        <f t="shared" si="57"/>
        <v>0</v>
      </c>
      <c r="T33" s="220">
        <f t="shared" si="58"/>
        <v>18255.669300000001</v>
      </c>
      <c r="U33" s="236">
        <f t="shared" si="59"/>
        <v>0</v>
      </c>
      <c r="V33" s="2">
        <f t="shared" si="60"/>
        <v>0</v>
      </c>
      <c r="W33" s="2">
        <f t="shared" si="61"/>
        <v>0</v>
      </c>
      <c r="X33" s="263">
        <f t="shared" si="62"/>
        <v>0</v>
      </c>
      <c r="Y33" s="236">
        <f t="shared" si="63"/>
        <v>0</v>
      </c>
      <c r="Z33" s="27">
        <f t="shared" si="64"/>
        <v>0</v>
      </c>
      <c r="AA33" s="27">
        <f t="shared" si="65"/>
        <v>0</v>
      </c>
      <c r="AB33" s="27">
        <f t="shared" si="66"/>
        <v>0</v>
      </c>
      <c r="AC33" s="27">
        <f t="shared" si="67"/>
        <v>0</v>
      </c>
      <c r="AD33" s="263">
        <f t="shared" si="68"/>
        <v>0</v>
      </c>
      <c r="AE33" s="206">
        <f>DO21*$DP$19</f>
        <v>0</v>
      </c>
      <c r="AF33" s="27">
        <f t="shared" si="69"/>
        <v>0</v>
      </c>
      <c r="AG33" s="27">
        <f>DS21*$DT$19</f>
        <v>6713.08</v>
      </c>
      <c r="AH33" s="27">
        <f t="shared" si="70"/>
        <v>0</v>
      </c>
      <c r="AI33" s="27">
        <f>DW21*$DX$19</f>
        <v>0</v>
      </c>
      <c r="AJ33" s="27">
        <f t="shared" si="71"/>
        <v>0</v>
      </c>
      <c r="AK33" s="27">
        <f t="shared" si="72"/>
        <v>0</v>
      </c>
      <c r="AL33" s="27">
        <f t="shared" si="73"/>
        <v>0</v>
      </c>
      <c r="AM33" s="27">
        <f>EE21*$EF$19</f>
        <v>0</v>
      </c>
      <c r="AN33" s="263">
        <f>EG21*$EH$19</f>
        <v>0</v>
      </c>
      <c r="AO33" s="269">
        <f t="shared" si="74"/>
        <v>149934.06779999999</v>
      </c>
      <c r="AP33" s="38">
        <f>AO33/'SUIVI RABAIS PRODUCTION ET C '!Q9</f>
        <v>489.11746525738886</v>
      </c>
    </row>
    <row r="34" spans="2:109" x14ac:dyDescent="0.35">
      <c r="B34" s="27" t="s">
        <v>176</v>
      </c>
      <c r="C34" s="236">
        <f t="shared" si="41"/>
        <v>0</v>
      </c>
      <c r="D34" s="2">
        <f t="shared" si="42"/>
        <v>0</v>
      </c>
      <c r="E34" s="2">
        <f t="shared" si="43"/>
        <v>0</v>
      </c>
      <c r="F34" s="2">
        <f t="shared" si="44"/>
        <v>4970.04</v>
      </c>
      <c r="G34" s="2">
        <f t="shared" si="45"/>
        <v>0</v>
      </c>
      <c r="H34" s="2">
        <f t="shared" si="46"/>
        <v>119995.27850000001</v>
      </c>
      <c r="I34" s="2">
        <f t="shared" si="47"/>
        <v>0</v>
      </c>
      <c r="J34" s="2">
        <f t="shared" si="48"/>
        <v>0</v>
      </c>
      <c r="K34" s="2">
        <f t="shared" si="49"/>
        <v>0</v>
      </c>
      <c r="L34" s="2">
        <f t="shared" si="50"/>
        <v>0</v>
      </c>
      <c r="M34" s="2">
        <f t="shared" si="51"/>
        <v>0</v>
      </c>
      <c r="N34" s="2">
        <f t="shared" si="52"/>
        <v>0</v>
      </c>
      <c r="O34" s="2">
        <f t="shared" si="53"/>
        <v>0</v>
      </c>
      <c r="P34" s="2">
        <f t="shared" si="54"/>
        <v>0</v>
      </c>
      <c r="Q34" s="2">
        <f t="shared" si="55"/>
        <v>0</v>
      </c>
      <c r="R34" s="2">
        <f t="shared" si="56"/>
        <v>0</v>
      </c>
      <c r="S34" s="263">
        <f t="shared" si="57"/>
        <v>0</v>
      </c>
      <c r="T34" s="220">
        <f t="shared" si="58"/>
        <v>18255.669300000001</v>
      </c>
      <c r="U34" s="236">
        <f t="shared" si="59"/>
        <v>0</v>
      </c>
      <c r="V34" s="2">
        <f t="shared" si="60"/>
        <v>0</v>
      </c>
      <c r="W34" s="2">
        <f t="shared" si="61"/>
        <v>0</v>
      </c>
      <c r="X34" s="263">
        <f t="shared" si="62"/>
        <v>0</v>
      </c>
      <c r="Y34" s="236">
        <f t="shared" si="63"/>
        <v>0</v>
      </c>
      <c r="Z34" s="27">
        <f t="shared" si="64"/>
        <v>0</v>
      </c>
      <c r="AA34" s="27">
        <f t="shared" si="65"/>
        <v>0</v>
      </c>
      <c r="AB34" s="27">
        <f t="shared" si="66"/>
        <v>0</v>
      </c>
      <c r="AC34" s="27">
        <f t="shared" si="67"/>
        <v>0</v>
      </c>
      <c r="AD34" s="263">
        <f t="shared" si="68"/>
        <v>0</v>
      </c>
      <c r="AE34" s="206">
        <f>DO22*$DP$19</f>
        <v>0</v>
      </c>
      <c r="AF34" s="27">
        <f t="shared" si="69"/>
        <v>0</v>
      </c>
      <c r="AG34" s="27">
        <f>DS22*$DT$19</f>
        <v>6713.08</v>
      </c>
      <c r="AH34" s="27">
        <f t="shared" si="70"/>
        <v>0</v>
      </c>
      <c r="AI34" s="27">
        <f>DW22*$DX$19</f>
        <v>0</v>
      </c>
      <c r="AJ34" s="27">
        <f t="shared" si="71"/>
        <v>0</v>
      </c>
      <c r="AK34" s="27">
        <f t="shared" si="72"/>
        <v>0</v>
      </c>
      <c r="AL34" s="27">
        <f t="shared" si="73"/>
        <v>0</v>
      </c>
      <c r="AM34" s="27">
        <f>EE22*$EF$19</f>
        <v>0</v>
      </c>
      <c r="AN34" s="263">
        <f>EG22*$EH$19</f>
        <v>0</v>
      </c>
      <c r="AO34" s="269">
        <f t="shared" si="74"/>
        <v>149934.06779999999</v>
      </c>
      <c r="AP34" s="38">
        <f>AO34/'SUIVI RABAIS PRODUCTION ET C '!R9</f>
        <v>489.11746525738886</v>
      </c>
    </row>
    <row r="35" spans="2:109" x14ac:dyDescent="0.35">
      <c r="B35" s="27" t="s">
        <v>177</v>
      </c>
      <c r="C35" s="236">
        <f t="shared" si="41"/>
        <v>0</v>
      </c>
      <c r="D35" s="2">
        <f t="shared" si="42"/>
        <v>0</v>
      </c>
      <c r="E35" s="2">
        <f t="shared" si="43"/>
        <v>0</v>
      </c>
      <c r="F35" s="2">
        <f t="shared" si="44"/>
        <v>4970.04</v>
      </c>
      <c r="G35" s="2">
        <f t="shared" si="45"/>
        <v>0</v>
      </c>
      <c r="H35" s="2">
        <f t="shared" si="46"/>
        <v>119995.27850000001</v>
      </c>
      <c r="I35" s="2">
        <f t="shared" si="47"/>
        <v>0</v>
      </c>
      <c r="J35" s="2">
        <f t="shared" si="48"/>
        <v>0</v>
      </c>
      <c r="K35" s="2">
        <f t="shared" si="49"/>
        <v>0</v>
      </c>
      <c r="L35" s="2">
        <f t="shared" si="50"/>
        <v>0</v>
      </c>
      <c r="M35" s="2">
        <f t="shared" si="51"/>
        <v>0</v>
      </c>
      <c r="N35" s="2">
        <f t="shared" si="52"/>
        <v>0</v>
      </c>
      <c r="O35" s="2">
        <f t="shared" si="53"/>
        <v>0</v>
      </c>
      <c r="P35" s="2">
        <f t="shared" si="54"/>
        <v>0</v>
      </c>
      <c r="Q35" s="2">
        <f t="shared" si="55"/>
        <v>0</v>
      </c>
      <c r="R35" s="2">
        <f t="shared" si="56"/>
        <v>0</v>
      </c>
      <c r="S35" s="263">
        <f t="shared" si="57"/>
        <v>0</v>
      </c>
      <c r="T35" s="220">
        <f t="shared" si="58"/>
        <v>18255.669300000001</v>
      </c>
      <c r="U35" s="236">
        <f t="shared" si="59"/>
        <v>0</v>
      </c>
      <c r="V35" s="2">
        <f t="shared" si="60"/>
        <v>0</v>
      </c>
      <c r="W35" s="2">
        <f t="shared" si="61"/>
        <v>0</v>
      </c>
      <c r="X35" s="263">
        <f t="shared" si="62"/>
        <v>0</v>
      </c>
      <c r="Y35" s="236">
        <f t="shared" si="63"/>
        <v>0</v>
      </c>
      <c r="Z35" s="27">
        <f t="shared" si="64"/>
        <v>0</v>
      </c>
      <c r="AA35" s="27">
        <f t="shared" si="65"/>
        <v>0</v>
      </c>
      <c r="AB35" s="27">
        <f t="shared" si="66"/>
        <v>0</v>
      </c>
      <c r="AC35" s="27">
        <f t="shared" si="67"/>
        <v>0</v>
      </c>
      <c r="AD35" s="263">
        <f t="shared" si="68"/>
        <v>0</v>
      </c>
      <c r="AE35" s="206">
        <f>DO23*$DP$19</f>
        <v>0</v>
      </c>
      <c r="AF35" s="27">
        <f t="shared" si="69"/>
        <v>0</v>
      </c>
      <c r="AG35" s="27">
        <f>DS23*$DT$19</f>
        <v>6713.08</v>
      </c>
      <c r="AH35" s="27">
        <f t="shared" si="70"/>
        <v>0</v>
      </c>
      <c r="AI35" s="27">
        <f>DW23*$DX$19</f>
        <v>0</v>
      </c>
      <c r="AJ35" s="27">
        <f t="shared" si="71"/>
        <v>0</v>
      </c>
      <c r="AK35" s="27">
        <f t="shared" si="72"/>
        <v>0</v>
      </c>
      <c r="AL35" s="27">
        <f t="shared" si="73"/>
        <v>0</v>
      </c>
      <c r="AM35" s="27">
        <f>EE23*$EF$19</f>
        <v>0</v>
      </c>
      <c r="AN35" s="263">
        <f>EG23*$EH$19</f>
        <v>0</v>
      </c>
      <c r="AO35" s="269">
        <f t="shared" si="74"/>
        <v>149934.06779999999</v>
      </c>
      <c r="AP35" s="38">
        <f>AO35/'SUIVI RABAIS PRODUCTION ET C '!S9</f>
        <v>489.11746525738886</v>
      </c>
      <c r="DE35" s="35"/>
    </row>
    <row r="36" spans="2:109" ht="15" thickBot="1" x14ac:dyDescent="0.4">
      <c r="B36" s="6" t="s">
        <v>121</v>
      </c>
      <c r="C36" s="264">
        <f t="shared" ref="C36:S36" si="75">SUM(C31:C35)</f>
        <v>0</v>
      </c>
      <c r="D36" s="265">
        <f t="shared" si="75"/>
        <v>0</v>
      </c>
      <c r="E36" s="265">
        <f t="shared" si="75"/>
        <v>0</v>
      </c>
      <c r="F36" s="265">
        <f t="shared" si="75"/>
        <v>24850.2</v>
      </c>
      <c r="G36" s="265">
        <f t="shared" si="75"/>
        <v>0</v>
      </c>
      <c r="H36" s="265">
        <f t="shared" si="75"/>
        <v>599976.39250000007</v>
      </c>
      <c r="I36" s="265">
        <f t="shared" si="75"/>
        <v>0</v>
      </c>
      <c r="J36" s="265">
        <f t="shared" si="75"/>
        <v>0</v>
      </c>
      <c r="K36" s="265">
        <f t="shared" si="75"/>
        <v>0</v>
      </c>
      <c r="L36" s="265">
        <f t="shared" si="75"/>
        <v>0</v>
      </c>
      <c r="M36" s="265">
        <f t="shared" si="75"/>
        <v>0</v>
      </c>
      <c r="N36" s="265">
        <f t="shared" si="75"/>
        <v>0</v>
      </c>
      <c r="O36" s="265">
        <f t="shared" si="75"/>
        <v>0</v>
      </c>
      <c r="P36" s="265">
        <f t="shared" si="75"/>
        <v>0</v>
      </c>
      <c r="Q36" s="265">
        <f t="shared" si="75"/>
        <v>0</v>
      </c>
      <c r="R36" s="265">
        <f t="shared" si="75"/>
        <v>0</v>
      </c>
      <c r="S36" s="266">
        <f t="shared" si="75"/>
        <v>0</v>
      </c>
      <c r="T36" s="268">
        <f t="shared" ref="T36:AO36" si="76">SUM(T31:T35)</f>
        <v>91278.346500000014</v>
      </c>
      <c r="U36" s="264">
        <f t="shared" si="76"/>
        <v>0</v>
      </c>
      <c r="V36" s="265">
        <f t="shared" si="76"/>
        <v>0</v>
      </c>
      <c r="W36" s="265">
        <f t="shared" si="76"/>
        <v>0</v>
      </c>
      <c r="X36" s="266">
        <f t="shared" si="76"/>
        <v>0</v>
      </c>
      <c r="Y36" s="264">
        <f t="shared" si="76"/>
        <v>0</v>
      </c>
      <c r="Z36" s="265">
        <f t="shared" si="76"/>
        <v>0</v>
      </c>
      <c r="AA36" s="265">
        <f t="shared" si="76"/>
        <v>0</v>
      </c>
      <c r="AB36" s="265">
        <f t="shared" si="76"/>
        <v>0</v>
      </c>
      <c r="AC36" s="265">
        <f t="shared" si="76"/>
        <v>0</v>
      </c>
      <c r="AD36" s="266">
        <f t="shared" si="76"/>
        <v>0</v>
      </c>
      <c r="AE36" s="264">
        <f t="shared" si="76"/>
        <v>0</v>
      </c>
      <c r="AF36" s="265">
        <f t="shared" si="76"/>
        <v>0</v>
      </c>
      <c r="AG36" s="265">
        <f t="shared" si="76"/>
        <v>33565.4</v>
      </c>
      <c r="AH36" s="265">
        <f t="shared" si="76"/>
        <v>0</v>
      </c>
      <c r="AI36" s="265">
        <f t="shared" si="76"/>
        <v>0</v>
      </c>
      <c r="AJ36" s="265">
        <f t="shared" si="76"/>
        <v>0</v>
      </c>
      <c r="AK36" s="265">
        <f t="shared" si="76"/>
        <v>0</v>
      </c>
      <c r="AL36" s="265">
        <f t="shared" si="76"/>
        <v>0</v>
      </c>
      <c r="AM36" s="265">
        <f t="shared" si="76"/>
        <v>0</v>
      </c>
      <c r="AN36" s="266">
        <f t="shared" si="76"/>
        <v>0</v>
      </c>
      <c r="AO36" s="270">
        <f t="shared" si="76"/>
        <v>749670.33899999992</v>
      </c>
    </row>
    <row r="38" spans="2:109" x14ac:dyDescent="0.35">
      <c r="B38" s="77" t="s">
        <v>128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5">
      <c r="B39" s="399"/>
      <c r="C39" s="357" t="s">
        <v>129</v>
      </c>
      <c r="D39" s="358"/>
      <c r="E39" s="358"/>
      <c r="F39" s="359"/>
      <c r="G39" s="357" t="s">
        <v>130</v>
      </c>
      <c r="H39" s="358"/>
      <c r="I39" s="358"/>
      <c r="J39" s="359"/>
      <c r="K39" s="403" t="s">
        <v>131</v>
      </c>
      <c r="L39" s="404"/>
      <c r="M39" s="404"/>
      <c r="N39" s="405"/>
      <c r="O39" s="407" t="s">
        <v>29</v>
      </c>
      <c r="P39" s="408"/>
      <c r="Q39" s="408"/>
      <c r="R39" s="408"/>
      <c r="S39" s="408"/>
      <c r="T39" s="408"/>
      <c r="U39" s="408"/>
      <c r="V39" s="408"/>
      <c r="W39" s="408"/>
      <c r="X39" s="408"/>
      <c r="Y39" s="408"/>
      <c r="Z39" s="409"/>
      <c r="AA39" s="407" t="s">
        <v>124</v>
      </c>
      <c r="AB39" s="408"/>
      <c r="AC39" s="408"/>
      <c r="AD39" s="408"/>
      <c r="AE39" s="408"/>
      <c r="AF39" s="408"/>
      <c r="AG39" s="408"/>
      <c r="AH39" s="408"/>
      <c r="AI39" s="408"/>
      <c r="AJ39" s="408"/>
      <c r="AK39" s="408"/>
      <c r="AL39" s="408"/>
      <c r="AM39" s="408"/>
      <c r="AN39" s="408"/>
      <c r="AO39" s="408"/>
      <c r="AP39" s="408"/>
      <c r="AQ39" s="408"/>
      <c r="AR39" s="408"/>
      <c r="AS39" s="408"/>
      <c r="AT39" s="409"/>
      <c r="AU39" s="476" t="s">
        <v>125</v>
      </c>
      <c r="AV39" s="386" t="s">
        <v>126</v>
      </c>
    </row>
    <row r="40" spans="2:109" ht="45" customHeight="1" thickBot="1" x14ac:dyDescent="0.4">
      <c r="B40" s="400"/>
      <c r="C40" s="85" t="s">
        <v>132</v>
      </c>
      <c r="D40" s="85" t="s">
        <v>133</v>
      </c>
      <c r="E40" s="85" t="s">
        <v>134</v>
      </c>
      <c r="F40" s="85" t="s">
        <v>135</v>
      </c>
      <c r="G40" s="85" t="s">
        <v>136</v>
      </c>
      <c r="H40" s="85" t="s">
        <v>133</v>
      </c>
      <c r="I40" s="85" t="s">
        <v>134</v>
      </c>
      <c r="J40" s="85" t="s">
        <v>135</v>
      </c>
      <c r="K40" s="85" t="s">
        <v>137</v>
      </c>
      <c r="L40" s="85" t="s">
        <v>138</v>
      </c>
      <c r="M40" s="85" t="s">
        <v>139</v>
      </c>
      <c r="N40" s="85" t="s">
        <v>138</v>
      </c>
      <c r="O40" s="86" t="s">
        <v>140</v>
      </c>
      <c r="P40" s="86" t="s">
        <v>141</v>
      </c>
      <c r="Q40" s="86" t="s">
        <v>142</v>
      </c>
      <c r="R40" s="86" t="s">
        <v>141</v>
      </c>
      <c r="S40" s="86" t="s">
        <v>143</v>
      </c>
      <c r="T40" s="86" t="s">
        <v>141</v>
      </c>
      <c r="U40" s="86" t="s">
        <v>144</v>
      </c>
      <c r="V40" s="86" t="s">
        <v>141</v>
      </c>
      <c r="W40" s="86" t="s">
        <v>145</v>
      </c>
      <c r="X40" s="86" t="s">
        <v>141</v>
      </c>
      <c r="Y40" s="86" t="s">
        <v>146</v>
      </c>
      <c r="Z40" s="86" t="s">
        <v>141</v>
      </c>
      <c r="AA40" s="85" t="s">
        <v>147</v>
      </c>
      <c r="AB40" s="85" t="s">
        <v>141</v>
      </c>
      <c r="AC40" s="85" t="s">
        <v>148</v>
      </c>
      <c r="AD40" s="85" t="s">
        <v>141</v>
      </c>
      <c r="AE40" s="85" t="s">
        <v>149</v>
      </c>
      <c r="AF40" s="85" t="s">
        <v>141</v>
      </c>
      <c r="AG40" s="85" t="s">
        <v>150</v>
      </c>
      <c r="AH40" s="85" t="s">
        <v>141</v>
      </c>
      <c r="AI40" s="85" t="s">
        <v>151</v>
      </c>
      <c r="AJ40" s="85" t="s">
        <v>141</v>
      </c>
      <c r="AK40" s="85" t="s">
        <v>152</v>
      </c>
      <c r="AL40" s="85" t="s">
        <v>141</v>
      </c>
      <c r="AM40" s="85" t="s">
        <v>153</v>
      </c>
      <c r="AN40" s="85" t="s">
        <v>141</v>
      </c>
      <c r="AO40" s="85" t="s">
        <v>154</v>
      </c>
      <c r="AP40" s="85" t="s">
        <v>141</v>
      </c>
      <c r="AQ40" s="85" t="s">
        <v>155</v>
      </c>
      <c r="AR40" s="85" t="s">
        <v>141</v>
      </c>
      <c r="AS40" s="85" t="s">
        <v>156</v>
      </c>
      <c r="AT40" s="85" t="s">
        <v>141</v>
      </c>
      <c r="AU40" s="477"/>
      <c r="AV40" s="388"/>
    </row>
    <row r="41" spans="2:109" ht="15" customHeight="1" x14ac:dyDescent="0.35">
      <c r="B41" s="27" t="s">
        <v>173</v>
      </c>
      <c r="C41" s="2">
        <f t="shared" ref="C41:C45" si="77">E19+I19+M19+Q19+U19+Y19+BD19+BS19+CC19</f>
        <v>25043.15</v>
      </c>
      <c r="D41" s="104">
        <f>C41*$I$49*$I$58</f>
        <v>166858.93085714284</v>
      </c>
      <c r="E41" s="2">
        <f>(C41*$I$51+C41*$I$53)*$I$58</f>
        <v>39003.275087857139</v>
      </c>
      <c r="F41" s="28">
        <f>SUM(D41:E41)</f>
        <v>205862.20594499999</v>
      </c>
      <c r="G41" s="121"/>
      <c r="H41" s="28">
        <f>G41*$I$50*$I$58</f>
        <v>0</v>
      </c>
      <c r="I41" s="28">
        <f>(G41*$I$52*+G41*$I$53)*$I$58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0</v>
      </c>
      <c r="P41" s="36">
        <f>O41*$I$50+O41*$I$52+O41*$I$53</f>
        <v>0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9931.68</v>
      </c>
      <c r="AF41" s="27">
        <f>AE41*$I$50+AE41*$I$52+AE41*$I$53</f>
        <v>167.61838217142858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89">
        <f>F41+J41+L41+N41+P41+R41+T41+V41+X41+Z41+AB41+AD41+AF41+AH41+AJ41+AL41+AN41+AP41+AR41+AT41</f>
        <v>206029.82432717143</v>
      </c>
      <c r="AV41" s="88">
        <f>AU41/'SUIVI RABAIS PRODUCTION ET C '!O9</f>
        <v>671.85098913184447</v>
      </c>
      <c r="AW41" s="181"/>
      <c r="AX41" s="349" t="s">
        <v>178</v>
      </c>
      <c r="AY41" s="350"/>
      <c r="AZ41" s="351"/>
      <c r="BB41" s="516" t="s">
        <v>179</v>
      </c>
      <c r="BC41" s="517"/>
      <c r="BD41" s="518"/>
    </row>
    <row r="42" spans="2:109" ht="15" customHeight="1" x14ac:dyDescent="0.35">
      <c r="B42" s="27" t="s">
        <v>174</v>
      </c>
      <c r="C42" s="2">
        <f t="shared" si="77"/>
        <v>25043.15</v>
      </c>
      <c r="D42" s="104">
        <f t="shared" ref="D42:D45" si="78">C42*$I$49*$I$58</f>
        <v>166858.93085714284</v>
      </c>
      <c r="E42" s="2">
        <f t="shared" ref="E42:E45" si="79">(C42*$I$51+C42*$I$53)*$I$58</f>
        <v>39003.275087857139</v>
      </c>
      <c r="F42" s="28">
        <f t="shared" ref="F42:F45" si="80">SUM(D42:E42)</f>
        <v>205862.20594499999</v>
      </c>
      <c r="G42" s="121"/>
      <c r="H42" s="28">
        <f t="shared" ref="H42:H45" si="81">G42*$I$50*$I$58</f>
        <v>0</v>
      </c>
      <c r="I42" s="28">
        <f t="shared" ref="I42:I45" si="82">(G42*$I$52*+G42*$I$53)*$I$58</f>
        <v>0</v>
      </c>
      <c r="J42" s="28">
        <f t="shared" ref="J42:J45" si="83">SUM(H42:I42)</f>
        <v>0</v>
      </c>
      <c r="K42" s="2">
        <f t="shared" ref="K42:K45" si="84">CM20+CQ20</f>
        <v>0</v>
      </c>
      <c r="L42" s="36">
        <f t="shared" ref="L42:L45" si="85">K42*$I$54</f>
        <v>0</v>
      </c>
      <c r="M42" s="27">
        <f t="shared" ref="M42:M45" si="86">CU20</f>
        <v>0</v>
      </c>
      <c r="N42" s="36">
        <f t="shared" ref="N42:N45" si="87">M42*$I$55</f>
        <v>0</v>
      </c>
      <c r="O42" s="2">
        <f t="shared" ref="O42:O45" si="88">$C$65/1000*DC20</f>
        <v>0</v>
      </c>
      <c r="P42" s="36">
        <f t="shared" ref="P42:P45" si="89">O42*$I$50+O42*$I$52+O42*$I$53</f>
        <v>0</v>
      </c>
      <c r="Q42" s="36">
        <f t="shared" ref="Q42:Q45" si="90">DE20*$D$65/1000</f>
        <v>0</v>
      </c>
      <c r="R42" s="36">
        <f t="shared" ref="R42:R45" si="91">Q42*$I$50+Q42*$I$52+Q42*$I$53</f>
        <v>0</v>
      </c>
      <c r="S42" s="36">
        <f t="shared" ref="S42:S45" si="92">DG20*$E$65/1000</f>
        <v>0</v>
      </c>
      <c r="T42" s="36">
        <f t="shared" ref="T42:T45" si="93">S42*$I$50+S42*$I$52+S42*$I$53</f>
        <v>0</v>
      </c>
      <c r="U42" s="36">
        <f t="shared" ref="U42:U45" si="94">DI20*$F$65/1000</f>
        <v>0</v>
      </c>
      <c r="V42" s="36">
        <f t="shared" ref="V42:V45" si="95">U42*$I$50+U42*$I$52+U42*$I$53</f>
        <v>0</v>
      </c>
      <c r="W42" s="36">
        <f t="shared" ref="W42:W45" si="96">DK20*$G$65/1000</f>
        <v>0</v>
      </c>
      <c r="X42" s="36">
        <f t="shared" ref="X42:X45" si="97">W42*$I$50+W42*$I$52+W42*$I$53</f>
        <v>0</v>
      </c>
      <c r="Y42" s="27">
        <f t="shared" ref="Y42:Y45" si="98">DM20*$H$65/1000</f>
        <v>0</v>
      </c>
      <c r="Z42" s="87">
        <f t="shared" ref="Z42:Z45" si="99">Y42*$I$50+Y42*$I$52+Y42*$I$53</f>
        <v>0</v>
      </c>
      <c r="AA42" s="27">
        <f t="shared" ref="AA42:AA45" si="100">DO20*1000*$I$65/1000</f>
        <v>0</v>
      </c>
      <c r="AB42" s="27">
        <f t="shared" ref="AB42:AB45" si="101">AA42*$I$50+AA42*$I$52+AA42*$I$53</f>
        <v>0</v>
      </c>
      <c r="AC42" s="27">
        <f t="shared" ref="AC42:AC45" si="102">DQ20*$J$65</f>
        <v>0</v>
      </c>
      <c r="AD42" s="27">
        <f t="shared" ref="AD42:AD45" si="103">AC42*$I$50+AC42*$I$52+AC42*$I$53</f>
        <v>0</v>
      </c>
      <c r="AE42" s="27">
        <f t="shared" ref="AE42:AE45" si="104">DS20*$K$65</f>
        <v>9931.68</v>
      </c>
      <c r="AF42" s="27">
        <f t="shared" ref="AF42:AF45" si="105">AE42*$I$50+AE42*$I$52+AE42*$I$53</f>
        <v>167.61838217142858</v>
      </c>
      <c r="AG42" s="27">
        <f t="shared" ref="AG42:AG45" si="106">DU20*$L$65</f>
        <v>0</v>
      </c>
      <c r="AH42" s="27">
        <f t="shared" ref="AH42:AH45" si="107">AG42*$I$50+AG42*$I$52+AG42*$I$53</f>
        <v>0</v>
      </c>
      <c r="AI42" s="27">
        <f t="shared" ref="AI42:AI45" si="108">DW20*$M$65</f>
        <v>0</v>
      </c>
      <c r="AJ42" s="27">
        <f t="shared" ref="AJ42:AJ45" si="109">AI42*$I$50+AI42*$I$52+AI42*$I$53</f>
        <v>0</v>
      </c>
      <c r="AK42" s="27">
        <f t="shared" ref="AK42:AK45" si="110">DY20*$N$65</f>
        <v>0</v>
      </c>
      <c r="AL42" s="27">
        <f t="shared" ref="AL42:AL45" si="111">AK42*$I$50+AK42*$I$52+AK42*$I$53</f>
        <v>0</v>
      </c>
      <c r="AM42" s="27">
        <f t="shared" ref="AM42:AM45" si="112">EA20*$O$65</f>
        <v>0</v>
      </c>
      <c r="AN42" s="27">
        <f t="shared" ref="AN42:AN45" si="113">AM42*$I$50+AM42*$I$52+AM42*$I$53</f>
        <v>0</v>
      </c>
      <c r="AO42" s="27">
        <f t="shared" ref="AO42:AO45" si="114">EC20*$P$65</f>
        <v>0</v>
      </c>
      <c r="AP42" s="27">
        <f t="shared" ref="AP42:AP45" si="115">AO42*$I$50+AO42*$I$52+AO42*$I$53</f>
        <v>0</v>
      </c>
      <c r="AQ42" s="27">
        <f t="shared" ref="AQ42:AQ45" si="116">EE20*$Q$65</f>
        <v>0</v>
      </c>
      <c r="AR42" s="27">
        <f t="shared" ref="AR42:AR45" si="117">AQ42*$I$50+AQ42*$I$52+AQ42*$I$53</f>
        <v>0</v>
      </c>
      <c r="AS42" s="27">
        <f t="shared" ref="AS42:AS45" si="118">EG20*$R$65</f>
        <v>0</v>
      </c>
      <c r="AT42" s="27">
        <f t="shared" ref="AT42:AT45" si="119">AS42*$I$50+AS42*$I$52+AS42*$I$53</f>
        <v>0</v>
      </c>
      <c r="AU42" s="89">
        <f t="shared" ref="AU42:AU45" si="120">F42+J42+L42+N42+P42+R42+T42+V42+X42+Z42+AB42+AD42+AF42+AH42+AJ42+AL42+AN42+AP42+AR42+AT42</f>
        <v>206029.82432717143</v>
      </c>
      <c r="AV42" s="88">
        <f>AU42/'SUIVI RABAIS PRODUCTION ET C '!P9</f>
        <v>672.11399597824561</v>
      </c>
      <c r="AW42" s="181"/>
      <c r="AX42" s="352"/>
      <c r="AY42" s="353"/>
      <c r="AZ42" s="354"/>
      <c r="BB42" s="519"/>
      <c r="BC42" s="520"/>
      <c r="BD42" s="521"/>
    </row>
    <row r="43" spans="2:109" ht="15" thickBot="1" x14ac:dyDescent="0.4">
      <c r="B43" s="27" t="s">
        <v>175</v>
      </c>
      <c r="C43" s="2">
        <f t="shared" si="77"/>
        <v>25043.15</v>
      </c>
      <c r="D43" s="104">
        <f t="shared" si="78"/>
        <v>166858.93085714284</v>
      </c>
      <c r="E43" s="2">
        <f t="shared" si="79"/>
        <v>39003.275087857139</v>
      </c>
      <c r="F43" s="28">
        <f t="shared" si="80"/>
        <v>205862.20594499999</v>
      </c>
      <c r="G43" s="121"/>
      <c r="H43" s="28">
        <f t="shared" si="81"/>
        <v>0</v>
      </c>
      <c r="I43" s="28">
        <f t="shared" si="82"/>
        <v>0</v>
      </c>
      <c r="J43" s="28">
        <f t="shared" si="83"/>
        <v>0</v>
      </c>
      <c r="K43" s="2">
        <f t="shared" si="84"/>
        <v>0</v>
      </c>
      <c r="L43" s="36">
        <f t="shared" si="85"/>
        <v>0</v>
      </c>
      <c r="M43" s="27">
        <f t="shared" si="86"/>
        <v>0</v>
      </c>
      <c r="N43" s="36">
        <f t="shared" si="87"/>
        <v>0</v>
      </c>
      <c r="O43" s="2">
        <f t="shared" si="88"/>
        <v>0</v>
      </c>
      <c r="P43" s="36">
        <f t="shared" si="89"/>
        <v>0</v>
      </c>
      <c r="Q43" s="36">
        <f t="shared" si="90"/>
        <v>0</v>
      </c>
      <c r="R43" s="36">
        <f t="shared" si="91"/>
        <v>0</v>
      </c>
      <c r="S43" s="36">
        <f t="shared" si="92"/>
        <v>0</v>
      </c>
      <c r="T43" s="36">
        <f t="shared" si="93"/>
        <v>0</v>
      </c>
      <c r="U43" s="36">
        <f t="shared" si="94"/>
        <v>0</v>
      </c>
      <c r="V43" s="36">
        <f t="shared" si="95"/>
        <v>0</v>
      </c>
      <c r="W43" s="36">
        <f t="shared" si="96"/>
        <v>0</v>
      </c>
      <c r="X43" s="36">
        <f t="shared" si="97"/>
        <v>0</v>
      </c>
      <c r="Y43" s="27">
        <f t="shared" si="98"/>
        <v>0</v>
      </c>
      <c r="Z43" s="87">
        <f t="shared" si="99"/>
        <v>0</v>
      </c>
      <c r="AA43" s="27">
        <f t="shared" si="100"/>
        <v>0</v>
      </c>
      <c r="AB43" s="27">
        <f t="shared" si="101"/>
        <v>0</v>
      </c>
      <c r="AC43" s="27">
        <f t="shared" si="102"/>
        <v>0</v>
      </c>
      <c r="AD43" s="27">
        <f t="shared" si="103"/>
        <v>0</v>
      </c>
      <c r="AE43" s="27">
        <f t="shared" si="104"/>
        <v>9931.68</v>
      </c>
      <c r="AF43" s="27">
        <f t="shared" si="105"/>
        <v>167.61838217142858</v>
      </c>
      <c r="AG43" s="27">
        <f t="shared" si="106"/>
        <v>0</v>
      </c>
      <c r="AH43" s="27">
        <f t="shared" si="107"/>
        <v>0</v>
      </c>
      <c r="AI43" s="27">
        <f t="shared" si="108"/>
        <v>0</v>
      </c>
      <c r="AJ43" s="27">
        <f t="shared" si="109"/>
        <v>0</v>
      </c>
      <c r="AK43" s="27">
        <f t="shared" si="110"/>
        <v>0</v>
      </c>
      <c r="AL43" s="27">
        <f t="shared" si="111"/>
        <v>0</v>
      </c>
      <c r="AM43" s="27">
        <f t="shared" si="112"/>
        <v>0</v>
      </c>
      <c r="AN43" s="27">
        <f t="shared" si="113"/>
        <v>0</v>
      </c>
      <c r="AO43" s="27">
        <f t="shared" si="114"/>
        <v>0</v>
      </c>
      <c r="AP43" s="27">
        <f t="shared" si="115"/>
        <v>0</v>
      </c>
      <c r="AQ43" s="27">
        <f t="shared" si="116"/>
        <v>0</v>
      </c>
      <c r="AR43" s="27">
        <f t="shared" si="117"/>
        <v>0</v>
      </c>
      <c r="AS43" s="27">
        <f t="shared" si="118"/>
        <v>0</v>
      </c>
      <c r="AT43" s="27">
        <f t="shared" si="119"/>
        <v>0</v>
      </c>
      <c r="AU43" s="89">
        <f t="shared" si="120"/>
        <v>206029.82432717143</v>
      </c>
      <c r="AV43" s="88">
        <f>AU43/'SUIVI RABAIS PRODUCTION ET C '!Q9</f>
        <v>672.11399597824561</v>
      </c>
      <c r="AW43" s="181"/>
      <c r="AX43" s="352"/>
      <c r="AY43" s="353"/>
      <c r="AZ43" s="354"/>
      <c r="BB43" s="519"/>
      <c r="BC43" s="520"/>
      <c r="BD43" s="521"/>
    </row>
    <row r="44" spans="2:109" ht="15" thickBot="1" x14ac:dyDescent="0.4">
      <c r="B44" s="27" t="s">
        <v>176</v>
      </c>
      <c r="C44" s="2">
        <f t="shared" si="77"/>
        <v>25043.15</v>
      </c>
      <c r="D44" s="104">
        <f t="shared" si="78"/>
        <v>166858.93085714284</v>
      </c>
      <c r="E44" s="2">
        <f t="shared" si="79"/>
        <v>39003.275087857139</v>
      </c>
      <c r="F44" s="28">
        <f t="shared" si="80"/>
        <v>205862.20594499999</v>
      </c>
      <c r="G44" s="121"/>
      <c r="H44" s="28">
        <f t="shared" si="81"/>
        <v>0</v>
      </c>
      <c r="I44" s="28">
        <f t="shared" si="82"/>
        <v>0</v>
      </c>
      <c r="J44" s="28">
        <f t="shared" si="83"/>
        <v>0</v>
      </c>
      <c r="K44" s="2">
        <f t="shared" si="84"/>
        <v>0</v>
      </c>
      <c r="L44" s="36">
        <f t="shared" si="85"/>
        <v>0</v>
      </c>
      <c r="M44" s="27">
        <f t="shared" si="86"/>
        <v>0</v>
      </c>
      <c r="N44" s="36">
        <f t="shared" si="87"/>
        <v>0</v>
      </c>
      <c r="O44" s="2">
        <f t="shared" si="88"/>
        <v>0</v>
      </c>
      <c r="P44" s="36">
        <f t="shared" si="89"/>
        <v>0</v>
      </c>
      <c r="Q44" s="36">
        <f t="shared" si="90"/>
        <v>0</v>
      </c>
      <c r="R44" s="36">
        <f t="shared" si="91"/>
        <v>0</v>
      </c>
      <c r="S44" s="36">
        <f t="shared" si="92"/>
        <v>0</v>
      </c>
      <c r="T44" s="36">
        <f t="shared" si="93"/>
        <v>0</v>
      </c>
      <c r="U44" s="36">
        <f t="shared" si="94"/>
        <v>0</v>
      </c>
      <c r="V44" s="36">
        <f t="shared" si="95"/>
        <v>0</v>
      </c>
      <c r="W44" s="36">
        <f t="shared" si="96"/>
        <v>0</v>
      </c>
      <c r="X44" s="36">
        <f t="shared" si="97"/>
        <v>0</v>
      </c>
      <c r="Y44" s="27">
        <f t="shared" si="98"/>
        <v>0</v>
      </c>
      <c r="Z44" s="87">
        <f t="shared" si="99"/>
        <v>0</v>
      </c>
      <c r="AA44" s="27">
        <f t="shared" si="100"/>
        <v>0</v>
      </c>
      <c r="AB44" s="27">
        <f t="shared" si="101"/>
        <v>0</v>
      </c>
      <c r="AC44" s="27">
        <f t="shared" si="102"/>
        <v>0</v>
      </c>
      <c r="AD44" s="27">
        <f t="shared" si="103"/>
        <v>0</v>
      </c>
      <c r="AE44" s="27">
        <f t="shared" si="104"/>
        <v>9931.68</v>
      </c>
      <c r="AF44" s="27">
        <f t="shared" si="105"/>
        <v>167.61838217142858</v>
      </c>
      <c r="AG44" s="27">
        <f t="shared" si="106"/>
        <v>0</v>
      </c>
      <c r="AH44" s="27">
        <f t="shared" si="107"/>
        <v>0</v>
      </c>
      <c r="AI44" s="27">
        <f t="shared" si="108"/>
        <v>0</v>
      </c>
      <c r="AJ44" s="27">
        <f t="shared" si="109"/>
        <v>0</v>
      </c>
      <c r="AK44" s="27">
        <f t="shared" si="110"/>
        <v>0</v>
      </c>
      <c r="AL44" s="27">
        <f t="shared" si="111"/>
        <v>0</v>
      </c>
      <c r="AM44" s="27">
        <f t="shared" si="112"/>
        <v>0</v>
      </c>
      <c r="AN44" s="27">
        <f t="shared" si="113"/>
        <v>0</v>
      </c>
      <c r="AO44" s="27">
        <f t="shared" si="114"/>
        <v>0</v>
      </c>
      <c r="AP44" s="27">
        <f t="shared" si="115"/>
        <v>0</v>
      </c>
      <c r="AQ44" s="27">
        <f t="shared" si="116"/>
        <v>0</v>
      </c>
      <c r="AR44" s="27">
        <f t="shared" si="117"/>
        <v>0</v>
      </c>
      <c r="AS44" s="27">
        <f t="shared" si="118"/>
        <v>0</v>
      </c>
      <c r="AT44" s="27">
        <f t="shared" si="119"/>
        <v>0</v>
      </c>
      <c r="AU44" s="89">
        <f t="shared" si="120"/>
        <v>206029.82432717143</v>
      </c>
      <c r="AV44" s="88">
        <f>AU44/'SUIVI RABAIS PRODUCTION ET C '!R9</f>
        <v>672.11399597824561</v>
      </c>
      <c r="AW44" s="181"/>
      <c r="AX44" s="278">
        <f>AU46+AO36</f>
        <v>1779819.4606358572</v>
      </c>
      <c r="AY44" s="7" t="s">
        <v>158</v>
      </c>
      <c r="AZ44" s="39"/>
      <c r="BB44" s="302" cm="1">
        <f t="array" ref="BB44">IFERROR(SUM(AVERAGE('GES AVANT NOTIFICATION'!AP31:AP35+'GES AVANT NOTIFICATION'!AV41:AV45)*'SUIVI RABAIS PRODUCTION ET C '!O9:S9)-'GES APRES NOTIFICATION '!AX44,"-")</f>
        <v>857099.56726262346</v>
      </c>
      <c r="BC44" s="7" t="s">
        <v>158</v>
      </c>
      <c r="BD44" s="39"/>
    </row>
    <row r="45" spans="2:109" x14ac:dyDescent="0.35">
      <c r="B45" s="27" t="s">
        <v>177</v>
      </c>
      <c r="C45" s="2">
        <f t="shared" si="77"/>
        <v>25043.15</v>
      </c>
      <c r="D45" s="104">
        <f t="shared" si="78"/>
        <v>166858.93085714284</v>
      </c>
      <c r="E45" s="2">
        <f t="shared" si="79"/>
        <v>39003.275087857139</v>
      </c>
      <c r="F45" s="28">
        <f t="shared" si="80"/>
        <v>205862.20594499999</v>
      </c>
      <c r="G45" s="121"/>
      <c r="H45" s="28">
        <f t="shared" si="81"/>
        <v>0</v>
      </c>
      <c r="I45" s="28">
        <f t="shared" si="82"/>
        <v>0</v>
      </c>
      <c r="J45" s="28">
        <f t="shared" si="83"/>
        <v>0</v>
      </c>
      <c r="K45" s="2">
        <f t="shared" si="84"/>
        <v>0</v>
      </c>
      <c r="L45" s="36">
        <f t="shared" si="85"/>
        <v>0</v>
      </c>
      <c r="M45" s="27">
        <f t="shared" si="86"/>
        <v>0</v>
      </c>
      <c r="N45" s="36">
        <f t="shared" si="87"/>
        <v>0</v>
      </c>
      <c r="O45" s="2">
        <f t="shared" si="88"/>
        <v>0</v>
      </c>
      <c r="P45" s="36">
        <f t="shared" si="89"/>
        <v>0</v>
      </c>
      <c r="Q45" s="36">
        <f t="shared" si="90"/>
        <v>0</v>
      </c>
      <c r="R45" s="36">
        <f t="shared" si="91"/>
        <v>0</v>
      </c>
      <c r="S45" s="36">
        <f t="shared" si="92"/>
        <v>0</v>
      </c>
      <c r="T45" s="36">
        <f t="shared" si="93"/>
        <v>0</v>
      </c>
      <c r="U45" s="36">
        <f t="shared" si="94"/>
        <v>0</v>
      </c>
      <c r="V45" s="36">
        <f t="shared" si="95"/>
        <v>0</v>
      </c>
      <c r="W45" s="36">
        <f t="shared" si="96"/>
        <v>0</v>
      </c>
      <c r="X45" s="36">
        <f t="shared" si="97"/>
        <v>0</v>
      </c>
      <c r="Y45" s="27">
        <f t="shared" si="98"/>
        <v>0</v>
      </c>
      <c r="Z45" s="87">
        <f t="shared" si="99"/>
        <v>0</v>
      </c>
      <c r="AA45" s="27">
        <f t="shared" si="100"/>
        <v>0</v>
      </c>
      <c r="AB45" s="27">
        <f t="shared" si="101"/>
        <v>0</v>
      </c>
      <c r="AC45" s="27">
        <f t="shared" si="102"/>
        <v>0</v>
      </c>
      <c r="AD45" s="27">
        <f t="shared" si="103"/>
        <v>0</v>
      </c>
      <c r="AE45" s="27">
        <f t="shared" si="104"/>
        <v>9931.68</v>
      </c>
      <c r="AF45" s="27">
        <f t="shared" si="105"/>
        <v>167.61838217142858</v>
      </c>
      <c r="AG45" s="27">
        <f t="shared" si="106"/>
        <v>0</v>
      </c>
      <c r="AH45" s="27">
        <f t="shared" si="107"/>
        <v>0</v>
      </c>
      <c r="AI45" s="27">
        <f t="shared" si="108"/>
        <v>0</v>
      </c>
      <c r="AJ45" s="27">
        <f t="shared" si="109"/>
        <v>0</v>
      </c>
      <c r="AK45" s="27">
        <f t="shared" si="110"/>
        <v>0</v>
      </c>
      <c r="AL45" s="27">
        <f t="shared" si="111"/>
        <v>0</v>
      </c>
      <c r="AM45" s="27">
        <f t="shared" si="112"/>
        <v>0</v>
      </c>
      <c r="AN45" s="27">
        <f t="shared" si="113"/>
        <v>0</v>
      </c>
      <c r="AO45" s="27">
        <f t="shared" si="114"/>
        <v>0</v>
      </c>
      <c r="AP45" s="27">
        <f t="shared" si="115"/>
        <v>0</v>
      </c>
      <c r="AQ45" s="27">
        <f t="shared" si="116"/>
        <v>0</v>
      </c>
      <c r="AR45" s="27">
        <f t="shared" si="117"/>
        <v>0</v>
      </c>
      <c r="AS45" s="27">
        <f t="shared" si="118"/>
        <v>0</v>
      </c>
      <c r="AT45" s="27">
        <f t="shared" si="119"/>
        <v>0</v>
      </c>
      <c r="AU45" s="89">
        <f t="shared" si="120"/>
        <v>206029.82432717143</v>
      </c>
      <c r="AV45" s="88">
        <f>AU45/'SUIVI RABAIS PRODUCTION ET C '!S9</f>
        <v>672.11399597824561</v>
      </c>
      <c r="AW45" s="181"/>
      <c r="AX45" s="279">
        <f>AX44/1000</f>
        <v>1779.8194606358572</v>
      </c>
      <c r="AY45" s="81" t="s">
        <v>180</v>
      </c>
      <c r="BB45" s="303">
        <f>IFERROR(BB44/1000,"-")</f>
        <v>857.09956726262351</v>
      </c>
      <c r="BC45" s="81" t="s">
        <v>180</v>
      </c>
    </row>
    <row r="46" spans="2:109" x14ac:dyDescent="0.35">
      <c r="B46" s="5" t="s">
        <v>121</v>
      </c>
      <c r="C46" s="80">
        <f>SUM(C41:C45)</f>
        <v>125215.75</v>
      </c>
      <c r="D46" s="5">
        <f t="shared" ref="D46:AT46" si="121">SUM(D41:D45)</f>
        <v>834294.65428571426</v>
      </c>
      <c r="E46" s="5">
        <f t="shared" si="121"/>
        <v>195016.37543928571</v>
      </c>
      <c r="F46" s="29">
        <f t="shared" si="121"/>
        <v>1029311.029725</v>
      </c>
      <c r="G46" s="29">
        <f t="shared" si="121"/>
        <v>0</v>
      </c>
      <c r="H46" s="29">
        <f t="shared" si="121"/>
        <v>0</v>
      </c>
      <c r="I46" s="29">
        <f t="shared" si="121"/>
        <v>0</v>
      </c>
      <c r="J46" s="5">
        <f t="shared" si="121"/>
        <v>0</v>
      </c>
      <c r="K46" s="5">
        <f t="shared" si="121"/>
        <v>0</v>
      </c>
      <c r="L46" s="29">
        <f t="shared" si="121"/>
        <v>0</v>
      </c>
      <c r="M46" s="5">
        <f t="shared" si="121"/>
        <v>0</v>
      </c>
      <c r="N46" s="29">
        <f t="shared" si="121"/>
        <v>0</v>
      </c>
      <c r="O46" s="5">
        <f t="shared" si="121"/>
        <v>0</v>
      </c>
      <c r="P46" s="29">
        <f t="shared" si="121"/>
        <v>0</v>
      </c>
      <c r="Q46" s="5">
        <f t="shared" si="121"/>
        <v>0</v>
      </c>
      <c r="R46" s="5">
        <f t="shared" si="121"/>
        <v>0</v>
      </c>
      <c r="S46" s="5">
        <f t="shared" si="121"/>
        <v>0</v>
      </c>
      <c r="T46" s="5">
        <f t="shared" si="121"/>
        <v>0</v>
      </c>
      <c r="U46" s="5">
        <f t="shared" si="121"/>
        <v>0</v>
      </c>
      <c r="V46" s="5">
        <f t="shared" si="121"/>
        <v>0</v>
      </c>
      <c r="W46" s="5">
        <f t="shared" si="121"/>
        <v>0</v>
      </c>
      <c r="X46" s="5">
        <f t="shared" si="121"/>
        <v>0</v>
      </c>
      <c r="Y46" s="5">
        <f t="shared" si="121"/>
        <v>0</v>
      </c>
      <c r="Z46" s="5">
        <f t="shared" si="121"/>
        <v>0</v>
      </c>
      <c r="AA46" s="5">
        <f t="shared" si="121"/>
        <v>0</v>
      </c>
      <c r="AB46" s="5">
        <f t="shared" si="121"/>
        <v>0</v>
      </c>
      <c r="AC46" s="5">
        <f t="shared" si="121"/>
        <v>0</v>
      </c>
      <c r="AD46" s="5">
        <f t="shared" si="121"/>
        <v>0</v>
      </c>
      <c r="AE46" s="5">
        <f t="shared" si="121"/>
        <v>49658.400000000001</v>
      </c>
      <c r="AF46" s="5">
        <f t="shared" si="121"/>
        <v>838.09191085714292</v>
      </c>
      <c r="AG46" s="5">
        <f t="shared" si="121"/>
        <v>0</v>
      </c>
      <c r="AH46" s="5">
        <f t="shared" si="121"/>
        <v>0</v>
      </c>
      <c r="AI46" s="5">
        <f t="shared" si="121"/>
        <v>0</v>
      </c>
      <c r="AJ46" s="5">
        <f t="shared" si="121"/>
        <v>0</v>
      </c>
      <c r="AK46" s="5">
        <f t="shared" si="121"/>
        <v>0</v>
      </c>
      <c r="AL46" s="5">
        <f t="shared" si="121"/>
        <v>0</v>
      </c>
      <c r="AM46" s="5">
        <f t="shared" si="121"/>
        <v>0</v>
      </c>
      <c r="AN46" s="5">
        <f t="shared" si="121"/>
        <v>0</v>
      </c>
      <c r="AO46" s="5">
        <f t="shared" si="121"/>
        <v>0</v>
      </c>
      <c r="AP46" s="5">
        <f t="shared" si="121"/>
        <v>0</v>
      </c>
      <c r="AQ46" s="5">
        <f t="shared" si="121"/>
        <v>0</v>
      </c>
      <c r="AR46" s="5">
        <f t="shared" si="121"/>
        <v>0</v>
      </c>
      <c r="AS46" s="5">
        <f t="shared" si="121"/>
        <v>0</v>
      </c>
      <c r="AT46" s="5">
        <f t="shared" si="121"/>
        <v>0</v>
      </c>
      <c r="AU46" s="37">
        <f>SUM(AU41:AU45)</f>
        <v>1030149.1216358572</v>
      </c>
      <c r="AV46" s="277" cm="1">
        <f t="array" ref="AV46">AVERAGE(($AO$31:$AO$35+$AU$41:$AU$45)/TRANSPOSE('SUIVI RABAIS PRODUCTION ET C '!O9:S9))</f>
        <v>1161.1405802760387</v>
      </c>
    </row>
    <row r="47" spans="2:109" ht="15" thickBot="1" x14ac:dyDescent="0.4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5">
      <c r="B48" s="77" t="s">
        <v>160</v>
      </c>
      <c r="C48" s="77"/>
      <c r="D48" s="77"/>
      <c r="E48" s="77"/>
      <c r="F48" s="77"/>
      <c r="G48" s="77"/>
      <c r="H48" s="77"/>
      <c r="I48" s="77"/>
      <c r="BB48" s="516" t="s">
        <v>181</v>
      </c>
      <c r="BC48" s="517"/>
      <c r="BD48" s="518"/>
    </row>
    <row r="49" spans="2:56" ht="15" customHeight="1" x14ac:dyDescent="0.35">
      <c r="B49" s="40" t="s">
        <v>161</v>
      </c>
      <c r="C49" s="41"/>
      <c r="D49" s="42"/>
      <c r="E49" s="42"/>
      <c r="F49" s="42"/>
      <c r="G49" s="42"/>
      <c r="H49" s="78"/>
      <c r="I49" s="102">
        <f>0.016*44/28</f>
        <v>2.514285714285714E-2</v>
      </c>
      <c r="BB49" s="519"/>
      <c r="BC49" s="520"/>
      <c r="BD49" s="521"/>
    </row>
    <row r="50" spans="2:56" ht="15" thickBot="1" x14ac:dyDescent="0.4">
      <c r="B50" s="43" t="s">
        <v>162</v>
      </c>
      <c r="C50" s="44"/>
      <c r="D50" s="45"/>
      <c r="E50" s="45"/>
      <c r="F50" s="45"/>
      <c r="G50" s="45"/>
      <c r="H50" s="46"/>
      <c r="I50" s="102">
        <f>0.006*44/28</f>
        <v>9.4285714285714285E-3</v>
      </c>
      <c r="BB50" s="519"/>
      <c r="BC50" s="520"/>
      <c r="BD50" s="521"/>
    </row>
    <row r="51" spans="2:56" ht="15" thickBot="1" x14ac:dyDescent="0.4">
      <c r="B51" s="43" t="s">
        <v>163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  <c r="BA51" s="187"/>
      <c r="BB51" s="304">
        <f>IFERROR(BB44*(1+'SUIVI RABAIS PRODUCTION ET C '!D75),"-")</f>
        <v>857099.56726262346</v>
      </c>
      <c r="BC51" s="1" t="s">
        <v>182</v>
      </c>
    </row>
    <row r="52" spans="2:56" x14ac:dyDescent="0.35">
      <c r="B52" s="43" t="s">
        <v>164</v>
      </c>
      <c r="C52" s="44"/>
      <c r="D52" s="45"/>
      <c r="E52" s="45"/>
      <c r="F52" s="45"/>
      <c r="G52" s="45"/>
      <c r="H52" s="46"/>
      <c r="I52" s="102">
        <f>0.01*0.21*44/28</f>
        <v>3.3E-3</v>
      </c>
      <c r="AZ52" s="90"/>
      <c r="BB52" s="304">
        <f>IFERROR(BB51/1000,"-")</f>
        <v>857.09956726262351</v>
      </c>
      <c r="BC52" s="1" t="s">
        <v>180</v>
      </c>
    </row>
    <row r="53" spans="2:56" x14ac:dyDescent="0.35">
      <c r="B53" s="43" t="s">
        <v>165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  <c r="AV53" s="181"/>
    </row>
    <row r="54" spans="2:56" x14ac:dyDescent="0.35">
      <c r="B54" s="43" t="s">
        <v>166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56" x14ac:dyDescent="0.35">
      <c r="B55" s="47" t="s">
        <v>167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56" x14ac:dyDescent="0.35">
      <c r="B57" s="77" t="s">
        <v>168</v>
      </c>
      <c r="C57" s="70"/>
      <c r="D57" s="70"/>
      <c r="E57" s="70"/>
      <c r="F57" s="70"/>
      <c r="G57" s="70"/>
      <c r="H57" s="70"/>
      <c r="I57" s="70"/>
    </row>
    <row r="58" spans="2:56" x14ac:dyDescent="0.35">
      <c r="B58" s="82" t="s">
        <v>169</v>
      </c>
      <c r="C58" s="83"/>
      <c r="D58" s="83"/>
      <c r="E58" s="83"/>
      <c r="F58" s="83"/>
      <c r="G58" s="83"/>
      <c r="H58" s="83"/>
      <c r="I58" s="84">
        <v>265</v>
      </c>
    </row>
    <row r="60" spans="2:56" x14ac:dyDescent="0.35">
      <c r="B60" s="77" t="s">
        <v>170</v>
      </c>
      <c r="C60" s="77"/>
      <c r="D60" s="77"/>
      <c r="E60" s="77"/>
      <c r="F60" s="77"/>
      <c r="G60" s="77"/>
      <c r="H60" s="77"/>
      <c r="I60" s="77"/>
    </row>
    <row r="61" spans="2:56" x14ac:dyDescent="0.35">
      <c r="C61" s="375" t="s">
        <v>29</v>
      </c>
      <c r="D61" s="376"/>
      <c r="E61" s="376"/>
      <c r="F61" s="376"/>
      <c r="G61" s="376"/>
      <c r="H61" s="377"/>
      <c r="I61" s="375" t="s">
        <v>124</v>
      </c>
      <c r="J61" s="376"/>
      <c r="K61" s="376"/>
      <c r="L61" s="376"/>
      <c r="M61" s="376"/>
      <c r="N61" s="376"/>
      <c r="O61" s="376"/>
      <c r="P61" s="376"/>
      <c r="Q61" s="376"/>
      <c r="R61" s="377"/>
    </row>
    <row r="62" spans="2:56" ht="14.5" customHeight="1" x14ac:dyDescent="0.35">
      <c r="C62" s="363">
        <f>BQ5</f>
        <v>0</v>
      </c>
      <c r="D62" s="363">
        <f>BT5</f>
        <v>0</v>
      </c>
      <c r="E62" s="363">
        <f>BW5</f>
        <v>0</v>
      </c>
      <c r="F62" s="363">
        <f>BZ5</f>
        <v>0</v>
      </c>
      <c r="G62" s="363">
        <f>CC5</f>
        <v>0</v>
      </c>
      <c r="H62" s="363">
        <f>CF5</f>
        <v>0</v>
      </c>
      <c r="I62" s="366" t="s">
        <v>50</v>
      </c>
      <c r="J62" s="366" t="s">
        <v>51</v>
      </c>
      <c r="K62" s="366" t="s">
        <v>52</v>
      </c>
      <c r="L62" s="372" t="s">
        <v>53</v>
      </c>
      <c r="M62" s="372" t="s">
        <v>54</v>
      </c>
      <c r="N62" s="372" t="s">
        <v>55</v>
      </c>
      <c r="O62" s="372" t="s">
        <v>56</v>
      </c>
      <c r="P62" s="372" t="s">
        <v>57</v>
      </c>
      <c r="Q62" s="372" t="s">
        <v>58</v>
      </c>
      <c r="R62" s="372" t="s">
        <v>59</v>
      </c>
    </row>
    <row r="63" spans="2:56" x14ac:dyDescent="0.35">
      <c r="C63" s="364"/>
      <c r="D63" s="364"/>
      <c r="E63" s="364"/>
      <c r="F63" s="364"/>
      <c r="G63" s="364"/>
      <c r="H63" s="364"/>
      <c r="I63" s="367"/>
      <c r="J63" s="367"/>
      <c r="K63" s="367"/>
      <c r="L63" s="373"/>
      <c r="M63" s="373"/>
      <c r="N63" s="373"/>
      <c r="O63" s="373"/>
      <c r="P63" s="373"/>
      <c r="Q63" s="373"/>
      <c r="R63" s="373"/>
    </row>
    <row r="64" spans="2:56" x14ac:dyDescent="0.35">
      <c r="C64" s="365"/>
      <c r="D64" s="365"/>
      <c r="E64" s="365"/>
      <c r="F64" s="365"/>
      <c r="G64" s="365"/>
      <c r="H64" s="365"/>
      <c r="I64" s="367"/>
      <c r="J64" s="367"/>
      <c r="K64" s="367"/>
      <c r="L64" s="373"/>
      <c r="M64" s="373"/>
      <c r="N64" s="373"/>
      <c r="O64" s="373"/>
      <c r="P64" s="373"/>
      <c r="Q64" s="373"/>
      <c r="R64" s="373"/>
    </row>
    <row r="65" spans="2:18" x14ac:dyDescent="0.35">
      <c r="B65" s="52" t="s">
        <v>171</v>
      </c>
      <c r="C65" s="169"/>
      <c r="D65" s="169"/>
      <c r="E65" s="169"/>
      <c r="F65" s="169"/>
      <c r="G65" s="169"/>
      <c r="H65" s="169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</sheetData>
  <mergeCells count="233">
    <mergeCell ref="AU39:AU40"/>
    <mergeCell ref="AV39:AV40"/>
    <mergeCell ref="C61:H61"/>
    <mergeCell ref="I61:R61"/>
    <mergeCell ref="O62:O64"/>
    <mergeCell ref="P62:P64"/>
    <mergeCell ref="Q62:Q64"/>
    <mergeCell ref="R62:R64"/>
    <mergeCell ref="BB41:BD43"/>
    <mergeCell ref="I62:I64"/>
    <mergeCell ref="J62:J64"/>
    <mergeCell ref="K62:K64"/>
    <mergeCell ref="L62:L64"/>
    <mergeCell ref="M62:M64"/>
    <mergeCell ref="N62:N64"/>
    <mergeCell ref="AX41:AZ43"/>
    <mergeCell ref="C62:C64"/>
    <mergeCell ref="D62:D64"/>
    <mergeCell ref="E62:E64"/>
    <mergeCell ref="F62:F64"/>
    <mergeCell ref="G62:G64"/>
    <mergeCell ref="H62:H64"/>
    <mergeCell ref="BB48:BD50"/>
    <mergeCell ref="AJ28:AJ30"/>
    <mergeCell ref="AK28:AK30"/>
    <mergeCell ref="AL28:AL30"/>
    <mergeCell ref="W28:W30"/>
    <mergeCell ref="O29:O30"/>
    <mergeCell ref="P29:P30"/>
    <mergeCell ref="Q29:Q30"/>
    <mergeCell ref="R29:R30"/>
    <mergeCell ref="AA39:AT39"/>
    <mergeCell ref="AM28:AM30"/>
    <mergeCell ref="AN28:AN30"/>
    <mergeCell ref="AD28:AD30"/>
    <mergeCell ref="AE28:AE30"/>
    <mergeCell ref="AI28:AI30"/>
    <mergeCell ref="X28:X30"/>
    <mergeCell ref="Y28:Y30"/>
    <mergeCell ref="Z28:Z30"/>
    <mergeCell ref="AA28:AA30"/>
    <mergeCell ref="AB28:AB30"/>
    <mergeCell ref="AC28:AC30"/>
    <mergeCell ref="S29:S30"/>
    <mergeCell ref="M28:Q28"/>
    <mergeCell ref="R28:S28"/>
    <mergeCell ref="B39:B40"/>
    <mergeCell ref="C39:F39"/>
    <mergeCell ref="G39:J39"/>
    <mergeCell ref="K39:N39"/>
    <mergeCell ref="O39:Z39"/>
    <mergeCell ref="C29:H29"/>
    <mergeCell ref="I29:J29"/>
    <mergeCell ref="K29:L29"/>
    <mergeCell ref="M29:M30"/>
    <mergeCell ref="N29:N30"/>
    <mergeCell ref="T28:T30"/>
    <mergeCell ref="U28:U30"/>
    <mergeCell ref="V28:V30"/>
    <mergeCell ref="ED19:ED23"/>
    <mergeCell ref="EF19:EF23"/>
    <mergeCell ref="EH19:EH23"/>
    <mergeCell ref="B27:B30"/>
    <mergeCell ref="U27:X27"/>
    <mergeCell ref="Y27:AD27"/>
    <mergeCell ref="AE27:AN27"/>
    <mergeCell ref="AO27:AO30"/>
    <mergeCell ref="AP27:AP30"/>
    <mergeCell ref="C28:L28"/>
    <mergeCell ref="DR19:DR23"/>
    <mergeCell ref="DT19:DT23"/>
    <mergeCell ref="DV19:DV23"/>
    <mergeCell ref="DX19:DX23"/>
    <mergeCell ref="DZ19:DZ23"/>
    <mergeCell ref="EB19:EB23"/>
    <mergeCell ref="AF28:AF30"/>
    <mergeCell ref="AG28:AG30"/>
    <mergeCell ref="AH28:AH30"/>
    <mergeCell ref="DP19:DP23"/>
    <mergeCell ref="CL19:CL23"/>
    <mergeCell ref="CP19:CP23"/>
    <mergeCell ref="AD19:AD23"/>
    <mergeCell ref="AH19:AH23"/>
    <mergeCell ref="AL19:AL23"/>
    <mergeCell ref="AP19:AP23"/>
    <mergeCell ref="AT19:AT23"/>
    <mergeCell ref="CT19:CT23"/>
    <mergeCell ref="CX19:CX23"/>
    <mergeCell ref="DB19:DB23"/>
    <mergeCell ref="BT19:BT23"/>
    <mergeCell ref="BW19:BW23"/>
    <mergeCell ref="BZ19:BZ23"/>
    <mergeCell ref="CD19:CD23"/>
    <mergeCell ref="CG19:CG23"/>
    <mergeCell ref="CJ19:CJ23"/>
    <mergeCell ref="F19:F23"/>
    <mergeCell ref="J19:J23"/>
    <mergeCell ref="N19:N23"/>
    <mergeCell ref="R19:R23"/>
    <mergeCell ref="V19:V23"/>
    <mergeCell ref="BJ17:BL17"/>
    <mergeCell ref="BM17:BM18"/>
    <mergeCell ref="BN17:BP17"/>
    <mergeCell ref="BQ17:BQ18"/>
    <mergeCell ref="AX17:AX18"/>
    <mergeCell ref="AY17:BA17"/>
    <mergeCell ref="BB17:BB18"/>
    <mergeCell ref="BC17:BE17"/>
    <mergeCell ref="BF17:BH17"/>
    <mergeCell ref="BI17:BI18"/>
    <mergeCell ref="AE17:AH17"/>
    <mergeCell ref="AI17:AL17"/>
    <mergeCell ref="AW19:AW23"/>
    <mergeCell ref="BA19:BA23"/>
    <mergeCell ref="BE19:BE23"/>
    <mergeCell ref="BH19:BH23"/>
    <mergeCell ref="BL19:BL23"/>
    <mergeCell ref="BP19:BP23"/>
    <mergeCell ref="Z19:Z23"/>
    <mergeCell ref="C17:F17"/>
    <mergeCell ref="G17:J17"/>
    <mergeCell ref="K17:N17"/>
    <mergeCell ref="O17:R17"/>
    <mergeCell ref="S17:V17"/>
    <mergeCell ref="W17:Z17"/>
    <mergeCell ref="AA17:AD17"/>
    <mergeCell ref="BX17:BZ17"/>
    <mergeCell ref="CA17:CA18"/>
    <mergeCell ref="BR17:BT17"/>
    <mergeCell ref="BU17:BW17"/>
    <mergeCell ref="DY15:DZ17"/>
    <mergeCell ref="EA15:EB17"/>
    <mergeCell ref="DE15:DF17"/>
    <mergeCell ref="DG15:DH17"/>
    <mergeCell ref="DI15:DJ17"/>
    <mergeCell ref="DK15:DL17"/>
    <mergeCell ref="DM15:DN17"/>
    <mergeCell ref="DO15:DP17"/>
    <mergeCell ref="AM17:AP17"/>
    <mergeCell ref="AQ17:AQ18"/>
    <mergeCell ref="AR17:AT17"/>
    <mergeCell ref="AU17:AW17"/>
    <mergeCell ref="BM16:BP16"/>
    <mergeCell ref="BQ16:BZ16"/>
    <mergeCell ref="CA16:CJ16"/>
    <mergeCell ref="CB17:CD17"/>
    <mergeCell ref="CE17:CG17"/>
    <mergeCell ref="CH17:CJ17"/>
    <mergeCell ref="DO14:EH14"/>
    <mergeCell ref="C15:AP15"/>
    <mergeCell ref="AQ15:BP15"/>
    <mergeCell ref="BQ15:CJ15"/>
    <mergeCell ref="CK15:CL17"/>
    <mergeCell ref="CM15:CP17"/>
    <mergeCell ref="CQ15:CT17"/>
    <mergeCell ref="CU15:CX17"/>
    <mergeCell ref="CY15:DB17"/>
    <mergeCell ref="DC15:DD17"/>
    <mergeCell ref="EC15:ED17"/>
    <mergeCell ref="EE15:EF17"/>
    <mergeCell ref="EG15:EH17"/>
    <mergeCell ref="C16:Z16"/>
    <mergeCell ref="AA16:AH16"/>
    <mergeCell ref="AI16:AP16"/>
    <mergeCell ref="AQ16:AW16"/>
    <mergeCell ref="AX16:BA16"/>
    <mergeCell ref="BB16:BH16"/>
    <mergeCell ref="BI16:BL16"/>
    <mergeCell ref="DQ15:DR17"/>
    <mergeCell ref="DS15:DT17"/>
    <mergeCell ref="DU15:DV17"/>
    <mergeCell ref="DW15:DX17"/>
    <mergeCell ref="DA5:DC5"/>
    <mergeCell ref="DD5:DF5"/>
    <mergeCell ref="DG5:DI5"/>
    <mergeCell ref="DJ5:DL5"/>
    <mergeCell ref="B13:CX13"/>
    <mergeCell ref="B14:B18"/>
    <mergeCell ref="C14:BR14"/>
    <mergeCell ref="CK14:CL14"/>
    <mergeCell ref="CM14:DB14"/>
    <mergeCell ref="DC14:DN14"/>
    <mergeCell ref="CI5:CK5"/>
    <mergeCell ref="CL5:CN5"/>
    <mergeCell ref="CO5:CQ5"/>
    <mergeCell ref="CR5:CT5"/>
    <mergeCell ref="CU5:CW5"/>
    <mergeCell ref="CX5:CZ5"/>
    <mergeCell ref="BQ5:BS5"/>
    <mergeCell ref="BT5:BV5"/>
    <mergeCell ref="BW5:BY5"/>
    <mergeCell ref="BZ5:CB5"/>
    <mergeCell ref="CC5:CE5"/>
    <mergeCell ref="CF5:CH5"/>
    <mergeCell ref="AY5:BA5"/>
    <mergeCell ref="BB5:BD5"/>
    <mergeCell ref="X5:Z5"/>
    <mergeCell ref="AA5:AC5"/>
    <mergeCell ref="BE5:BG5"/>
    <mergeCell ref="BH5:BJ5"/>
    <mergeCell ref="BK5:BM5"/>
    <mergeCell ref="BN5:BP5"/>
    <mergeCell ref="AD5:AF5"/>
    <mergeCell ref="AG5:AI5"/>
    <mergeCell ref="AM5:AO5"/>
    <mergeCell ref="AP5:AR5"/>
    <mergeCell ref="AS5:AU5"/>
    <mergeCell ref="AV5:AX5"/>
    <mergeCell ref="AJ5:AL5"/>
    <mergeCell ref="DD19:DD23"/>
    <mergeCell ref="DF19:DF23"/>
    <mergeCell ref="DH19:DH23"/>
    <mergeCell ref="DJ19:DJ23"/>
    <mergeCell ref="DL19:DL23"/>
    <mergeCell ref="DN19:DN23"/>
    <mergeCell ref="B1:CH2"/>
    <mergeCell ref="BP3:BS3"/>
    <mergeCell ref="CJ3:CM3"/>
    <mergeCell ref="C4:AF4"/>
    <mergeCell ref="AG4:AU4"/>
    <mergeCell ref="AV4:AX4"/>
    <mergeCell ref="AY4:BA4"/>
    <mergeCell ref="BB4:BD4"/>
    <mergeCell ref="BE4:BP4"/>
    <mergeCell ref="BQ4:CH4"/>
    <mergeCell ref="CI4:DL4"/>
    <mergeCell ref="C5:E5"/>
    <mergeCell ref="F5:H5"/>
    <mergeCell ref="I5:K5"/>
    <mergeCell ref="L5:N5"/>
    <mergeCell ref="O5:Q5"/>
    <mergeCell ref="R5:T5"/>
    <mergeCell ref="U5:W5"/>
  </mergeCells>
  <pageMargins left="0.25" right="0.25" top="0.75" bottom="0.75" header="0.3" footer="0.3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B65"/>
  <sheetViews>
    <sheetView zoomScale="85" zoomScaleNormal="85" workbookViewId="0">
      <selection activeCell="K31" sqref="K31"/>
    </sheetView>
  </sheetViews>
  <sheetFormatPr baseColWidth="10" defaultColWidth="11.54296875" defaultRowHeight="14.5" x14ac:dyDescent="0.35"/>
  <cols>
    <col min="3" max="3" width="14.81640625" customWidth="1"/>
    <col min="4" max="4" width="17.26953125" customWidth="1"/>
    <col min="5" max="5" width="17" customWidth="1"/>
    <col min="6" max="6" width="19.7265625" customWidth="1"/>
    <col min="7" max="7" width="21.1796875" customWidth="1"/>
    <col min="8" max="8" width="7.7265625" customWidth="1"/>
    <col min="9" max="9" width="12.26953125" customWidth="1"/>
    <col min="10" max="11" width="19.26953125" customWidth="1"/>
    <col min="12" max="12" width="12" customWidth="1"/>
    <col min="13" max="13" width="13.81640625" customWidth="1"/>
    <col min="15" max="15" width="12.453125" customWidth="1"/>
    <col min="17" max="17" width="18.54296875" customWidth="1"/>
    <col min="18" max="18" width="16" bestFit="1" customWidth="1"/>
    <col min="21" max="21" width="18" bestFit="1" customWidth="1"/>
    <col min="27" max="71" width="11.7265625" customWidth="1"/>
  </cols>
  <sheetData>
    <row r="1" spans="2:21" ht="15" customHeight="1" x14ac:dyDescent="0.35">
      <c r="B1" s="392" t="s">
        <v>207</v>
      </c>
      <c r="C1" s="392"/>
      <c r="D1" s="392"/>
      <c r="E1" s="392"/>
      <c r="F1" s="392"/>
      <c r="G1" s="392"/>
      <c r="H1" s="392"/>
      <c r="I1" s="392"/>
      <c r="J1" s="392"/>
      <c r="K1" s="392"/>
    </row>
    <row r="2" spans="2:21" ht="15" customHeight="1" x14ac:dyDescent="0.35">
      <c r="B2" s="392"/>
      <c r="C2" s="392"/>
      <c r="D2" s="392"/>
      <c r="E2" s="392"/>
      <c r="F2" s="392"/>
      <c r="G2" s="392"/>
      <c r="H2" s="392"/>
      <c r="I2" s="392"/>
      <c r="J2" s="392"/>
      <c r="K2" s="392"/>
    </row>
    <row r="4" spans="2:21" ht="15" customHeight="1" x14ac:dyDescent="0.35">
      <c r="B4" s="134" t="s">
        <v>208</v>
      </c>
      <c r="D4" t="s">
        <v>245</v>
      </c>
    </row>
    <row r="5" spans="2:21" x14ac:dyDescent="0.35">
      <c r="B5" t="s">
        <v>209</v>
      </c>
    </row>
    <row r="6" spans="2:21" x14ac:dyDescent="0.35">
      <c r="B6" s="527" t="s">
        <v>210</v>
      </c>
      <c r="C6" s="527"/>
      <c r="D6" s="527"/>
      <c r="E6" s="527"/>
    </row>
    <row r="7" spans="2:21" x14ac:dyDescent="0.35">
      <c r="C7" s="135"/>
      <c r="D7" s="135"/>
      <c r="E7" s="135"/>
    </row>
    <row r="8" spans="2:21" ht="15" thickBot="1" x14ac:dyDescent="0.4">
      <c r="B8" s="7" t="s">
        <v>211</v>
      </c>
    </row>
    <row r="9" spans="2:21" ht="15" thickBot="1" x14ac:dyDescent="0.4">
      <c r="C9" s="136" t="s">
        <v>212</v>
      </c>
      <c r="D9" s="137"/>
      <c r="E9" s="99" t="s">
        <v>241</v>
      </c>
      <c r="F9" s="136" t="s">
        <v>213</v>
      </c>
      <c r="G9" s="138" t="str">
        <f>IF(E9="O","N",IF(E9= "N", "O", "saisir O ou N dans la zone dédiée références spécifiques"))</f>
        <v>N</v>
      </c>
      <c r="H9" s="135"/>
      <c r="I9" s="135"/>
    </row>
    <row r="10" spans="2:21" x14ac:dyDescent="0.35">
      <c r="B10" s="7"/>
      <c r="C10" s="135"/>
      <c r="E10" s="7"/>
      <c r="F10" s="135"/>
      <c r="G10" s="135"/>
      <c r="H10" s="135"/>
      <c r="I10" s="135"/>
    </row>
    <row r="11" spans="2:21" ht="59.25" customHeight="1" thickBot="1" x14ac:dyDescent="0.4">
      <c r="E11" s="4" t="s">
        <v>184</v>
      </c>
      <c r="F11" s="139" t="str">
        <f>IF(E9="O", "IFT herbicide exploitation", "IFT herbicide référence régionale")</f>
        <v>IFT herbicide exploitation</v>
      </c>
      <c r="G11" s="140" t="str">
        <f>IF(E9="O", "IFT hors herbicide exploitation", "IFT hors herbicide référence régionale")</f>
        <v>IFT hors herbicide exploitation</v>
      </c>
      <c r="H11" s="4"/>
      <c r="I11" s="4" t="s">
        <v>184</v>
      </c>
      <c r="J11" s="139" t="s">
        <v>214</v>
      </c>
      <c r="K11" s="140" t="s">
        <v>215</v>
      </c>
      <c r="S11" s="166"/>
    </row>
    <row r="12" spans="2:21" ht="15" thickBot="1" x14ac:dyDescent="0.4">
      <c r="E12" s="2" t="s">
        <v>66</v>
      </c>
      <c r="F12" s="100">
        <v>1.1399999999999999</v>
      </c>
      <c r="G12" s="100">
        <v>1.1200000000000001</v>
      </c>
      <c r="I12" s="2" t="s">
        <v>173</v>
      </c>
      <c r="J12" s="100">
        <v>0.73</v>
      </c>
      <c r="K12" s="100">
        <v>0.17</v>
      </c>
      <c r="L12" s="182"/>
      <c r="M12" s="522" t="s">
        <v>216</v>
      </c>
      <c r="N12" s="523"/>
      <c r="O12" s="523"/>
      <c r="P12" s="180">
        <f>IF(AND(F17=0,J17=0),"/",IF(AND(J17&lt;&gt;0,F17=0),1,(J17-F17)/F17))</f>
        <v>-0.31132075471698106</v>
      </c>
      <c r="Q12" s="142"/>
      <c r="R12" s="182"/>
      <c r="S12" s="181"/>
    </row>
    <row r="13" spans="2:21" ht="15" thickBot="1" x14ac:dyDescent="0.4">
      <c r="E13" s="2" t="s">
        <v>67</v>
      </c>
      <c r="F13" s="100">
        <v>0.86</v>
      </c>
      <c r="G13" s="100">
        <v>0.65</v>
      </c>
      <c r="I13" s="2" t="s">
        <v>174</v>
      </c>
      <c r="J13" s="100">
        <v>0.73</v>
      </c>
      <c r="K13" s="100">
        <v>0.17</v>
      </c>
      <c r="M13" s="143" t="str">
        <f>IF(P12="/","Ni rabais ni bonus",IF(AND(E9="O", P12&lt;=-0.1),"les co-bénéfices basés sur les herbicides sont validés", IF(AND(E9="N",P12&lt;= -0.3), "les co-bénéfices basés sur les herbicides sont validés", "les co-bénéfices basés sur les herbicides ne sont pas validés")))</f>
        <v>les co-bénéfices basés sur les herbicides sont validés</v>
      </c>
      <c r="N13" s="144"/>
      <c r="O13" s="144"/>
      <c r="P13" s="144"/>
      <c r="Q13" s="145"/>
    </row>
    <row r="14" spans="2:21" ht="15" thickBot="1" x14ac:dyDescent="0.4">
      <c r="E14" s="2" t="s">
        <v>68</v>
      </c>
      <c r="F14" s="100">
        <v>1.06</v>
      </c>
      <c r="G14" s="100">
        <v>0.42</v>
      </c>
      <c r="I14" s="2" t="s">
        <v>175</v>
      </c>
      <c r="J14" s="100">
        <v>0.73</v>
      </c>
      <c r="K14" s="100">
        <v>0.17</v>
      </c>
      <c r="U14" s="181"/>
    </row>
    <row r="15" spans="2:21" ht="15" thickBot="1" x14ac:dyDescent="0.4">
      <c r="E15" s="2" t="s">
        <v>69</v>
      </c>
      <c r="F15" s="100">
        <v>1.1100000000000001</v>
      </c>
      <c r="G15" s="100">
        <v>0.84</v>
      </c>
      <c r="I15" s="2" t="s">
        <v>176</v>
      </c>
      <c r="J15" s="100">
        <v>0.73</v>
      </c>
      <c r="K15" s="100">
        <v>0.17</v>
      </c>
      <c r="M15" s="524" t="s">
        <v>217</v>
      </c>
      <c r="N15" s="525"/>
      <c r="O15" s="525"/>
      <c r="P15" s="179">
        <f>IF(AND(G17=0,K17=0),"/",IF(AND(K17&lt;&gt;0,G17=0),1,(K17-G17)/G17))</f>
        <v>-0.76279069767441854</v>
      </c>
      <c r="Q15" s="146"/>
    </row>
    <row r="16" spans="2:21" ht="15" thickBot="1" x14ac:dyDescent="0.4">
      <c r="E16" s="2" t="s">
        <v>70</v>
      </c>
      <c r="F16" s="100">
        <v>1.01</v>
      </c>
      <c r="G16" s="100">
        <v>0.66</v>
      </c>
      <c r="I16" s="2" t="s">
        <v>177</v>
      </c>
      <c r="J16" s="100">
        <v>0.73</v>
      </c>
      <c r="K16" s="100">
        <v>0.17</v>
      </c>
      <c r="M16" s="147" t="str">
        <f>IF(P15="/","Ni rabais ni bonus",IF(AND(E9="O",P15&lt;=-0.3),"les co-bénéfices basés sur les non-herbicides sont validés",IF(AND(E9="N",P15&lt;=-0.5),"les co-bénéfices basés sur les non-herbicides sont validés","les co-bénéfices basés sur les non-herbicides ne sont pas validés")))</f>
        <v>les co-bénéfices basés sur les non-herbicides sont validés</v>
      </c>
      <c r="N16" s="141"/>
      <c r="O16" s="141"/>
      <c r="P16" s="141"/>
      <c r="Q16" s="142"/>
    </row>
    <row r="17" spans="2:28" ht="66" customHeight="1" thickBot="1" x14ac:dyDescent="0.4">
      <c r="E17" s="148" t="s">
        <v>218</v>
      </c>
      <c r="F17" s="65">
        <f>IFERROR(TRIMMEAN(F12:F16,0.5),0)</f>
        <v>1.0599999999999998</v>
      </c>
      <c r="G17" s="65">
        <f>IFERROR(TRIMMEAN(G12:G16,0.5),0)</f>
        <v>0.71666666666666667</v>
      </c>
      <c r="I17" s="148" t="s">
        <v>219</v>
      </c>
      <c r="J17" s="65">
        <f>IFERROR(TRIMMEAN(J12:J16,0.5),0)</f>
        <v>0.73</v>
      </c>
      <c r="K17" s="65">
        <f>IFERROR(TRIMMEAN(K12:K16,0.5),0)</f>
        <v>0.17</v>
      </c>
    </row>
    <row r="18" spans="2:28" ht="15" thickBot="1" x14ac:dyDescent="0.4">
      <c r="E18" s="149"/>
      <c r="F18" s="30"/>
      <c r="G18" s="30"/>
      <c r="I18" s="149"/>
      <c r="J18" s="30"/>
      <c r="K18" s="30"/>
      <c r="M18" s="150" t="s">
        <v>220</v>
      </c>
      <c r="N18" s="151"/>
      <c r="O18" s="151"/>
      <c r="P18" s="151"/>
      <c r="Q18" s="151"/>
      <c r="R18" s="152">
        <f>IF(P12&lt;0,ROUNDDOWN(-(P12-(-IF(E9="O",0.1,0.2)))/0.05,0),0)</f>
        <v>4</v>
      </c>
      <c r="S18" s="170"/>
    </row>
    <row r="19" spans="2:28" ht="24" thickBot="1" x14ac:dyDescent="0.4">
      <c r="B19" s="134" t="s">
        <v>221</v>
      </c>
      <c r="D19" t="s">
        <v>246</v>
      </c>
      <c r="M19" s="153" t="s">
        <v>222</v>
      </c>
      <c r="N19" s="154"/>
      <c r="O19" s="154"/>
      <c r="P19" s="154"/>
      <c r="Q19" s="154"/>
      <c r="R19" s="152">
        <f>IF(P15&lt;0,ROUNDDOWN(-(P15-(-IF(E9="O",0.3,0.5)))/0.05,0),0)</f>
        <v>9</v>
      </c>
    </row>
    <row r="20" spans="2:28" ht="31.5" customHeight="1" thickBot="1" x14ac:dyDescent="0.4">
      <c r="B20" s="134"/>
      <c r="E20" s="4" t="s">
        <v>184</v>
      </c>
      <c r="F20" s="155" t="s">
        <v>223</v>
      </c>
      <c r="I20" s="4" t="s">
        <v>184</v>
      </c>
      <c r="J20" s="155" t="s">
        <v>223</v>
      </c>
      <c r="K20" s="156"/>
    </row>
    <row r="21" spans="2:28" ht="15.75" customHeight="1" thickBot="1" x14ac:dyDescent="0.4">
      <c r="B21" s="134"/>
      <c r="E21" s="2" t="s">
        <v>66</v>
      </c>
      <c r="F21" s="100">
        <v>0</v>
      </c>
      <c r="I21" s="2" t="s">
        <v>173</v>
      </c>
      <c r="J21" s="100">
        <v>0</v>
      </c>
      <c r="K21" s="4"/>
      <c r="L21" s="528" t="s">
        <v>224</v>
      </c>
      <c r="M21" s="529"/>
      <c r="N21" s="529"/>
      <c r="O21" s="530"/>
      <c r="P21" s="186" t="str">
        <f>IF(AND(F26=0,J26=0),"/",-(F26-J26)/F26)</f>
        <v>/</v>
      </c>
      <c r="Q21" s="157"/>
    </row>
    <row r="22" spans="2:28" ht="15.75" customHeight="1" thickBot="1" x14ac:dyDescent="0.4">
      <c r="B22" s="134"/>
      <c r="E22" s="2" t="s">
        <v>67</v>
      </c>
      <c r="F22" s="100">
        <v>0</v>
      </c>
      <c r="I22" s="2" t="s">
        <v>174</v>
      </c>
      <c r="J22" s="100">
        <v>0</v>
      </c>
      <c r="K22" s="4"/>
      <c r="L22" s="143" t="str">
        <f>IF(SUM(F21:F25,J21:J25)=0,"Ni rabais ni bonus",IF(AND(F26=0,J26=0),"le co-bénéfice préservation de la ressource en eau est effectif",IF((F26-J26)/F26&gt;=0.3,"le co-bénéfice préservation de la ressource en eau est effectif","le co-bénéfice préservation de la ressource en eau n'est pas effectif")))</f>
        <v>Ni rabais ni bonus</v>
      </c>
      <c r="M22" s="144"/>
      <c r="N22" s="144"/>
      <c r="O22" s="144"/>
      <c r="P22" s="144"/>
      <c r="Q22" s="145"/>
    </row>
    <row r="23" spans="2:28" ht="15.75" customHeight="1" x14ac:dyDescent="0.35">
      <c r="B23" s="134"/>
      <c r="E23" s="2" t="s">
        <v>68</v>
      </c>
      <c r="F23" s="100">
        <v>0</v>
      </c>
      <c r="I23" s="2" t="s">
        <v>175</v>
      </c>
      <c r="J23" s="100">
        <v>0</v>
      </c>
      <c r="K23" s="4"/>
      <c r="L23" s="158"/>
      <c r="M23" s="158"/>
      <c r="N23" s="158"/>
      <c r="O23" s="158"/>
      <c r="P23" s="158"/>
    </row>
    <row r="24" spans="2:28" ht="15.75" customHeight="1" x14ac:dyDescent="0.35">
      <c r="B24" s="134"/>
      <c r="E24" s="2" t="s">
        <v>69</v>
      </c>
      <c r="F24" s="100">
        <v>0</v>
      </c>
      <c r="I24" s="2" t="s">
        <v>176</v>
      </c>
      <c r="J24" s="100">
        <v>0</v>
      </c>
      <c r="K24" s="4"/>
      <c r="Q24" s="3"/>
    </row>
    <row r="25" spans="2:28" ht="15.75" customHeight="1" thickBot="1" x14ac:dyDescent="0.4">
      <c r="B25" s="134"/>
      <c r="E25" s="2" t="s">
        <v>70</v>
      </c>
      <c r="F25" s="100">
        <v>0</v>
      </c>
      <c r="I25" s="2" t="s">
        <v>177</v>
      </c>
      <c r="J25" s="100">
        <v>0</v>
      </c>
      <c r="K25" s="4"/>
      <c r="M25" s="159"/>
      <c r="N25" s="159"/>
      <c r="O25" s="159"/>
    </row>
    <row r="26" spans="2:28" ht="44.25" customHeight="1" thickBot="1" x14ac:dyDescent="0.4">
      <c r="B26" s="134"/>
      <c r="E26" s="160" t="s">
        <v>225</v>
      </c>
      <c r="F26" s="65">
        <f>SUM(F21:F25)</f>
        <v>0</v>
      </c>
      <c r="I26" s="160" t="s">
        <v>225</v>
      </c>
      <c r="J26" s="65">
        <f>SUM(J21:J25)</f>
        <v>0</v>
      </c>
      <c r="K26" s="30"/>
      <c r="L26" s="531" t="s">
        <v>226</v>
      </c>
      <c r="M26" s="532"/>
      <c r="N26" s="532"/>
      <c r="O26" s="533"/>
      <c r="P26" s="161">
        <f>IF(P21&lt;0,ROUNDDOWN((-P21-0.3)/0.1,0),0)</f>
        <v>0</v>
      </c>
    </row>
    <row r="28" spans="2:28" ht="23.5" x14ac:dyDescent="0.35">
      <c r="B28" s="134" t="s">
        <v>227</v>
      </c>
    </row>
    <row r="29" spans="2:28" x14ac:dyDescent="0.35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 spans="2:28" x14ac:dyDescent="0.35">
      <c r="B30" s="98"/>
      <c r="C30" s="98"/>
      <c r="D30" s="526" t="s">
        <v>228</v>
      </c>
      <c r="E30" s="526"/>
      <c r="F30" s="526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2:28" x14ac:dyDescent="0.35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162"/>
      <c r="M31" s="162"/>
      <c r="N31" s="162"/>
      <c r="O31" s="162"/>
      <c r="P31" s="162"/>
      <c r="Q31" s="165"/>
      <c r="R31" s="163"/>
      <c r="S31" s="98"/>
      <c r="T31" s="98"/>
      <c r="U31" s="98"/>
      <c r="V31" s="98"/>
      <c r="W31" s="98"/>
      <c r="X31" s="98"/>
      <c r="Y31" s="98"/>
      <c r="Z31" s="98"/>
      <c r="AA31" s="98"/>
      <c r="AB31" s="98"/>
    </row>
    <row r="32" spans="2:28" x14ac:dyDescent="0.35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162"/>
      <c r="M32" s="162"/>
      <c r="N32" s="162"/>
      <c r="O32" s="162"/>
      <c r="P32" s="162"/>
      <c r="Q32" s="165"/>
      <c r="R32" s="163"/>
      <c r="S32" s="98"/>
      <c r="T32" s="98"/>
      <c r="U32" s="98"/>
      <c r="V32" s="98"/>
      <c r="W32" s="98"/>
      <c r="X32" s="98"/>
      <c r="Y32" s="98"/>
      <c r="Z32" s="98"/>
      <c r="AA32" s="98"/>
      <c r="AB32" s="98"/>
    </row>
    <row r="33" spans="2:28" x14ac:dyDescent="0.35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162"/>
      <c r="M33" s="162"/>
      <c r="N33" s="162"/>
      <c r="O33" s="162"/>
      <c r="P33" s="162"/>
      <c r="Q33" s="165"/>
      <c r="R33" s="163"/>
      <c r="S33" s="164"/>
      <c r="T33" s="98"/>
      <c r="U33" s="98"/>
      <c r="V33" s="98"/>
      <c r="W33" s="98"/>
      <c r="X33" s="98"/>
      <c r="Y33" s="98"/>
      <c r="Z33" s="98"/>
      <c r="AA33" s="98"/>
      <c r="AB33" s="98"/>
    </row>
    <row r="34" spans="2:28" x14ac:dyDescent="0.3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162"/>
      <c r="M34" s="162"/>
      <c r="N34" s="162"/>
      <c r="O34" s="162"/>
      <c r="P34" s="162"/>
      <c r="Q34" s="165"/>
      <c r="R34" s="163"/>
      <c r="S34" s="164"/>
      <c r="T34" s="98"/>
      <c r="U34" s="98"/>
      <c r="V34" s="98"/>
      <c r="W34" s="98"/>
      <c r="X34" s="98"/>
      <c r="Y34" s="98"/>
      <c r="Z34" s="98"/>
      <c r="AA34" s="98"/>
      <c r="AB34" s="98"/>
    </row>
    <row r="35" spans="2:28" x14ac:dyDescent="0.35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162"/>
      <c r="M35" s="162"/>
      <c r="N35" s="162"/>
      <c r="O35" s="162"/>
      <c r="P35" s="162"/>
      <c r="Q35" s="165"/>
      <c r="R35" s="163"/>
      <c r="S35" s="164"/>
      <c r="T35" s="98"/>
      <c r="U35" s="98"/>
      <c r="V35" s="98"/>
      <c r="W35" s="98"/>
      <c r="X35" s="98"/>
      <c r="Y35" s="98"/>
      <c r="Z35" s="98"/>
      <c r="AA35" s="98"/>
      <c r="AB35" s="98"/>
    </row>
    <row r="36" spans="2:28" x14ac:dyDescent="0.35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162"/>
      <c r="M36" s="162"/>
      <c r="N36" s="162"/>
      <c r="O36" s="162"/>
      <c r="P36" s="162"/>
      <c r="Q36" s="165"/>
      <c r="R36" s="163"/>
      <c r="S36" s="164"/>
      <c r="T36" s="98"/>
      <c r="U36" s="98"/>
      <c r="V36" s="98"/>
      <c r="W36" s="98"/>
      <c r="X36" s="98"/>
      <c r="Y36" s="98"/>
      <c r="Z36" s="98"/>
      <c r="AA36" s="98"/>
      <c r="AB36" s="98"/>
    </row>
    <row r="37" spans="2:28" x14ac:dyDescent="0.35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162"/>
      <c r="M37" s="162"/>
      <c r="N37" s="162"/>
      <c r="O37" s="162"/>
      <c r="P37" s="162"/>
      <c r="Q37" s="165"/>
      <c r="R37" s="163"/>
      <c r="S37" s="164"/>
      <c r="T37" s="98"/>
      <c r="U37" s="98"/>
      <c r="V37" s="98"/>
      <c r="W37" s="98"/>
      <c r="X37" s="98"/>
      <c r="Y37" s="98"/>
      <c r="Z37" s="98"/>
      <c r="AA37" s="98"/>
      <c r="AB37" s="98"/>
    </row>
    <row r="38" spans="2:28" x14ac:dyDescent="0.35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2:28" x14ac:dyDescent="0.35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162"/>
      <c r="N39" s="162"/>
      <c r="O39" s="162"/>
      <c r="P39" s="162"/>
      <c r="Q39" s="98"/>
      <c r="R39" s="98"/>
      <c r="S39" s="98"/>
      <c r="U39" s="98"/>
      <c r="V39" s="98"/>
      <c r="W39" s="98"/>
      <c r="X39" s="98"/>
      <c r="Y39" s="98"/>
      <c r="Z39" s="98"/>
    </row>
    <row r="40" spans="2:28" x14ac:dyDescent="0.35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162"/>
      <c r="M40" s="162"/>
      <c r="N40" s="162"/>
      <c r="O40" s="165"/>
      <c r="P40" s="165"/>
      <c r="Q40" s="165"/>
      <c r="R40" s="165"/>
      <c r="S40" s="165"/>
      <c r="T40" s="98"/>
      <c r="U40" s="98"/>
      <c r="V40" s="98"/>
      <c r="W40" s="98"/>
      <c r="X40" s="98"/>
      <c r="Y40" s="98"/>
      <c r="Z40" s="98"/>
    </row>
    <row r="41" spans="2:28" x14ac:dyDescent="0.35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162"/>
      <c r="M41" s="162"/>
      <c r="N41" s="162"/>
      <c r="O41" s="165"/>
      <c r="P41" s="165"/>
      <c r="Q41" s="165"/>
      <c r="R41" s="165"/>
      <c r="S41" s="165"/>
      <c r="T41" s="98"/>
      <c r="U41" s="98"/>
      <c r="V41" s="98"/>
      <c r="W41" s="98"/>
      <c r="X41" s="98"/>
      <c r="Y41" s="98"/>
      <c r="Z41" s="98"/>
    </row>
    <row r="42" spans="2:28" x14ac:dyDescent="0.35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162"/>
      <c r="M42" s="162"/>
      <c r="N42" s="162"/>
      <c r="O42" s="165"/>
      <c r="P42" s="165"/>
      <c r="Q42" s="165"/>
      <c r="R42" s="165"/>
      <c r="S42" s="165"/>
      <c r="T42" s="98"/>
      <c r="U42" s="98"/>
      <c r="V42" s="98"/>
      <c r="W42" s="98"/>
      <c r="X42" s="98"/>
      <c r="Y42" s="98"/>
    </row>
    <row r="43" spans="2:28" x14ac:dyDescent="0.35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162"/>
      <c r="M43" s="162"/>
      <c r="N43" s="162"/>
      <c r="O43" s="165"/>
      <c r="P43" s="165"/>
      <c r="Q43" s="165"/>
      <c r="R43" s="165"/>
      <c r="S43" s="165"/>
      <c r="T43" s="98"/>
      <c r="U43" s="98"/>
      <c r="V43" s="98"/>
      <c r="W43" s="98"/>
      <c r="X43" s="98"/>
      <c r="Y43" s="98"/>
    </row>
    <row r="44" spans="2:28" x14ac:dyDescent="0.35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162"/>
      <c r="M44" s="162"/>
      <c r="N44" s="162"/>
      <c r="O44" s="165"/>
      <c r="P44" s="165"/>
      <c r="Q44" s="165"/>
      <c r="R44" s="165"/>
      <c r="S44" s="165"/>
      <c r="T44" s="98"/>
      <c r="U44" s="98"/>
      <c r="V44" s="98"/>
      <c r="W44" s="98"/>
      <c r="X44" s="98"/>
      <c r="Y44" s="98"/>
    </row>
    <row r="45" spans="2:28" x14ac:dyDescent="0.35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162"/>
      <c r="M45" s="162"/>
      <c r="N45" s="162"/>
      <c r="O45" s="165"/>
      <c r="P45" s="165"/>
      <c r="Q45" s="165"/>
      <c r="R45" s="165"/>
      <c r="S45" s="165"/>
      <c r="T45" s="98"/>
      <c r="U45" s="98"/>
      <c r="V45" s="98"/>
      <c r="W45" s="98"/>
      <c r="X45" s="98"/>
      <c r="Y45" s="98"/>
    </row>
    <row r="46" spans="2:28" x14ac:dyDescent="0.35"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162"/>
      <c r="M46" s="162"/>
      <c r="N46" s="162"/>
      <c r="O46" s="165"/>
      <c r="P46" s="165"/>
      <c r="Q46" s="165"/>
      <c r="R46" s="165"/>
      <c r="S46" s="165"/>
      <c r="T46" s="98"/>
      <c r="U46" s="98"/>
      <c r="V46" s="98"/>
      <c r="W46" s="98"/>
      <c r="X46" s="98"/>
      <c r="Y46" s="98"/>
    </row>
    <row r="47" spans="2:28" x14ac:dyDescent="0.35"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165"/>
      <c r="P47" s="165"/>
      <c r="Q47" s="165"/>
      <c r="R47" s="165"/>
      <c r="S47" s="165"/>
      <c r="T47" s="98"/>
      <c r="U47" s="98"/>
      <c r="V47" s="98"/>
      <c r="W47" s="98"/>
      <c r="X47" s="98"/>
      <c r="Y47" s="98"/>
    </row>
    <row r="48" spans="2:28" x14ac:dyDescent="0.35"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165"/>
      <c r="P48" s="165"/>
      <c r="Q48" s="165"/>
      <c r="R48" s="165"/>
      <c r="S48" s="165"/>
      <c r="T48" s="98"/>
      <c r="U48" s="98"/>
      <c r="V48" s="98"/>
      <c r="W48" s="98"/>
      <c r="X48" s="98"/>
      <c r="Y48" s="98"/>
    </row>
    <row r="49" spans="2:25" x14ac:dyDescent="0.35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165"/>
      <c r="P49" s="165"/>
      <c r="Q49" s="165"/>
      <c r="R49" s="165"/>
      <c r="S49" s="165"/>
      <c r="T49" s="98"/>
      <c r="U49" s="98"/>
      <c r="V49" s="98"/>
      <c r="W49" s="98"/>
      <c r="X49" s="98"/>
      <c r="Y49" s="98"/>
    </row>
    <row r="50" spans="2:25" x14ac:dyDescent="0.35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165"/>
      <c r="P50" s="165"/>
      <c r="Q50" s="165"/>
      <c r="R50" s="165"/>
      <c r="S50" s="165"/>
      <c r="T50" s="98"/>
      <c r="U50" s="98"/>
      <c r="V50" s="98"/>
      <c r="W50" s="98"/>
      <c r="X50" s="98"/>
      <c r="Y50" s="98"/>
    </row>
    <row r="51" spans="2:25" x14ac:dyDescent="0.35"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165"/>
      <c r="P51" s="165"/>
      <c r="Q51" s="165"/>
      <c r="R51" s="165"/>
      <c r="S51" s="165"/>
      <c r="T51" s="98"/>
      <c r="U51" s="98"/>
      <c r="V51" s="98"/>
      <c r="W51" s="98"/>
      <c r="X51" s="98"/>
      <c r="Y51" s="98"/>
    </row>
    <row r="52" spans="2:25" x14ac:dyDescent="0.35"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165"/>
      <c r="P52" s="165"/>
      <c r="Q52" s="165"/>
      <c r="R52" s="165"/>
      <c r="S52" s="165"/>
      <c r="T52" s="98"/>
      <c r="U52" s="98"/>
      <c r="V52" s="98"/>
      <c r="W52" s="98"/>
      <c r="X52" s="98"/>
      <c r="Y52" s="98"/>
    </row>
    <row r="53" spans="2:25" x14ac:dyDescent="0.35"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165"/>
      <c r="P53" s="165"/>
      <c r="Q53" s="165"/>
      <c r="R53" s="165"/>
      <c r="S53" s="165"/>
      <c r="T53" s="98"/>
      <c r="U53" s="98"/>
      <c r="V53" s="98"/>
      <c r="W53" s="98"/>
      <c r="X53" s="98"/>
      <c r="Y53" s="98"/>
    </row>
    <row r="54" spans="2:25" x14ac:dyDescent="0.35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</row>
    <row r="55" spans="2:25" x14ac:dyDescent="0.35"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</row>
    <row r="56" spans="2:25" x14ac:dyDescent="0.35"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</row>
    <row r="57" spans="2:25" x14ac:dyDescent="0.35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</row>
    <row r="58" spans="2:25" x14ac:dyDescent="0.35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</row>
    <row r="59" spans="2:25" x14ac:dyDescent="0.35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0" spans="2:25" x14ac:dyDescent="0.35"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</row>
    <row r="61" spans="2:25" x14ac:dyDescent="0.35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</row>
    <row r="62" spans="2:25" x14ac:dyDescent="0.35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</row>
    <row r="63" spans="2:25" x14ac:dyDescent="0.35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 spans="2:25" x14ac:dyDescent="0.35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</row>
    <row r="65" spans="2:25" x14ac:dyDescent="0.35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</row>
  </sheetData>
  <mergeCells count="7">
    <mergeCell ref="B1:K2"/>
    <mergeCell ref="M12:O12"/>
    <mergeCell ref="M15:O15"/>
    <mergeCell ref="D30:F30"/>
    <mergeCell ref="B6:E6"/>
    <mergeCell ref="L21:O21"/>
    <mergeCell ref="L26:O26"/>
  </mergeCells>
  <conditionalFormatting sqref="P26">
    <cfRule type="expression" dxfId="0" priority="1">
      <formula>"&gt;=1"</formula>
    </cfRule>
  </conditionalFormatting>
  <hyperlinks>
    <hyperlink ref="B6" r:id="rId1" xr:uid="{00000000-0004-0000-05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75"/>
  <sheetViews>
    <sheetView tabSelected="1" topLeftCell="A3" zoomScale="70" zoomScaleNormal="70" workbookViewId="0">
      <selection activeCell="T18" sqref="T18"/>
    </sheetView>
  </sheetViews>
  <sheetFormatPr baseColWidth="10" defaultColWidth="11.453125" defaultRowHeight="14.5" x14ac:dyDescent="0.35"/>
  <cols>
    <col min="2" max="39" width="16.7265625" customWidth="1"/>
    <col min="40" max="41" width="28.453125" customWidth="1"/>
    <col min="42" max="43" width="16.7265625" customWidth="1"/>
  </cols>
  <sheetData>
    <row r="1" spans="1:25" ht="15" customHeight="1" x14ac:dyDescent="0.75">
      <c r="B1" s="392" t="s">
        <v>183</v>
      </c>
      <c r="C1" s="392"/>
      <c r="D1" s="392"/>
      <c r="E1" s="392"/>
      <c r="F1" s="392"/>
      <c r="G1" s="392"/>
      <c r="H1" s="392"/>
      <c r="I1" s="392"/>
      <c r="J1" s="392"/>
      <c r="K1" s="392"/>
      <c r="L1" s="12"/>
    </row>
    <row r="2" spans="1:25" ht="15" customHeight="1" x14ac:dyDescent="0.75"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12"/>
    </row>
    <row r="3" spans="1:25" x14ac:dyDescent="0.35">
      <c r="A3" s="64"/>
      <c r="B3" s="64"/>
      <c r="C3" s="64"/>
      <c r="D3" s="64"/>
      <c r="E3" s="64"/>
      <c r="F3" s="64"/>
      <c r="G3" s="64"/>
      <c r="I3" s="64"/>
      <c r="R3" s="4"/>
      <c r="Y3" s="64"/>
    </row>
    <row r="4" spans="1:25" x14ac:dyDescent="0.35">
      <c r="B4" s="4"/>
      <c r="F4" s="17"/>
    </row>
    <row r="5" spans="1:25" ht="24" customHeight="1" x14ac:dyDescent="0.35">
      <c r="B5" s="538" t="s">
        <v>247</v>
      </c>
      <c r="C5" s="539"/>
      <c r="D5" s="539"/>
      <c r="E5" s="539"/>
      <c r="F5" s="539"/>
      <c r="G5" s="539"/>
      <c r="H5" s="539"/>
      <c r="I5" s="539"/>
      <c r="J5" s="539"/>
      <c r="K5" s="539"/>
      <c r="L5" s="539"/>
      <c r="M5" s="539"/>
      <c r="N5" s="539"/>
      <c r="O5" s="539"/>
      <c r="P5" s="539"/>
      <c r="Q5" s="539"/>
      <c r="R5" s="539"/>
      <c r="S5" s="539"/>
      <c r="T5" s="539"/>
      <c r="U5" s="539"/>
      <c r="V5" s="539"/>
      <c r="W5" s="539"/>
      <c r="X5" s="539"/>
    </row>
    <row r="7" spans="1:25" x14ac:dyDescent="0.35">
      <c r="B7" s="91" t="s">
        <v>240</v>
      </c>
      <c r="C7" s="92"/>
      <c r="D7" s="92"/>
      <c r="E7" s="92"/>
      <c r="F7" s="92"/>
      <c r="G7" s="92"/>
      <c r="H7" s="92"/>
      <c r="M7" s="200" t="s">
        <v>239</v>
      </c>
      <c r="N7" s="201"/>
      <c r="O7" s="201"/>
      <c r="P7" s="201"/>
      <c r="Q7" s="201"/>
      <c r="R7" s="201"/>
      <c r="S7" s="201"/>
    </row>
    <row r="8" spans="1:25" ht="25.5" customHeight="1" x14ac:dyDescent="0.35">
      <c r="C8" s="13" t="s">
        <v>184</v>
      </c>
      <c r="D8" s="2" t="s">
        <v>66</v>
      </c>
      <c r="E8" s="2" t="s">
        <v>67</v>
      </c>
      <c r="F8" s="2" t="s">
        <v>68</v>
      </c>
      <c r="G8" s="2" t="s">
        <v>69</v>
      </c>
      <c r="H8" s="2" t="s">
        <v>70</v>
      </c>
      <c r="N8" s="13" t="s">
        <v>184</v>
      </c>
      <c r="O8" s="2" t="s">
        <v>173</v>
      </c>
      <c r="P8" s="2" t="s">
        <v>174</v>
      </c>
      <c r="Q8" s="2" t="s">
        <v>175</v>
      </c>
      <c r="R8" s="2" t="s">
        <v>176</v>
      </c>
      <c r="S8" s="2" t="s">
        <v>177</v>
      </c>
    </row>
    <row r="9" spans="1:25" ht="69" customHeight="1" x14ac:dyDescent="0.35">
      <c r="C9" s="63" t="s">
        <v>185</v>
      </c>
      <c r="D9" s="101">
        <v>288.04000000000002</v>
      </c>
      <c r="E9" s="101">
        <v>288.08</v>
      </c>
      <c r="F9" s="101">
        <v>307.73</v>
      </c>
      <c r="G9" s="101">
        <v>307.58999999999997</v>
      </c>
      <c r="H9" s="101">
        <v>306.08</v>
      </c>
      <c r="N9" s="13" t="s">
        <v>185</v>
      </c>
      <c r="O9" s="101">
        <v>306.66000000000003</v>
      </c>
      <c r="P9" s="101">
        <v>306.54000000000002</v>
      </c>
      <c r="Q9" s="101">
        <v>306.54000000000002</v>
      </c>
      <c r="R9" s="101">
        <v>306.54000000000002</v>
      </c>
      <c r="S9" s="101">
        <v>306.54000000000002</v>
      </c>
    </row>
    <row r="10" spans="1:25" ht="69" customHeight="1" x14ac:dyDescent="0.35">
      <c r="C10" s="63" t="s">
        <v>186</v>
      </c>
      <c r="D10" s="101">
        <v>116.49</v>
      </c>
      <c r="E10" s="101">
        <v>110.04</v>
      </c>
      <c r="F10" s="101">
        <v>145.97</v>
      </c>
      <c r="G10" s="101">
        <v>132.47999999999999</v>
      </c>
      <c r="H10" s="101">
        <v>129.41999999999999</v>
      </c>
      <c r="N10" s="13" t="s">
        <v>186</v>
      </c>
      <c r="O10" s="101">
        <v>130.41999999999999</v>
      </c>
      <c r="P10" s="101">
        <v>130.41999999999999</v>
      </c>
      <c r="Q10" s="101">
        <v>130.41999999999999</v>
      </c>
      <c r="R10" s="101">
        <v>130.41999999999999</v>
      </c>
      <c r="S10" s="101">
        <v>130.41999999999999</v>
      </c>
    </row>
    <row r="11" spans="1:25" ht="29.25" customHeight="1" x14ac:dyDescent="0.35"/>
    <row r="12" spans="1:25" ht="29.25" customHeight="1" x14ac:dyDescent="0.35"/>
    <row r="13" spans="1:25" ht="28.5" customHeight="1" x14ac:dyDescent="0.35">
      <c r="B13" s="538" t="s">
        <v>243</v>
      </c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O13" s="539"/>
      <c r="P13" s="539"/>
      <c r="Q13" s="539"/>
      <c r="R13" s="539"/>
      <c r="S13" s="539"/>
      <c r="T13" s="539"/>
      <c r="U13" s="539"/>
      <c r="V13" s="539"/>
      <c r="W13" s="539"/>
      <c r="X13" s="539"/>
    </row>
    <row r="14" spans="1:25" ht="23.25" customHeight="1" x14ac:dyDescent="0.35"/>
    <row r="15" spans="1:25" ht="25.5" customHeight="1" x14ac:dyDescent="0.35">
      <c r="C15" s="13" t="s">
        <v>184</v>
      </c>
      <c r="D15" s="2" t="s">
        <v>66</v>
      </c>
      <c r="E15" s="2" t="s">
        <v>67</v>
      </c>
      <c r="F15" s="2" t="s">
        <v>68</v>
      </c>
      <c r="G15" s="2" t="s">
        <v>69</v>
      </c>
      <c r="H15" s="2" t="s">
        <v>70</v>
      </c>
      <c r="N15" s="13" t="s">
        <v>184</v>
      </c>
      <c r="O15" s="2" t="s">
        <v>173</v>
      </c>
      <c r="P15" s="2" t="s">
        <v>174</v>
      </c>
      <c r="Q15" s="2" t="s">
        <v>175</v>
      </c>
      <c r="R15" s="2" t="s">
        <v>176</v>
      </c>
      <c r="S15" s="2" t="s">
        <v>177</v>
      </c>
    </row>
    <row r="16" spans="1:25" ht="69" customHeight="1" x14ac:dyDescent="0.35">
      <c r="C16" s="63" t="s">
        <v>187</v>
      </c>
      <c r="D16" s="101">
        <v>299.8</v>
      </c>
      <c r="E16" s="101">
        <v>289</v>
      </c>
      <c r="F16" s="101">
        <v>280.60000000000002</v>
      </c>
      <c r="G16" s="101">
        <v>270.2</v>
      </c>
      <c r="H16" s="101">
        <v>254.6</v>
      </c>
      <c r="N16" s="13" t="s">
        <v>187</v>
      </c>
      <c r="O16" s="101">
        <v>254.6</v>
      </c>
      <c r="P16" s="101">
        <v>254.6</v>
      </c>
      <c r="Q16" s="101">
        <v>254.6</v>
      </c>
      <c r="R16" s="101">
        <v>254.6</v>
      </c>
      <c r="S16" s="101">
        <v>254.6</v>
      </c>
    </row>
    <row r="17" spans="2:41" ht="69" customHeight="1" thickBot="1" x14ac:dyDescent="0.4">
      <c r="C17" s="63" t="s">
        <v>188</v>
      </c>
      <c r="D17" s="101"/>
      <c r="E17" s="101"/>
      <c r="F17" s="101"/>
      <c r="G17" s="101"/>
      <c r="H17" s="101"/>
      <c r="N17" s="63" t="s">
        <v>188</v>
      </c>
      <c r="O17" s="101"/>
      <c r="P17" s="101"/>
      <c r="Q17" s="101"/>
      <c r="R17" s="101"/>
      <c r="S17" s="101"/>
    </row>
    <row r="18" spans="2:41" ht="69" customHeight="1" thickBot="1" x14ac:dyDescent="0.4">
      <c r="C18" s="63" t="s">
        <v>189</v>
      </c>
      <c r="D18" s="217">
        <v>58</v>
      </c>
      <c r="E18" s="217">
        <v>58</v>
      </c>
      <c r="F18" s="217">
        <v>58</v>
      </c>
      <c r="G18" s="217">
        <v>58</v>
      </c>
      <c r="H18" s="217">
        <v>58</v>
      </c>
      <c r="I18" s="216" t="s">
        <v>229</v>
      </c>
      <c r="N18" s="63" t="s">
        <v>189</v>
      </c>
      <c r="O18" s="217">
        <v>58</v>
      </c>
      <c r="P18" s="217">
        <v>58</v>
      </c>
      <c r="Q18" s="217">
        <v>58</v>
      </c>
      <c r="R18" s="217">
        <v>58</v>
      </c>
      <c r="S18" s="217">
        <v>58</v>
      </c>
      <c r="T18" s="216" t="s">
        <v>194</v>
      </c>
      <c r="U18" s="216" t="s">
        <v>195</v>
      </c>
      <c r="V18" s="216" t="s">
        <v>195</v>
      </c>
      <c r="W18" s="207" t="s">
        <v>231</v>
      </c>
    </row>
    <row r="19" spans="2:41" ht="69" customHeight="1" thickTop="1" thickBot="1" x14ac:dyDescent="0.4">
      <c r="C19" s="13" t="s">
        <v>190</v>
      </c>
      <c r="D19" s="275" t="str">
        <f>IF(ISBLANK(D17),"N/A",IF(D17&gt;0,D17/D10,0))</f>
        <v>N/A</v>
      </c>
      <c r="E19" s="275" t="str">
        <f>IF(ISBLANK(E17),"N/A",IF(E17&gt;0,E17/E10,0))</f>
        <v>N/A</v>
      </c>
      <c r="F19" s="275" t="str">
        <f>IF(ISBLANK(F17),"N/A",IF(F17&gt;0,F17/F10,0))</f>
        <v>N/A</v>
      </c>
      <c r="G19" s="275" t="str">
        <f>IF(ISBLANK(G17),"N/A",IF(G17&gt;0,G17/G10,0))</f>
        <v>N/A</v>
      </c>
      <c r="H19" s="275" t="str">
        <f>IF(ISBLANK(H17),"N/A",IF(H17&gt;0,H17/H10,0))</f>
        <v>N/A</v>
      </c>
      <c r="I19" s="215" t="str" cm="1">
        <f t="array" ref="I19">IF(AND(EXACT(D19:H19,"N/A")),"N/A",AVERAGE(D19,E19,F19,G19,H19))</f>
        <v>N/A</v>
      </c>
      <c r="M19" s="167"/>
      <c r="N19" s="13" t="s">
        <v>190</v>
      </c>
      <c r="O19" s="275" t="str">
        <f>IF(ISBLANK(O17),"N/A",IF(O17&gt;0,O17/O10,0))</f>
        <v>N/A</v>
      </c>
      <c r="P19" s="275" t="str">
        <f t="shared" ref="P19:S19" si="0">IF(ISBLANK(P17),"N/A",IF(P17&gt;0,P17/P10,0))</f>
        <v>N/A</v>
      </c>
      <c r="Q19" s="275" t="str">
        <f t="shared" si="0"/>
        <v>N/A</v>
      </c>
      <c r="R19" s="275" t="str">
        <f t="shared" si="0"/>
        <v>N/A</v>
      </c>
      <c r="S19" s="275" t="str">
        <f t="shared" si="0"/>
        <v>N/A</v>
      </c>
      <c r="T19" s="212" t="str">
        <f>IF(SUM(O19,P19,Q19,R19,S19)&lt;&gt;0,AVERAGE(O19,P19,Q19,R19,S19),IF(SUM(O19,P19,Q19,R19,S19)=0,"N/A","valeur(s) entrée(s) incorrecte(s)"))</f>
        <v>N/A</v>
      </c>
      <c r="U19" s="213" t="str">
        <f>IF(T19="N/A","N/A",IF(I19-T19&lt;&gt;0,ABS((I19-T19)/I19)-0.2,IF(AND(I19=0,T19=0),"N/A",IF(T19&lt;0,"N/A","N/A"))))</f>
        <v>N/A</v>
      </c>
      <c r="V19" s="214" t="str">
        <f>IF(T19="N/A","N/A",IF((ABS((I19-T19)/I19))-0.2&gt;0,IF(I19&gt;T19,"rabais","+"),IF(I19=0,"0","ni rabais ni bonus")))</f>
        <v>N/A</v>
      </c>
      <c r="W19" s="214" t="str">
        <f>IF(T19="N/A","N/A",IF(V19="ni rabais ni bonus",0,U19*IF(V19="+",1,-1)))</f>
        <v>N/A</v>
      </c>
      <c r="Y19" s="556" t="s">
        <v>233</v>
      </c>
      <c r="Z19" s="557"/>
      <c r="AN19" s="542" t="s">
        <v>236</v>
      </c>
      <c r="AO19" s="542"/>
    </row>
    <row r="20" spans="2:41" ht="69" customHeight="1" thickTop="1" thickBot="1" x14ac:dyDescent="0.4">
      <c r="C20" s="13" t="s">
        <v>230</v>
      </c>
      <c r="D20" s="275">
        <f>IF(ISBLANK(D16),"N/A",IF(D16&gt;0,D16/D10,0))</f>
        <v>2.5736114687956051</v>
      </c>
      <c r="E20" s="275">
        <f t="shared" ref="E20:H20" si="1">IF(ISBLANK(E16),"N/A",IF(E16&gt;0,E16/E10,0))</f>
        <v>2.6263177026535804</v>
      </c>
      <c r="F20" s="275">
        <f t="shared" si="1"/>
        <v>1.9223128040008222</v>
      </c>
      <c r="G20" s="275">
        <f t="shared" si="1"/>
        <v>2.0395531400966185</v>
      </c>
      <c r="H20" s="275">
        <f t="shared" si="1"/>
        <v>1.9672384484623706</v>
      </c>
      <c r="I20" s="215" cm="1">
        <f t="array" ref="I20">IF(AND(EXACT(D20:H20,"N/A")),"N/A",AVERAGE(D20,E20,F20,G20,H20))</f>
        <v>2.2258067128017993</v>
      </c>
      <c r="M20" s="167"/>
      <c r="N20" s="13" t="s">
        <v>230</v>
      </c>
      <c r="O20" s="275">
        <f>IF(ISBLANK(O16),"N/A",IF(O16&gt;0,O16/O10,0))</f>
        <v>1.9521545775187856</v>
      </c>
      <c r="P20" s="275">
        <f t="shared" ref="P20:S20" si="2">IF(ISBLANK(P16),"N/A",IF(P16&gt;0,P16/P10,0))</f>
        <v>1.9521545775187856</v>
      </c>
      <c r="Q20" s="275">
        <f t="shared" si="2"/>
        <v>1.9521545775187856</v>
      </c>
      <c r="R20" s="275">
        <f t="shared" si="2"/>
        <v>1.9521545775187856</v>
      </c>
      <c r="S20" s="275">
        <f t="shared" si="2"/>
        <v>1.9521545775187856</v>
      </c>
      <c r="T20" s="215" cm="1">
        <f t="array" ref="T20">IF(AND(EXACT(O20:S20,"N/A")),"N/A",AVERAGE(O20,P20,Q20,R20,S20))</f>
        <v>1.9521545775187856</v>
      </c>
      <c r="U20" s="213">
        <f>IF(T20="N/A","N/A",IF(I20-T20&lt;&gt;0,ABS((I20-T20)/I20)-0.2,IF(AND(I20=0,T20=0),"N/A",IF(T20&lt;0,"N/A","N/A"))))</f>
        <v>-7.705485219848851E-2</v>
      </c>
      <c r="V20" s="214" t="str">
        <f>IF(T20="N/A","N/A",IF((ABS((I20-T20)/I20))-0.2&gt;0,IF(I20&gt;T20,"rabais","+"),IF(I20=0,"0","ni rabais ni bonus")))</f>
        <v>ni rabais ni bonus</v>
      </c>
      <c r="W20" s="214">
        <f>IF(T20="N/A","N/A",IF(V20="ni rabais ni bonus",0,U20*IF(V20="+",1,-1)))</f>
        <v>0</v>
      </c>
      <c r="Y20" s="177" t="s">
        <v>232</v>
      </c>
      <c r="Z20" s="177" t="s">
        <v>191</v>
      </c>
      <c r="AN20" s="194" t="s">
        <v>232</v>
      </c>
      <c r="AO20" s="194" t="s">
        <v>191</v>
      </c>
    </row>
    <row r="21" spans="2:41" ht="69" customHeight="1" thickTop="1" thickBot="1" x14ac:dyDescent="0.4">
      <c r="B21" s="4"/>
      <c r="C21" s="13" t="s">
        <v>242</v>
      </c>
      <c r="D21" s="275">
        <f>IF(ISBLANK(D18),"N/A",IF(D18&gt;0,D18/D9,0))</f>
        <v>0.20136092209415357</v>
      </c>
      <c r="E21" s="275">
        <f>IF(ISBLANK(E18),"N/A",IF(E18&gt;0,E18/E9,0))</f>
        <v>0.20133296306581505</v>
      </c>
      <c r="F21" s="275">
        <f>IF(ISBLANK(F18),"N/A",IF(F18&gt;0,F18/F9,0))</f>
        <v>0.18847691157833163</v>
      </c>
      <c r="G21" s="275">
        <f>IF(ISBLANK(G18),"N/A",IF(G18&gt;0,G18/G9,0))</f>
        <v>0.18856269709678469</v>
      </c>
      <c r="H21" s="275">
        <f>IF(ISBLANK(H18),"N/A",IF(H18&gt;0,H18/H9,0))</f>
        <v>0.18949294302143233</v>
      </c>
      <c r="I21" s="215" cm="1">
        <f t="array" ref="I21">IF(AND(EXACT(D21:H21,"N/A")),"N/A",AVERAGE(D21,E21,F21,G21,H21))</f>
        <v>0.19384528737130341</v>
      </c>
      <c r="M21" s="167"/>
      <c r="N21" s="13" t="s">
        <v>242</v>
      </c>
      <c r="O21" s="275">
        <f>IF(ISBLANK(O18),"N/A",IF(O18&gt;0,O18/O9,0))</f>
        <v>0.18913454640318267</v>
      </c>
      <c r="P21" s="275">
        <f>IF(ISBLANK(P18),"N/A",IF(P18&gt;0,P18/P9,0))</f>
        <v>0.18920858615515102</v>
      </c>
      <c r="Q21" s="275">
        <f>IF(ISBLANK(Q18),"N/A",IF(Q18&gt;0,Q18/Q9,0))</f>
        <v>0.18920858615515102</v>
      </c>
      <c r="R21" s="275">
        <f>IF(ISBLANK(R18),"N/A",IF(R18&gt;0,R18/R9,0))</f>
        <v>0.18920858615515102</v>
      </c>
      <c r="S21" s="275">
        <f>IF(ISBLANK(S18),"N/A",IF(S18&gt;0,S18/S9,0))</f>
        <v>0.18920858615515102</v>
      </c>
      <c r="T21" s="212">
        <f>IF(SUM(O21,P21,Q21,R21,S21)&lt;&gt;0,AVERAGE(O21,P21,Q21,R21,S21),IF(SUM(O21,P21,Q21,R21,S21)=0,"N/A","valeur(s) entrée(s) incorrecte(s)"))</f>
        <v>0.18919377820475733</v>
      </c>
      <c r="U21" s="213">
        <f>IF(T21="N/A","N/A",IF(I21-T21&lt;&gt;0,ABS((I21-T21)/I21)-0.2,IF(AND(I21=0,T21=0),"N/A",IF(T21&lt;0,"N/A","N/A"))))</f>
        <v>-0.17600401211902414</v>
      </c>
      <c r="V21" s="214" t="str">
        <f>IF(T21="N/A","N/A",IF((ABS((I21-T21)/I21))-0.2&gt;0,IF(I21&gt;T21,"rabais","+"),IF(I21=0,"0","ni rabais ni bonus")))</f>
        <v>ni rabais ni bonus</v>
      </c>
      <c r="W21" s="214">
        <f>IF(T21="N/A","N/A",IF(V21="ni rabais ni bonus",0,U21*IF(V21="+",1,-1)))</f>
        <v>0</v>
      </c>
      <c r="Y21" s="203" t="str">
        <f>IF(Z21="N/A","N/A",IF(Z21&lt;0,"Rabais",IF(Z21&gt;0,"Bonus","Ni rabais ni bonus")))</f>
        <v>Ni rabais ni bonus</v>
      </c>
      <c r="Z21" s="202" cm="1">
        <f t="array" ref="Z21">IF(AND(EXACT(T19:T21,"N/A")),"N/A",MEDIAN(IF(ISNUMBER(T19:T21),W19:W21)))</f>
        <v>0</v>
      </c>
      <c r="AN21" s="195" t="str">
        <f>IF(AO21="-","-",IF(AO21&lt;0,"Rabais",IF(AO21&gt;0,"Bonus","Ni rabais ni bonus")))</f>
        <v>Ni rabais ni bonus</v>
      </c>
      <c r="AO21" s="196">
        <f>IF(AND(AO47="N/A",Z21="N/A"),"-",IF(AND(ISNUMBER(AO47),ISNUMBER(Z21)),AVERAGE(Z21,AO47),SUM(Z21,AO47)))</f>
        <v>0</v>
      </c>
    </row>
    <row r="22" spans="2:41" x14ac:dyDescent="0.35">
      <c r="B22" s="4"/>
      <c r="F22" s="17"/>
    </row>
    <row r="23" spans="2:41" x14ac:dyDescent="0.35">
      <c r="B23" s="4"/>
      <c r="F23" s="17"/>
      <c r="AK23" s="170"/>
    </row>
    <row r="24" spans="2:41" x14ac:dyDescent="0.35">
      <c r="B24" s="4"/>
      <c r="F24" s="17"/>
      <c r="U24" s="64"/>
      <c r="AK24" s="170"/>
    </row>
    <row r="25" spans="2:41" x14ac:dyDescent="0.35">
      <c r="B25" s="4"/>
      <c r="F25" s="17"/>
      <c r="AK25" s="170"/>
    </row>
    <row r="27" spans="2:41" ht="31.5" customHeight="1" thickBot="1" x14ac:dyDescent="0.4">
      <c r="B27" s="538" t="s">
        <v>248</v>
      </c>
      <c r="C27" s="539"/>
      <c r="D27" s="539"/>
      <c r="E27" s="539"/>
      <c r="F27" s="539"/>
      <c r="G27" s="539"/>
      <c r="H27" s="539"/>
      <c r="I27" s="539"/>
      <c r="J27" s="539"/>
      <c r="K27" s="539"/>
      <c r="L27" s="539"/>
      <c r="M27" s="539"/>
      <c r="N27" s="539"/>
      <c r="O27" s="539"/>
      <c r="P27" s="539"/>
      <c r="Q27" s="539"/>
      <c r="R27" s="539"/>
      <c r="S27" s="539"/>
      <c r="T27" s="539"/>
      <c r="U27" s="539"/>
      <c r="V27" s="539"/>
      <c r="W27" s="539"/>
      <c r="X27" s="539"/>
    </row>
    <row r="28" spans="2:41" x14ac:dyDescent="0.35">
      <c r="B28" s="218" t="s">
        <v>192</v>
      </c>
      <c r="C28" s="53" t="s">
        <v>66</v>
      </c>
      <c r="D28" s="54" t="s">
        <v>66</v>
      </c>
      <c r="E28" s="55" t="s">
        <v>66</v>
      </c>
      <c r="F28" s="53" t="s">
        <v>67</v>
      </c>
      <c r="G28" s="54" t="s">
        <v>67</v>
      </c>
      <c r="H28" s="55" t="s">
        <v>67</v>
      </c>
      <c r="I28" s="53" t="s">
        <v>68</v>
      </c>
      <c r="J28" s="54" t="s">
        <v>68</v>
      </c>
      <c r="K28" s="55" t="s">
        <v>68</v>
      </c>
      <c r="L28" s="53" t="s">
        <v>69</v>
      </c>
      <c r="M28" s="54" t="s">
        <v>69</v>
      </c>
      <c r="N28" s="55" t="s">
        <v>69</v>
      </c>
      <c r="O28" s="53" t="s">
        <v>70</v>
      </c>
      <c r="P28" s="54" t="s">
        <v>70</v>
      </c>
      <c r="Q28" s="55" t="s">
        <v>70</v>
      </c>
      <c r="R28" s="543" t="s">
        <v>193</v>
      </c>
      <c r="S28" s="4"/>
      <c r="T28" s="53" t="s">
        <v>173</v>
      </c>
      <c r="U28" s="54" t="s">
        <v>173</v>
      </c>
      <c r="V28" s="55" t="s">
        <v>173</v>
      </c>
      <c r="W28" s="53" t="s">
        <v>174</v>
      </c>
      <c r="X28" s="54" t="s">
        <v>174</v>
      </c>
      <c r="Y28" s="55" t="s">
        <v>174</v>
      </c>
      <c r="Z28" s="53" t="s">
        <v>175</v>
      </c>
      <c r="AA28" s="54" t="s">
        <v>175</v>
      </c>
      <c r="AB28" s="55" t="s">
        <v>175</v>
      </c>
      <c r="AC28" s="53" t="s">
        <v>176</v>
      </c>
      <c r="AD28" s="54" t="s">
        <v>176</v>
      </c>
      <c r="AE28" s="55" t="s">
        <v>176</v>
      </c>
      <c r="AF28" s="53" t="s">
        <v>177</v>
      </c>
      <c r="AG28" s="54" t="s">
        <v>177</v>
      </c>
      <c r="AH28" s="55" t="s">
        <v>177</v>
      </c>
      <c r="AI28" s="546" t="s">
        <v>194</v>
      </c>
      <c r="AJ28" s="549" t="s">
        <v>195</v>
      </c>
      <c r="AK28" s="551" t="s">
        <v>195</v>
      </c>
      <c r="AL28" s="554" t="s">
        <v>231</v>
      </c>
      <c r="AM28" s="176"/>
      <c r="AN28" s="176"/>
      <c r="AO28" s="176"/>
    </row>
    <row r="29" spans="2:41" x14ac:dyDescent="0.35">
      <c r="B29" s="219"/>
      <c r="C29" s="56" t="s">
        <v>185</v>
      </c>
      <c r="D29" s="52" t="s">
        <v>196</v>
      </c>
      <c r="E29" s="57" t="s">
        <v>197</v>
      </c>
      <c r="F29" s="56" t="s">
        <v>185</v>
      </c>
      <c r="G29" s="52" t="s">
        <v>196</v>
      </c>
      <c r="H29" s="57" t="s">
        <v>197</v>
      </c>
      <c r="I29" s="56" t="s">
        <v>185</v>
      </c>
      <c r="J29" s="52" t="s">
        <v>196</v>
      </c>
      <c r="K29" s="57" t="s">
        <v>197</v>
      </c>
      <c r="L29" s="56" t="s">
        <v>185</v>
      </c>
      <c r="M29" s="52" t="s">
        <v>196</v>
      </c>
      <c r="N29" s="57" t="s">
        <v>197</v>
      </c>
      <c r="O29" s="56" t="s">
        <v>185</v>
      </c>
      <c r="P29" s="52" t="s">
        <v>196</v>
      </c>
      <c r="Q29" s="57" t="s">
        <v>197</v>
      </c>
      <c r="R29" s="544"/>
      <c r="S29" s="50"/>
      <c r="T29" s="56" t="s">
        <v>185</v>
      </c>
      <c r="U29" s="52" t="s">
        <v>196</v>
      </c>
      <c r="V29" s="57" t="s">
        <v>197</v>
      </c>
      <c r="W29" s="56" t="s">
        <v>185</v>
      </c>
      <c r="X29" s="52" t="s">
        <v>196</v>
      </c>
      <c r="Y29" s="57" t="s">
        <v>197</v>
      </c>
      <c r="Z29" s="56" t="s">
        <v>185</v>
      </c>
      <c r="AA29" s="52" t="s">
        <v>196</v>
      </c>
      <c r="AB29" s="57" t="s">
        <v>197</v>
      </c>
      <c r="AC29" s="56" t="s">
        <v>185</v>
      </c>
      <c r="AD29" s="52" t="s">
        <v>196</v>
      </c>
      <c r="AE29" s="57" t="s">
        <v>197</v>
      </c>
      <c r="AF29" s="56" t="s">
        <v>185</v>
      </c>
      <c r="AG29" s="52" t="s">
        <v>196</v>
      </c>
      <c r="AH29" s="57" t="s">
        <v>197</v>
      </c>
      <c r="AI29" s="547"/>
      <c r="AJ29" s="550"/>
      <c r="AK29" s="552"/>
      <c r="AL29" s="555"/>
      <c r="AM29" s="176"/>
      <c r="AN29" s="176"/>
      <c r="AO29" s="176"/>
    </row>
    <row r="30" spans="2:41" ht="15" thickBot="1" x14ac:dyDescent="0.4">
      <c r="B30" s="220" t="s">
        <v>198</v>
      </c>
      <c r="C30" s="58"/>
      <c r="D30" s="51"/>
      <c r="E30" s="59"/>
      <c r="F30" s="60"/>
      <c r="G30" s="51"/>
      <c r="H30" s="59"/>
      <c r="I30" s="58"/>
      <c r="J30" s="51"/>
      <c r="K30" s="59"/>
      <c r="L30" s="61"/>
      <c r="M30" s="1"/>
      <c r="N30" s="62"/>
      <c r="O30" s="61"/>
      <c r="P30" s="1"/>
      <c r="Q30" s="62"/>
      <c r="R30" s="545"/>
      <c r="T30" s="61"/>
      <c r="U30" s="1"/>
      <c r="V30" s="62"/>
      <c r="W30" s="61"/>
      <c r="X30" s="1"/>
      <c r="Y30" s="62"/>
      <c r="Z30" s="61"/>
      <c r="AA30" s="1"/>
      <c r="AB30" s="62"/>
      <c r="AC30" s="61"/>
      <c r="AD30" s="1"/>
      <c r="AE30" s="62"/>
      <c r="AF30" s="61"/>
      <c r="AG30" s="1"/>
      <c r="AH30" s="62"/>
      <c r="AI30" s="548"/>
      <c r="AJ30" s="550"/>
      <c r="AK30" s="553"/>
      <c r="AL30" s="555"/>
      <c r="AM30" s="176"/>
      <c r="AN30" s="176"/>
      <c r="AO30" s="176"/>
    </row>
    <row r="31" spans="2:41" ht="15" thickBot="1" x14ac:dyDescent="0.4">
      <c r="B31" s="122" t="s">
        <v>278</v>
      </c>
      <c r="C31" s="123">
        <v>6.76</v>
      </c>
      <c r="D31" s="124">
        <v>45.021599999999999</v>
      </c>
      <c r="E31" s="125">
        <v>6.66</v>
      </c>
      <c r="F31" s="126">
        <v>2</v>
      </c>
      <c r="G31" s="97">
        <v>10.02</v>
      </c>
      <c r="H31" s="125">
        <v>5.01</v>
      </c>
      <c r="I31" s="114"/>
      <c r="J31" s="97"/>
      <c r="K31" s="125"/>
      <c r="L31" s="114">
        <v>6.05</v>
      </c>
      <c r="M31" s="97">
        <v>32.67</v>
      </c>
      <c r="N31" s="125">
        <v>5.4</v>
      </c>
      <c r="O31" s="114">
        <v>5.64</v>
      </c>
      <c r="P31" s="97">
        <v>45.12</v>
      </c>
      <c r="Q31" s="125">
        <v>8</v>
      </c>
      <c r="R31" s="174">
        <f>IF(SUM(E31,H31,K31,N31,Q31)&lt;&gt;0,AVERAGE(E31,H31,K31,N31,Q31),IF(SUM(C31:Q31)=0,"N/A","valeur(s) entrée(s) incorrecte(s)"))</f>
        <v>6.2675000000000001</v>
      </c>
      <c r="S31" s="175"/>
      <c r="T31" s="123"/>
      <c r="U31" s="124"/>
      <c r="V31" s="125"/>
      <c r="W31" s="126"/>
      <c r="X31" s="97"/>
      <c r="Y31" s="125"/>
      <c r="Z31" s="114"/>
      <c r="AA31" s="97"/>
      <c r="AB31" s="125"/>
      <c r="AC31" s="114"/>
      <c r="AD31" s="97"/>
      <c r="AE31" s="125"/>
      <c r="AF31" s="114"/>
      <c r="AG31" s="97"/>
      <c r="AH31" s="125"/>
      <c r="AI31" s="174" t="str">
        <f>IF(SUM(V31,Y31,AB31,AE31,AH31)&lt;&gt;0,AVERAGE(V31,Y31,AB31,AE31,AH31),IF(SUM(T31:AH31)=0,"N/A","valeur(s) entrée(s) incorrecte(s)"))</f>
        <v>N/A</v>
      </c>
      <c r="AJ31" s="94" t="str">
        <f t="shared" ref="AJ31:AJ47" si="3">IF(AI31="N/A","N/A",IF(R31-AI31&lt;&gt;0,ABS((R31-AI31)/R31)-0.2,IF(AND(R31=0,AI31=0),"N/A",IF(AI31&lt;0,"N/A","N/A"))))</f>
        <v>N/A</v>
      </c>
      <c r="AK31" s="94" t="str">
        <f>IF(AI31="N/A","N/A",IF((ABS((R31-AI31)/R31))-0.2&gt;0,IF(R31&gt;AI31,"rabais","+"),IF(R31=0,"0","ni rabais ni bonus")))</f>
        <v>N/A</v>
      </c>
      <c r="AL31" s="95" t="str">
        <f>IF(AI31="N/A","N/A",IF(AK31="ni rabais ni bonus",0,AJ31*IF(AK31="+",1,-1)))</f>
        <v>N/A</v>
      </c>
      <c r="AM31" s="167"/>
      <c r="AN31" s="167"/>
      <c r="AO31" s="167"/>
    </row>
    <row r="32" spans="2:41" ht="15" thickBot="1" x14ac:dyDescent="0.4">
      <c r="B32" s="122" t="s">
        <v>279</v>
      </c>
      <c r="C32" s="123">
        <v>70.34</v>
      </c>
      <c r="D32" s="124">
        <v>480.42220000000003</v>
      </c>
      <c r="E32" s="125">
        <v>6.83</v>
      </c>
      <c r="F32" s="126">
        <v>70.14</v>
      </c>
      <c r="G32" s="97">
        <v>555.50879999999995</v>
      </c>
      <c r="H32" s="127">
        <v>7.92</v>
      </c>
      <c r="I32" s="114">
        <v>64.53</v>
      </c>
      <c r="J32" s="97">
        <v>353.62440000000004</v>
      </c>
      <c r="K32" s="127">
        <v>5.48</v>
      </c>
      <c r="L32" s="114">
        <v>89.68</v>
      </c>
      <c r="M32" s="97">
        <v>571.26160000000004</v>
      </c>
      <c r="N32" s="125">
        <v>6.37</v>
      </c>
      <c r="O32" s="114">
        <v>73.56</v>
      </c>
      <c r="P32" s="97">
        <v>573.76800000000003</v>
      </c>
      <c r="Q32" s="127">
        <v>7.8</v>
      </c>
      <c r="R32" s="174">
        <f t="shared" ref="R32:R47" si="4">IF(SUM(E32,H32,K32,N32,Q32)&lt;&gt;0,AVERAGE(E32,H32,K32,N32,Q32),IF(SUM(C32:Q32)=0,"N/A","valeur(s) entrée(s) incorrecte(s)"))</f>
        <v>6.88</v>
      </c>
      <c r="S32" s="175"/>
      <c r="T32" s="123">
        <v>85.65</v>
      </c>
      <c r="U32" s="124">
        <v>469.36200000000008</v>
      </c>
      <c r="V32" s="125">
        <v>5.48</v>
      </c>
      <c r="W32" s="126">
        <v>85.65</v>
      </c>
      <c r="X32" s="97">
        <v>469.36200000000008</v>
      </c>
      <c r="Y32" s="127">
        <v>5.48</v>
      </c>
      <c r="Z32" s="114">
        <v>85.65</v>
      </c>
      <c r="AA32" s="97">
        <v>469.36200000000008</v>
      </c>
      <c r="AB32" s="127">
        <v>5.48</v>
      </c>
      <c r="AC32" s="114">
        <v>85.65</v>
      </c>
      <c r="AD32" s="97">
        <v>469.36200000000008</v>
      </c>
      <c r="AE32" s="125">
        <v>5.48</v>
      </c>
      <c r="AF32" s="114">
        <v>85.65</v>
      </c>
      <c r="AG32" s="97">
        <v>469.36200000000008</v>
      </c>
      <c r="AH32" s="127">
        <v>5.48</v>
      </c>
      <c r="AI32" s="174">
        <f t="shared" ref="AI32:AI47" si="5">IF(SUM(V32,Y32,AB32,AE32,AH32)&lt;&gt;0,AVERAGE(V32,Y32,AB32,AE32,AH32),IF(SUM(T32:AH32)=0,"N/A","valeur(s) entrée(s) incorrecte(s)"))</f>
        <v>5.48</v>
      </c>
      <c r="AJ32" s="94">
        <f t="shared" si="3"/>
        <v>3.4883720930231621E-3</v>
      </c>
      <c r="AK32" s="94" t="str">
        <f t="shared" ref="AK32:AK47" si="6">IF(AI32="N/A","N/A",IF((ABS((R32-AI32)/R32))-0.2&gt;0,IF(R32&gt;AI32,"rabais","+"),IF(R32=0,"0","ni rabais ni bonus")))</f>
        <v>rabais</v>
      </c>
      <c r="AL32" s="95">
        <f t="shared" ref="AL32:AL47" si="7">IF(AI32="N/A","N/A",IF(AK32="ni rabais ni bonus",0,AJ32*IF(AK32="+",1,-1)))</f>
        <v>-3.4883720930231621E-3</v>
      </c>
      <c r="AM32" s="167"/>
      <c r="AN32" s="167"/>
      <c r="AO32" s="167"/>
    </row>
    <row r="33" spans="2:42" ht="15" thickBot="1" x14ac:dyDescent="0.4">
      <c r="B33" s="122" t="s">
        <v>280</v>
      </c>
      <c r="C33" s="123"/>
      <c r="D33" s="124"/>
      <c r="E33" s="125"/>
      <c r="F33" s="126">
        <v>0.57999999999999996</v>
      </c>
      <c r="G33" s="97">
        <v>2.0299999999999998</v>
      </c>
      <c r="H33" s="127">
        <v>3.5</v>
      </c>
      <c r="I33" s="114">
        <v>3.85</v>
      </c>
      <c r="J33" s="97">
        <v>9.0090000000000003</v>
      </c>
      <c r="K33" s="127">
        <v>2.34</v>
      </c>
      <c r="L33" s="114">
        <v>8.7200000000000006</v>
      </c>
      <c r="M33" s="97">
        <v>33.572000000000003</v>
      </c>
      <c r="N33" s="125">
        <v>3.85</v>
      </c>
      <c r="O33" s="114">
        <v>31.2</v>
      </c>
      <c r="P33" s="97">
        <v>124.8</v>
      </c>
      <c r="Q33" s="127">
        <v>4</v>
      </c>
      <c r="R33" s="174">
        <f t="shared" si="4"/>
        <v>3.4224999999999999</v>
      </c>
      <c r="S33" s="175"/>
      <c r="T33" s="123"/>
      <c r="U33" s="124"/>
      <c r="V33" s="125"/>
      <c r="W33" s="126"/>
      <c r="X33" s="97"/>
      <c r="Y33" s="127"/>
      <c r="Z33" s="114"/>
      <c r="AA33" s="97"/>
      <c r="AB33" s="127"/>
      <c r="AC33" s="114"/>
      <c r="AD33" s="97"/>
      <c r="AE33" s="125"/>
      <c r="AF33" s="114"/>
      <c r="AG33" s="97"/>
      <c r="AH33" s="127"/>
      <c r="AI33" s="174" t="str">
        <f t="shared" si="5"/>
        <v>N/A</v>
      </c>
      <c r="AJ33" s="94" t="str">
        <f t="shared" si="3"/>
        <v>N/A</v>
      </c>
      <c r="AK33" s="94" t="str">
        <f t="shared" si="6"/>
        <v>N/A</v>
      </c>
      <c r="AL33" s="95" t="str">
        <f t="shared" si="7"/>
        <v>N/A</v>
      </c>
      <c r="AM33" s="167"/>
      <c r="AN33" s="167"/>
      <c r="AO33" s="167"/>
    </row>
    <row r="34" spans="2:42" ht="15" thickBot="1" x14ac:dyDescent="0.4">
      <c r="B34" s="122" t="s">
        <v>281</v>
      </c>
      <c r="C34" s="123"/>
      <c r="D34" s="124"/>
      <c r="E34" s="125"/>
      <c r="F34" s="114"/>
      <c r="G34" s="97"/>
      <c r="H34" s="127"/>
      <c r="I34" s="114">
        <v>1.85</v>
      </c>
      <c r="J34" s="97">
        <v>9.25</v>
      </c>
      <c r="K34" s="127">
        <v>5</v>
      </c>
      <c r="L34" s="114"/>
      <c r="M34" s="97"/>
      <c r="N34" s="125"/>
      <c r="O34" s="114"/>
      <c r="P34" s="97"/>
      <c r="Q34" s="127"/>
      <c r="R34" s="174">
        <f t="shared" si="4"/>
        <v>5</v>
      </c>
      <c r="S34" s="175"/>
      <c r="T34" s="123"/>
      <c r="U34" s="124"/>
      <c r="V34" s="125"/>
      <c r="W34" s="114"/>
      <c r="X34" s="97"/>
      <c r="Y34" s="127"/>
      <c r="Z34" s="114"/>
      <c r="AA34" s="97"/>
      <c r="AB34" s="127"/>
      <c r="AC34" s="114"/>
      <c r="AD34" s="97"/>
      <c r="AE34" s="125"/>
      <c r="AF34" s="114"/>
      <c r="AG34" s="97"/>
      <c r="AH34" s="127"/>
      <c r="AI34" s="174" t="str">
        <f t="shared" si="5"/>
        <v>N/A</v>
      </c>
      <c r="AJ34" s="94" t="str">
        <f t="shared" si="3"/>
        <v>N/A</v>
      </c>
      <c r="AK34" s="94" t="str">
        <f t="shared" si="6"/>
        <v>N/A</v>
      </c>
      <c r="AL34" s="95" t="str">
        <f t="shared" si="7"/>
        <v>N/A</v>
      </c>
      <c r="AM34" s="167"/>
      <c r="AN34" s="167"/>
      <c r="AO34" s="167"/>
    </row>
    <row r="35" spans="2:42" ht="15" thickBot="1" x14ac:dyDescent="0.4">
      <c r="B35" s="122" t="s">
        <v>282</v>
      </c>
      <c r="C35" s="123">
        <v>22.9</v>
      </c>
      <c r="D35" s="124">
        <v>320.142</v>
      </c>
      <c r="E35" s="125">
        <v>13.98</v>
      </c>
      <c r="F35" s="126">
        <v>36.9</v>
      </c>
      <c r="G35" s="97">
        <v>442.79999999999995</v>
      </c>
      <c r="H35" s="127">
        <v>12</v>
      </c>
      <c r="I35" s="114">
        <v>21.79</v>
      </c>
      <c r="J35" s="97">
        <v>265.83799999999997</v>
      </c>
      <c r="K35" s="127">
        <v>12.2</v>
      </c>
      <c r="L35" s="114">
        <v>18.28</v>
      </c>
      <c r="M35" s="97">
        <v>292.48</v>
      </c>
      <c r="N35" s="125">
        <v>16</v>
      </c>
      <c r="O35" s="114">
        <v>24.02</v>
      </c>
      <c r="P35" s="97">
        <v>312.50020000000001</v>
      </c>
      <c r="Q35" s="127">
        <v>13.01</v>
      </c>
      <c r="R35" s="174">
        <f t="shared" si="4"/>
        <v>13.437999999999999</v>
      </c>
      <c r="S35" s="175"/>
      <c r="T35" s="123">
        <v>42.25</v>
      </c>
      <c r="U35" s="124">
        <v>507</v>
      </c>
      <c r="V35" s="125">
        <v>12</v>
      </c>
      <c r="W35" s="126">
        <v>42.25</v>
      </c>
      <c r="X35" s="97">
        <v>507</v>
      </c>
      <c r="Y35" s="127">
        <v>12</v>
      </c>
      <c r="Z35" s="114">
        <v>42.25</v>
      </c>
      <c r="AA35" s="97">
        <v>507</v>
      </c>
      <c r="AB35" s="127">
        <v>12</v>
      </c>
      <c r="AC35" s="114">
        <v>42.25</v>
      </c>
      <c r="AD35" s="97">
        <v>507</v>
      </c>
      <c r="AE35" s="125">
        <v>12</v>
      </c>
      <c r="AF35" s="114">
        <v>42.25</v>
      </c>
      <c r="AG35" s="97">
        <v>507</v>
      </c>
      <c r="AH35" s="127">
        <v>12</v>
      </c>
      <c r="AI35" s="174">
        <f t="shared" si="5"/>
        <v>12</v>
      </c>
      <c r="AJ35" s="94">
        <f t="shared" si="3"/>
        <v>-9.2990028278017653E-2</v>
      </c>
      <c r="AK35" s="94" t="str">
        <f t="shared" si="6"/>
        <v>ni rabais ni bonus</v>
      </c>
      <c r="AL35" s="95">
        <f t="shared" si="7"/>
        <v>0</v>
      </c>
      <c r="AM35" s="167"/>
      <c r="AN35" s="167"/>
      <c r="AO35" s="167"/>
    </row>
    <row r="36" spans="2:42" ht="15" thickBot="1" x14ac:dyDescent="0.4">
      <c r="B36" s="221" t="s">
        <v>283</v>
      </c>
      <c r="C36" s="123">
        <v>43.15</v>
      </c>
      <c r="D36" s="124">
        <v>326.214</v>
      </c>
      <c r="E36" s="125">
        <v>7.56</v>
      </c>
      <c r="F36" s="114">
        <v>24.49</v>
      </c>
      <c r="G36" s="97">
        <v>197.8792</v>
      </c>
      <c r="H36" s="127">
        <v>8.08</v>
      </c>
      <c r="I36" s="114">
        <v>27.65</v>
      </c>
      <c r="J36" s="97">
        <v>209.03399999999999</v>
      </c>
      <c r="K36" s="127">
        <v>7.56</v>
      </c>
      <c r="L36" s="114">
        <v>24.12</v>
      </c>
      <c r="M36" s="97">
        <v>232.27560000000003</v>
      </c>
      <c r="N36" s="125">
        <v>9.6300000000000008</v>
      </c>
      <c r="O36" s="114">
        <v>38.15</v>
      </c>
      <c r="P36" s="97">
        <v>267.05</v>
      </c>
      <c r="Q36" s="127">
        <v>7</v>
      </c>
      <c r="R36" s="174">
        <f t="shared" si="4"/>
        <v>7.9659999999999993</v>
      </c>
      <c r="S36" s="64"/>
      <c r="T36" s="114">
        <v>21.83</v>
      </c>
      <c r="U36" s="97">
        <v>152.81</v>
      </c>
      <c r="V36" s="127">
        <v>7</v>
      </c>
      <c r="W36" s="114">
        <v>21.83</v>
      </c>
      <c r="X36" s="97">
        <v>152.81</v>
      </c>
      <c r="Y36" s="125">
        <v>7</v>
      </c>
      <c r="Z36" s="114">
        <v>21.83</v>
      </c>
      <c r="AA36" s="97">
        <v>152.81</v>
      </c>
      <c r="AB36" s="127">
        <v>7</v>
      </c>
      <c r="AC36" s="114">
        <v>21.83</v>
      </c>
      <c r="AD36" s="97">
        <v>152.81</v>
      </c>
      <c r="AE36" s="127">
        <v>7</v>
      </c>
      <c r="AF36" s="114">
        <v>21.83</v>
      </c>
      <c r="AG36" s="97">
        <v>152.81</v>
      </c>
      <c r="AH36" s="132">
        <v>7</v>
      </c>
      <c r="AI36" s="174">
        <f t="shared" si="5"/>
        <v>7</v>
      </c>
      <c r="AJ36" s="94">
        <f t="shared" si="3"/>
        <v>-7.8734622144112559E-2</v>
      </c>
      <c r="AK36" s="94" t="str">
        <f t="shared" si="6"/>
        <v>ni rabais ni bonus</v>
      </c>
      <c r="AL36" s="95">
        <f t="shared" si="7"/>
        <v>0</v>
      </c>
      <c r="AM36" s="167"/>
      <c r="AN36" s="167"/>
      <c r="AO36" s="167"/>
    </row>
    <row r="37" spans="2:42" ht="15" thickBot="1" x14ac:dyDescent="0.4">
      <c r="B37" s="221" t="s">
        <v>284</v>
      </c>
      <c r="C37" s="123">
        <v>24.54</v>
      </c>
      <c r="D37" s="124">
        <v>174.97020000000001</v>
      </c>
      <c r="E37" s="125">
        <v>7.13</v>
      </c>
      <c r="F37" s="114">
        <v>26.64</v>
      </c>
      <c r="G37" s="97">
        <v>223.24320000000003</v>
      </c>
      <c r="H37" s="127">
        <v>8.3800000000000008</v>
      </c>
      <c r="I37" s="114">
        <v>28.03</v>
      </c>
      <c r="J37" s="97">
        <v>172.38450000000003</v>
      </c>
      <c r="K37" s="127">
        <v>6.15</v>
      </c>
      <c r="L37" s="114">
        <v>14.43</v>
      </c>
      <c r="M37" s="97">
        <v>101.15429999999999</v>
      </c>
      <c r="N37" s="125">
        <v>7.01</v>
      </c>
      <c r="O37" s="114">
        <v>19.170000000000002</v>
      </c>
      <c r="P37" s="97">
        <v>139.941</v>
      </c>
      <c r="Q37" s="127">
        <v>7.3</v>
      </c>
      <c r="R37" s="174">
        <f t="shared" si="4"/>
        <v>7.194</v>
      </c>
      <c r="S37" s="64"/>
      <c r="T37" s="114">
        <v>15.01</v>
      </c>
      <c r="U37" s="97">
        <v>92.311500000000009</v>
      </c>
      <c r="V37" s="127">
        <v>6.15</v>
      </c>
      <c r="W37" s="114">
        <v>15.01</v>
      </c>
      <c r="X37" s="97">
        <v>92.311500000000009</v>
      </c>
      <c r="Y37" s="125">
        <v>6.15</v>
      </c>
      <c r="Z37" s="114">
        <v>15.01</v>
      </c>
      <c r="AA37" s="97">
        <v>92.311500000000009</v>
      </c>
      <c r="AB37" s="127">
        <v>6.15</v>
      </c>
      <c r="AC37" s="114">
        <v>15.01</v>
      </c>
      <c r="AD37" s="97">
        <v>92.311500000000009</v>
      </c>
      <c r="AE37" s="127">
        <v>6.15</v>
      </c>
      <c r="AF37" s="114">
        <v>15.01</v>
      </c>
      <c r="AG37" s="97">
        <v>92.311500000000009</v>
      </c>
      <c r="AH37" s="132">
        <v>6.15</v>
      </c>
      <c r="AI37" s="174">
        <f t="shared" si="5"/>
        <v>6.15</v>
      </c>
      <c r="AJ37" s="94">
        <f t="shared" si="3"/>
        <v>-5.4879065888240264E-2</v>
      </c>
      <c r="AK37" s="94" t="str">
        <f t="shared" si="6"/>
        <v>ni rabais ni bonus</v>
      </c>
      <c r="AL37" s="95">
        <f t="shared" si="7"/>
        <v>0</v>
      </c>
      <c r="AM37" s="167"/>
      <c r="AN37" s="167"/>
      <c r="AO37" s="167"/>
    </row>
    <row r="38" spans="2:42" ht="15" thickBot="1" x14ac:dyDescent="0.4">
      <c r="B38" s="222" t="s">
        <v>285</v>
      </c>
      <c r="C38" s="123"/>
      <c r="D38" s="124"/>
      <c r="E38" s="125"/>
      <c r="F38" s="126">
        <v>14.54</v>
      </c>
      <c r="G38" s="97">
        <v>116.1746</v>
      </c>
      <c r="H38" s="127">
        <v>7.99</v>
      </c>
      <c r="I38" s="114">
        <v>14.81</v>
      </c>
      <c r="J38" s="97">
        <v>83.676500000000004</v>
      </c>
      <c r="K38" s="127">
        <v>5.65</v>
      </c>
      <c r="L38" s="114"/>
      <c r="M38" s="97"/>
      <c r="N38" s="127"/>
      <c r="O38" s="114">
        <v>7.1</v>
      </c>
      <c r="P38" s="97">
        <v>39.76</v>
      </c>
      <c r="Q38" s="127">
        <v>5.6</v>
      </c>
      <c r="R38" s="174">
        <f t="shared" si="4"/>
        <v>6.413333333333334</v>
      </c>
      <c r="S38" s="64"/>
      <c r="T38" s="123">
        <v>24.54</v>
      </c>
      <c r="U38" s="124">
        <v>137.42399999999998</v>
      </c>
      <c r="V38" s="125">
        <v>5.6</v>
      </c>
      <c r="W38" s="126">
        <v>24.54</v>
      </c>
      <c r="X38" s="97">
        <v>137.42399999999998</v>
      </c>
      <c r="Y38" s="127">
        <v>5.6</v>
      </c>
      <c r="Z38" s="114">
        <v>24.54</v>
      </c>
      <c r="AA38" s="97">
        <v>137.42399999999998</v>
      </c>
      <c r="AB38" s="127">
        <v>5.6</v>
      </c>
      <c r="AC38" s="114">
        <v>24.54</v>
      </c>
      <c r="AD38" s="97">
        <v>137.42399999999998</v>
      </c>
      <c r="AE38" s="127">
        <v>5.6</v>
      </c>
      <c r="AF38" s="114">
        <v>24.54</v>
      </c>
      <c r="AG38" s="97">
        <v>137.42399999999998</v>
      </c>
      <c r="AH38" s="127">
        <v>5.6</v>
      </c>
      <c r="AI38" s="174">
        <f t="shared" si="5"/>
        <v>5.6</v>
      </c>
      <c r="AJ38" s="94">
        <f t="shared" si="3"/>
        <v>-7.3180873180873046E-2</v>
      </c>
      <c r="AK38" s="94" t="str">
        <f t="shared" si="6"/>
        <v>ni rabais ni bonus</v>
      </c>
      <c r="AL38" s="95">
        <f t="shared" si="7"/>
        <v>0</v>
      </c>
      <c r="AM38" s="167"/>
      <c r="AN38" s="167"/>
      <c r="AO38" s="167"/>
    </row>
    <row r="39" spans="2:42" ht="15" thickBot="1" x14ac:dyDescent="0.4">
      <c r="B39" s="222" t="s">
        <v>286</v>
      </c>
      <c r="C39" s="123"/>
      <c r="D39" s="124"/>
      <c r="E39" s="125"/>
      <c r="F39" s="114"/>
      <c r="G39" s="97"/>
      <c r="H39" s="127"/>
      <c r="I39" s="114">
        <v>14.54</v>
      </c>
      <c r="J39" s="97">
        <v>27.771399999999996</v>
      </c>
      <c r="K39" s="127">
        <v>1.91</v>
      </c>
      <c r="L39" s="114"/>
      <c r="M39" s="97"/>
      <c r="N39" s="125"/>
      <c r="O39" s="114"/>
      <c r="P39" s="97"/>
      <c r="Q39" s="127"/>
      <c r="R39" s="174">
        <f t="shared" si="4"/>
        <v>1.91</v>
      </c>
      <c r="S39" s="64"/>
      <c r="T39" s="114"/>
      <c r="U39" s="97"/>
      <c r="V39" s="127"/>
      <c r="W39" s="114"/>
      <c r="X39" s="97"/>
      <c r="Y39" s="125"/>
      <c r="Z39" s="114"/>
      <c r="AA39" s="97"/>
      <c r="AB39" s="127"/>
      <c r="AC39" s="114"/>
      <c r="AD39" s="97"/>
      <c r="AE39" s="127"/>
      <c r="AF39" s="114"/>
      <c r="AG39" s="97"/>
      <c r="AH39" s="132"/>
      <c r="AI39" s="174" t="str">
        <f t="shared" si="5"/>
        <v>N/A</v>
      </c>
      <c r="AJ39" s="94" t="str">
        <f t="shared" si="3"/>
        <v>N/A</v>
      </c>
      <c r="AK39" s="94" t="str">
        <f t="shared" si="6"/>
        <v>N/A</v>
      </c>
      <c r="AL39" s="95" t="str">
        <f t="shared" si="7"/>
        <v>N/A</v>
      </c>
      <c r="AM39" s="167"/>
      <c r="AN39" s="167"/>
      <c r="AO39" s="167"/>
    </row>
    <row r="40" spans="2:42" ht="15" thickBot="1" x14ac:dyDescent="0.4">
      <c r="B40" s="222" t="s">
        <v>287</v>
      </c>
      <c r="C40" s="123">
        <v>19.399999999999999</v>
      </c>
      <c r="D40" s="124">
        <v>156.946</v>
      </c>
      <c r="E40" s="125">
        <v>8.09</v>
      </c>
      <c r="F40" s="114">
        <v>27.5</v>
      </c>
      <c r="G40" s="97">
        <v>193.6</v>
      </c>
      <c r="H40" s="127">
        <v>7.04</v>
      </c>
      <c r="I40" s="114">
        <v>27.65</v>
      </c>
      <c r="J40" s="97">
        <v>156.2225</v>
      </c>
      <c r="K40" s="127">
        <v>5.65</v>
      </c>
      <c r="L40" s="114">
        <v>21.29</v>
      </c>
      <c r="M40" s="97">
        <v>157.9718</v>
      </c>
      <c r="N40" s="125">
        <v>7.42</v>
      </c>
      <c r="O40" s="114"/>
      <c r="P40" s="97"/>
      <c r="Q40" s="127"/>
      <c r="R40" s="174">
        <f>IF(SUM(E40,H40,K40,N40,Q40)&lt;&gt;0,AVERAGE(E40,H40,K40,N40,Q40),IF(SUM(C40:Q40)=0,"N/A","valeur(s) entrée(s) incorrecte(s)"))</f>
        <v>7.0500000000000007</v>
      </c>
      <c r="S40" s="64"/>
      <c r="T40" s="114"/>
      <c r="U40" s="97"/>
      <c r="V40" s="127"/>
      <c r="W40" s="114"/>
      <c r="X40" s="97"/>
      <c r="Y40" s="125"/>
      <c r="Z40" s="114"/>
      <c r="AA40" s="97"/>
      <c r="AB40" s="127"/>
      <c r="AC40" s="114"/>
      <c r="AD40" s="97"/>
      <c r="AE40" s="127"/>
      <c r="AF40" s="114"/>
      <c r="AG40" s="97"/>
      <c r="AH40" s="132"/>
      <c r="AI40" s="174" t="str">
        <f t="shared" si="5"/>
        <v>N/A</v>
      </c>
      <c r="AJ40" s="94" t="str">
        <f t="shared" si="3"/>
        <v>N/A</v>
      </c>
      <c r="AK40" s="94" t="str">
        <f t="shared" si="6"/>
        <v>N/A</v>
      </c>
      <c r="AL40" s="95" t="str">
        <f t="shared" si="7"/>
        <v>N/A</v>
      </c>
      <c r="AM40" s="167"/>
      <c r="AN40" s="167"/>
      <c r="AO40" s="167"/>
    </row>
    <row r="41" spans="2:42" ht="15" thickBot="1" x14ac:dyDescent="0.4">
      <c r="B41" s="222"/>
      <c r="C41" s="123"/>
      <c r="D41" s="124"/>
      <c r="E41" s="125"/>
      <c r="F41" s="114"/>
      <c r="G41" s="97"/>
      <c r="H41" s="127"/>
      <c r="I41" s="114"/>
      <c r="J41" s="97"/>
      <c r="K41" s="127"/>
      <c r="L41" s="114"/>
      <c r="M41" s="97"/>
      <c r="N41" s="125"/>
      <c r="O41" s="114"/>
      <c r="P41" s="97"/>
      <c r="Q41" s="127"/>
      <c r="R41" s="174" t="str">
        <f>IF(SUM(E41,H41,K41,N41,Q41)&lt;&gt;0,AVERAGE(E41,H41,K41,N41,Q41),IF(SUM(C41:Q41)=0,"N/A","valeur(s) entrée(s) incorrecte(s)"))</f>
        <v>N/A</v>
      </c>
      <c r="S41" s="64"/>
      <c r="T41" s="114"/>
      <c r="U41" s="97"/>
      <c r="V41" s="127"/>
      <c r="W41" s="114"/>
      <c r="X41" s="97"/>
      <c r="Y41" s="125"/>
      <c r="Z41" s="114"/>
      <c r="AA41" s="97"/>
      <c r="AB41" s="127"/>
      <c r="AC41" s="114"/>
      <c r="AD41" s="97"/>
      <c r="AE41" s="127"/>
      <c r="AF41" s="114"/>
      <c r="AG41" s="97"/>
      <c r="AH41" s="132"/>
      <c r="AI41" s="174" t="str">
        <f t="shared" si="5"/>
        <v>N/A</v>
      </c>
      <c r="AJ41" s="94" t="str">
        <f t="shared" si="3"/>
        <v>N/A</v>
      </c>
      <c r="AK41" s="94" t="str">
        <f t="shared" si="6"/>
        <v>N/A</v>
      </c>
      <c r="AL41" s="95" t="str">
        <f t="shared" si="7"/>
        <v>N/A</v>
      </c>
      <c r="AM41" s="167"/>
      <c r="AN41" s="167"/>
      <c r="AO41" s="167"/>
    </row>
    <row r="42" spans="2:42" ht="15" thickBot="1" x14ac:dyDescent="0.4">
      <c r="B42" s="222"/>
      <c r="C42" s="123"/>
      <c r="D42" s="124"/>
      <c r="E42" s="125"/>
      <c r="F42" s="114"/>
      <c r="G42" s="97"/>
      <c r="H42" s="127"/>
      <c r="I42" s="114"/>
      <c r="J42" s="97"/>
      <c r="K42" s="127"/>
      <c r="L42" s="114"/>
      <c r="M42" s="97"/>
      <c r="N42" s="125"/>
      <c r="O42" s="114"/>
      <c r="P42" s="97"/>
      <c r="Q42" s="127"/>
      <c r="R42" s="174" t="str">
        <f t="shared" si="4"/>
        <v>N/A</v>
      </c>
      <c r="S42" s="64"/>
      <c r="T42" s="114"/>
      <c r="U42" s="97"/>
      <c r="V42" s="127"/>
      <c r="W42" s="114"/>
      <c r="X42" s="97"/>
      <c r="Y42" s="125"/>
      <c r="Z42" s="114"/>
      <c r="AA42" s="97"/>
      <c r="AB42" s="127"/>
      <c r="AC42" s="114"/>
      <c r="AD42" s="97"/>
      <c r="AE42" s="127"/>
      <c r="AF42" s="114"/>
      <c r="AG42" s="97"/>
      <c r="AH42" s="132"/>
      <c r="AI42" s="174" t="str">
        <f t="shared" si="5"/>
        <v>N/A</v>
      </c>
      <c r="AJ42" s="94" t="str">
        <f t="shared" si="3"/>
        <v>N/A</v>
      </c>
      <c r="AK42" s="94" t="str">
        <f t="shared" si="6"/>
        <v>N/A</v>
      </c>
      <c r="AL42" s="95" t="str">
        <f t="shared" si="7"/>
        <v>N/A</v>
      </c>
      <c r="AM42" s="167"/>
      <c r="AN42" s="167"/>
      <c r="AO42" s="167"/>
    </row>
    <row r="43" spans="2:42" ht="15" thickBot="1" x14ac:dyDescent="0.4">
      <c r="B43" s="222"/>
      <c r="C43" s="123"/>
      <c r="D43" s="124"/>
      <c r="E43" s="125"/>
      <c r="F43" s="114"/>
      <c r="G43" s="97"/>
      <c r="H43" s="127"/>
      <c r="I43" s="114"/>
      <c r="J43" s="97"/>
      <c r="K43" s="127"/>
      <c r="L43" s="114"/>
      <c r="M43" s="97"/>
      <c r="N43" s="125"/>
      <c r="O43" s="114"/>
      <c r="P43" s="97"/>
      <c r="Q43" s="127"/>
      <c r="R43" s="174" t="str">
        <f t="shared" si="4"/>
        <v>N/A</v>
      </c>
      <c r="S43" s="64"/>
      <c r="T43" s="114"/>
      <c r="U43" s="97"/>
      <c r="V43" s="127"/>
      <c r="W43" s="114"/>
      <c r="X43" s="97"/>
      <c r="Y43" s="125"/>
      <c r="Z43" s="114"/>
      <c r="AA43" s="97"/>
      <c r="AB43" s="127"/>
      <c r="AC43" s="114"/>
      <c r="AD43" s="97"/>
      <c r="AE43" s="127"/>
      <c r="AF43" s="114"/>
      <c r="AG43" s="97"/>
      <c r="AH43" s="132"/>
      <c r="AI43" s="174" t="str">
        <f t="shared" si="5"/>
        <v>N/A</v>
      </c>
      <c r="AJ43" s="94" t="str">
        <f t="shared" si="3"/>
        <v>N/A</v>
      </c>
      <c r="AK43" s="94" t="str">
        <f t="shared" si="6"/>
        <v>N/A</v>
      </c>
      <c r="AL43" s="95" t="str">
        <f t="shared" si="7"/>
        <v>N/A</v>
      </c>
      <c r="AM43" s="167"/>
      <c r="AN43" s="167"/>
      <c r="AO43" s="167"/>
    </row>
    <row r="44" spans="2:42" ht="15" thickBot="1" x14ac:dyDescent="0.4">
      <c r="B44" s="222"/>
      <c r="C44" s="123"/>
      <c r="D44" s="124"/>
      <c r="E44" s="125"/>
      <c r="F44" s="114"/>
      <c r="G44" s="97"/>
      <c r="H44" s="127"/>
      <c r="I44" s="114"/>
      <c r="J44" s="97"/>
      <c r="K44" s="127"/>
      <c r="L44" s="114"/>
      <c r="M44" s="97"/>
      <c r="N44" s="125"/>
      <c r="O44" s="114"/>
      <c r="P44" s="97"/>
      <c r="Q44" s="127"/>
      <c r="R44" s="174" t="str">
        <f t="shared" si="4"/>
        <v>N/A</v>
      </c>
      <c r="S44" s="64"/>
      <c r="T44" s="114"/>
      <c r="U44" s="97"/>
      <c r="V44" s="127"/>
      <c r="W44" s="114"/>
      <c r="X44" s="97"/>
      <c r="Y44" s="125"/>
      <c r="Z44" s="114"/>
      <c r="AA44" s="97"/>
      <c r="AB44" s="127"/>
      <c r="AC44" s="114"/>
      <c r="AD44" s="97"/>
      <c r="AE44" s="127"/>
      <c r="AF44" s="114"/>
      <c r="AG44" s="97"/>
      <c r="AH44" s="132"/>
      <c r="AI44" s="174" t="str">
        <f t="shared" si="5"/>
        <v>N/A</v>
      </c>
      <c r="AJ44" s="94" t="str">
        <f t="shared" si="3"/>
        <v>N/A</v>
      </c>
      <c r="AK44" s="94" t="str">
        <f t="shared" si="6"/>
        <v>N/A</v>
      </c>
      <c r="AL44" s="95" t="str">
        <f t="shared" si="7"/>
        <v>N/A</v>
      </c>
      <c r="AM44" s="167"/>
      <c r="AN44" s="167"/>
      <c r="AO44" s="167"/>
    </row>
    <row r="45" spans="2:42" ht="19" thickBot="1" x14ac:dyDescent="0.4">
      <c r="B45" s="222"/>
      <c r="C45" s="123"/>
      <c r="D45" s="124"/>
      <c r="E45" s="125"/>
      <c r="F45" s="114"/>
      <c r="G45" s="97"/>
      <c r="H45" s="127"/>
      <c r="I45" s="114"/>
      <c r="J45" s="97"/>
      <c r="K45" s="127"/>
      <c r="L45" s="114"/>
      <c r="M45" s="97"/>
      <c r="N45" s="125"/>
      <c r="O45" s="114"/>
      <c r="P45" s="97"/>
      <c r="Q45" s="127"/>
      <c r="R45" s="174" t="str">
        <f t="shared" si="4"/>
        <v>N/A</v>
      </c>
      <c r="S45" s="64"/>
      <c r="T45" s="114"/>
      <c r="U45" s="97"/>
      <c r="V45" s="127"/>
      <c r="W45" s="114"/>
      <c r="X45" s="97"/>
      <c r="Y45" s="125"/>
      <c r="Z45" s="114"/>
      <c r="AA45" s="97"/>
      <c r="AB45" s="127"/>
      <c r="AC45" s="114"/>
      <c r="AD45" s="97"/>
      <c r="AE45" s="127"/>
      <c r="AF45" s="114"/>
      <c r="AG45" s="97"/>
      <c r="AH45" s="132"/>
      <c r="AI45" s="174" t="str">
        <f t="shared" si="5"/>
        <v>N/A</v>
      </c>
      <c r="AJ45" s="94" t="str">
        <f t="shared" si="3"/>
        <v>N/A</v>
      </c>
      <c r="AK45" s="94" t="str">
        <f t="shared" si="6"/>
        <v>N/A</v>
      </c>
      <c r="AL45" s="95" t="str">
        <f t="shared" si="7"/>
        <v>N/A</v>
      </c>
      <c r="AM45" s="167"/>
      <c r="AN45" s="540" t="s">
        <v>234</v>
      </c>
      <c r="AO45" s="541"/>
    </row>
    <row r="46" spans="2:42" ht="15" thickBot="1" x14ac:dyDescent="0.4">
      <c r="B46" s="222"/>
      <c r="C46" s="123"/>
      <c r="D46" s="124"/>
      <c r="E46" s="125"/>
      <c r="F46" s="114"/>
      <c r="G46" s="97"/>
      <c r="H46" s="127"/>
      <c r="I46" s="114"/>
      <c r="J46" s="97"/>
      <c r="K46" s="127"/>
      <c r="L46" s="114"/>
      <c r="M46" s="97"/>
      <c r="N46" s="125"/>
      <c r="O46" s="114"/>
      <c r="P46" s="97"/>
      <c r="Q46" s="127"/>
      <c r="R46" s="174" t="str">
        <f t="shared" si="4"/>
        <v>N/A</v>
      </c>
      <c r="S46" s="64"/>
      <c r="T46" s="114"/>
      <c r="U46" s="97"/>
      <c r="V46" s="127"/>
      <c r="W46" s="114"/>
      <c r="X46" s="97"/>
      <c r="Y46" s="125"/>
      <c r="Z46" s="114"/>
      <c r="AA46" s="97"/>
      <c r="AB46" s="127"/>
      <c r="AC46" s="114"/>
      <c r="AD46" s="97"/>
      <c r="AE46" s="127"/>
      <c r="AF46" s="114"/>
      <c r="AG46" s="97"/>
      <c r="AH46" s="132"/>
      <c r="AI46" s="174" t="str">
        <f t="shared" si="5"/>
        <v>N/A</v>
      </c>
      <c r="AJ46" s="94" t="str">
        <f t="shared" si="3"/>
        <v>N/A</v>
      </c>
      <c r="AK46" s="94" t="str">
        <f t="shared" si="6"/>
        <v>N/A</v>
      </c>
      <c r="AL46" s="95" t="str">
        <f t="shared" si="7"/>
        <v>N/A</v>
      </c>
      <c r="AM46" s="167"/>
      <c r="AN46" s="177" t="s">
        <v>232</v>
      </c>
      <c r="AO46" s="178" t="s">
        <v>191</v>
      </c>
    </row>
    <row r="47" spans="2:42" ht="44.15" customHeight="1" thickBot="1" x14ac:dyDescent="0.4">
      <c r="B47" s="223"/>
      <c r="C47" s="128"/>
      <c r="D47" s="129"/>
      <c r="E47" s="224"/>
      <c r="F47" s="130"/>
      <c r="G47" s="131"/>
      <c r="H47" s="225"/>
      <c r="I47" s="130"/>
      <c r="J47" s="131"/>
      <c r="K47" s="225"/>
      <c r="L47" s="130"/>
      <c r="M47" s="131"/>
      <c r="N47" s="224"/>
      <c r="O47" s="130"/>
      <c r="P47" s="131"/>
      <c r="Q47" s="225"/>
      <c r="R47" s="174" t="str">
        <f t="shared" si="4"/>
        <v>N/A</v>
      </c>
      <c r="S47" s="64"/>
      <c r="T47" s="130"/>
      <c r="U47" s="131"/>
      <c r="V47" s="224"/>
      <c r="W47" s="130"/>
      <c r="X47" s="131"/>
      <c r="Y47" s="224"/>
      <c r="Z47" s="130"/>
      <c r="AA47" s="131"/>
      <c r="AB47" s="224"/>
      <c r="AC47" s="130"/>
      <c r="AD47" s="131"/>
      <c r="AE47" s="224"/>
      <c r="AF47" s="130"/>
      <c r="AG47" s="131"/>
      <c r="AH47" s="224"/>
      <c r="AI47" s="174" t="str">
        <f t="shared" si="5"/>
        <v>N/A</v>
      </c>
      <c r="AJ47" s="94" t="str">
        <f t="shared" si="3"/>
        <v>N/A</v>
      </c>
      <c r="AK47" s="94" t="str">
        <f t="shared" si="6"/>
        <v>N/A</v>
      </c>
      <c r="AL47" s="95" t="str">
        <f t="shared" si="7"/>
        <v>N/A</v>
      </c>
      <c r="AM47" s="167"/>
      <c r="AN47" s="203" t="str">
        <f>IF(AO47="N/A","N/A",IF(AO47&lt;0,"Rabais",IF(AO47&gt;0,"Bonus","Ni rabais ni bonus")))</f>
        <v>Ni rabais ni bonus</v>
      </c>
      <c r="AO47" s="202" cm="1">
        <f t="array" ref="AO47">IF(AND(EXACT(AL31:AL47,"N/A")),"N/A",MEDIAN(IF(ISNUMBER(AI31:AI47),AL31:AL47)))</f>
        <v>0</v>
      </c>
      <c r="AP47" s="167"/>
    </row>
    <row r="48" spans="2:42" x14ac:dyDescent="0.35">
      <c r="R48" s="90"/>
      <c r="AM48" s="167"/>
      <c r="AN48" s="167"/>
      <c r="AO48" s="167"/>
      <c r="AP48" s="167"/>
    </row>
    <row r="49" spans="2:42" ht="15" customHeight="1" x14ac:dyDescent="0.35">
      <c r="AI49" s="170"/>
      <c r="AM49" s="167"/>
      <c r="AN49" s="167"/>
      <c r="AO49" s="167"/>
      <c r="AP49" s="167"/>
    </row>
    <row r="50" spans="2:42" x14ac:dyDescent="0.35">
      <c r="B50" s="392" t="s">
        <v>199</v>
      </c>
      <c r="C50" s="392"/>
      <c r="D50" s="392"/>
      <c r="E50" s="392"/>
      <c r="F50" s="392"/>
      <c r="G50" s="392"/>
      <c r="H50" s="392"/>
      <c r="I50" s="392"/>
      <c r="J50" s="392"/>
      <c r="K50" s="392"/>
      <c r="L50" s="392"/>
    </row>
    <row r="51" spans="2:42" ht="15" customHeight="1" x14ac:dyDescent="0.35">
      <c r="B51" s="392"/>
      <c r="C51" s="392"/>
      <c r="D51" s="392"/>
      <c r="E51" s="392"/>
      <c r="F51" s="392"/>
      <c r="G51" s="392"/>
      <c r="H51" s="392"/>
      <c r="I51" s="392"/>
      <c r="J51" s="392"/>
      <c r="K51" s="392"/>
      <c r="L51" s="392"/>
    </row>
    <row r="52" spans="2:42" ht="15" thickBot="1" x14ac:dyDescent="0.4">
      <c r="B52" s="91" t="s">
        <v>249</v>
      </c>
      <c r="C52" s="92"/>
      <c r="D52" s="92"/>
      <c r="E52" s="92"/>
    </row>
    <row r="53" spans="2:42" ht="75" customHeight="1" thickBot="1" x14ac:dyDescent="0.4">
      <c r="B53" s="13" t="s">
        <v>184</v>
      </c>
      <c r="C53" s="63" t="s">
        <v>200</v>
      </c>
      <c r="D53" s="63" t="s">
        <v>201</v>
      </c>
      <c r="E53" s="63" t="s">
        <v>202</v>
      </c>
      <c r="I53" s="210" t="s">
        <v>232</v>
      </c>
      <c r="J53" s="211" t="s">
        <v>191</v>
      </c>
    </row>
    <row r="54" spans="2:42" ht="15" thickBot="1" x14ac:dyDescent="0.4">
      <c r="B54" s="2" t="s">
        <v>70</v>
      </c>
      <c r="C54" s="96">
        <v>106.42</v>
      </c>
      <c r="D54" s="97"/>
      <c r="E54" s="97"/>
      <c r="I54" s="188" t="str">
        <f>IF(J54="-","-",IF(OR(C58-C54&lt;0,D58-D54&lt;0,E58-E54&lt;0),"Rabais",IF(AND(C58=C54, D58=D54, E58=E54),"Ni rabais ni bonus", "Bonus")))</f>
        <v>Ni rabais ni bonus</v>
      </c>
      <c r="J54" s="189">
        <f>IF(AND(ISBLANK(C58),ISBLANK(D58),ISBLANK(E58),ISBLANK(C54),ISBLANK(D54),ISBLANK(E54)),"-",SUM(IF(OR(C58-C54&lt;0,D58-D54&lt;0,E58-E54&lt;0),-0.3,),IF(OR(C58-C54&gt;0,D58-D54&gt;0,E58-E54&gt;0),0.1)))</f>
        <v>0</v>
      </c>
    </row>
    <row r="56" spans="2:42" x14ac:dyDescent="0.35">
      <c r="B56" s="91" t="s">
        <v>250</v>
      </c>
      <c r="C56" s="92"/>
      <c r="D56" s="92"/>
      <c r="E56" s="92"/>
      <c r="I56" s="93"/>
    </row>
    <row r="57" spans="2:42" ht="75.75" customHeight="1" x14ac:dyDescent="0.35">
      <c r="B57" s="13" t="s">
        <v>184</v>
      </c>
      <c r="C57" s="63" t="s">
        <v>200</v>
      </c>
      <c r="D57" s="63" t="s">
        <v>201</v>
      </c>
      <c r="E57" s="63" t="s">
        <v>202</v>
      </c>
      <c r="K57" s="197"/>
    </row>
    <row r="58" spans="2:42" x14ac:dyDescent="0.35">
      <c r="B58" s="2" t="s">
        <v>177</v>
      </c>
      <c r="C58" s="97">
        <v>106.42</v>
      </c>
      <c r="D58" s="97"/>
      <c r="E58" s="97"/>
    </row>
    <row r="60" spans="2:42" x14ac:dyDescent="0.35">
      <c r="O60" s="535" t="s">
        <v>191</v>
      </c>
    </row>
    <row r="61" spans="2:42" ht="14.5" customHeight="1" x14ac:dyDescent="0.35">
      <c r="B61" s="537" t="s">
        <v>238</v>
      </c>
      <c r="C61" s="537"/>
      <c r="D61" s="537"/>
      <c r="E61" s="537"/>
      <c r="F61" s="537"/>
      <c r="G61" s="537"/>
      <c r="H61" s="537"/>
      <c r="I61" s="537"/>
      <c r="J61" s="537"/>
      <c r="K61" s="537"/>
      <c r="L61" s="276"/>
      <c r="O61" s="535"/>
    </row>
    <row r="62" spans="2:42" ht="14.5" customHeight="1" thickBot="1" x14ac:dyDescent="0.4">
      <c r="B62" s="537"/>
      <c r="C62" s="537"/>
      <c r="D62" s="537"/>
      <c r="E62" s="537"/>
      <c r="F62" s="537"/>
      <c r="G62" s="537"/>
      <c r="H62" s="537"/>
      <c r="I62" s="537"/>
      <c r="J62" s="537"/>
      <c r="K62" s="537"/>
      <c r="L62" s="276"/>
      <c r="M62" t="s">
        <v>204</v>
      </c>
      <c r="O62" s="536"/>
    </row>
    <row r="63" spans="2:42" ht="15" thickBot="1" x14ac:dyDescent="0.4"/>
    <row r="64" spans="2:42" ht="15" thickBot="1" x14ac:dyDescent="0.4">
      <c r="B64" t="s">
        <v>205</v>
      </c>
      <c r="M64" s="133" t="s">
        <v>173</v>
      </c>
      <c r="O64" s="189">
        <f>IF(ISBLANK(M64),"-",IF(M64="O",-0.2,0))</f>
        <v>0</v>
      </c>
    </row>
    <row r="65" spans="2:17" ht="15" thickBot="1" x14ac:dyDescent="0.4"/>
    <row r="66" spans="2:17" ht="15" thickBot="1" x14ac:dyDescent="0.4">
      <c r="B66" t="s">
        <v>206</v>
      </c>
      <c r="M66" s="133" t="s">
        <v>173</v>
      </c>
      <c r="O66" s="189">
        <f>IF(ISBLANK(M66),"-",IF(M66="O",-0.2,0))</f>
        <v>0</v>
      </c>
    </row>
    <row r="71" spans="2:17" x14ac:dyDescent="0.35">
      <c r="B71" s="534" t="s">
        <v>235</v>
      </c>
      <c r="C71" s="534"/>
      <c r="D71" s="534"/>
      <c r="E71" s="534"/>
      <c r="F71" s="534"/>
      <c r="G71" s="534"/>
      <c r="H71" s="534"/>
      <c r="I71" s="534"/>
      <c r="J71" s="534"/>
      <c r="K71" s="534"/>
      <c r="L71" s="534"/>
      <c r="M71" s="534"/>
      <c r="N71" s="534"/>
      <c r="O71" s="534"/>
      <c r="P71" s="534"/>
      <c r="Q71" s="534"/>
    </row>
    <row r="72" spans="2:17" x14ac:dyDescent="0.35">
      <c r="B72" s="534"/>
      <c r="C72" s="534"/>
      <c r="D72" s="534"/>
      <c r="E72" s="534"/>
      <c r="F72" s="534"/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</row>
    <row r="73" spans="2:17" ht="15" thickBot="1" x14ac:dyDescent="0.4"/>
    <row r="74" spans="2:17" ht="81" customHeight="1" thickBot="1" x14ac:dyDescent="0.4">
      <c r="C74" s="190" t="s">
        <v>203</v>
      </c>
      <c r="D74" s="190" t="s">
        <v>191</v>
      </c>
    </row>
    <row r="75" spans="2:17" ht="15" thickBot="1" x14ac:dyDescent="0.4">
      <c r="C75" s="191" t="str">
        <f>IF(D75="-","-",IF(D75&gt;0, "Bonus", IF(D75&lt;0,"Rabais","Ni rabais ni bonus")))</f>
        <v>Ni rabais ni bonus</v>
      </c>
      <c r="D75" s="192">
        <f>IF(SUM(D16:H18,O16:S18,E31:E47,H31:H47,K31:K47,N31:N47,Q31:Q47,V31:V47,Y31:Y47,AB31:AB47,AE31:AE47,AH31:AH47,)=0,"-",(IF('SUIVI RABAIS PRODUCTION ET C '!$AN$21&lt;&gt;"Ni rabais ni bonus",'SUIVI RABAIS PRODUCTION ET C '!$AO$21,0)+IF('SUIVI RABAIS PRODUCTION ET C '!$I$54&lt;&gt;"Ni rabais ni bonus",'SUIVI RABAIS PRODUCTION ET C '!$J$54,0))+IF('SUIVI RABAIS PRODUCTION ET C '!$O$64&lt;&gt;"/",'SUIVI RABAIS PRODUCTION ET C '!$O$64,0)+IF('SUIVI RABAIS PRODUCTION ET C '!$O$66&lt;&gt;"/",'SUIVI RABAIS PRODUCTION ET C '!$O$66,0))</f>
        <v>0</v>
      </c>
    </row>
  </sheetData>
  <mergeCells count="16">
    <mergeCell ref="AN45:AO45"/>
    <mergeCell ref="AN19:AO19"/>
    <mergeCell ref="B5:X5"/>
    <mergeCell ref="R28:R30"/>
    <mergeCell ref="AI28:AI30"/>
    <mergeCell ref="AJ28:AJ30"/>
    <mergeCell ref="AK28:AK30"/>
    <mergeCell ref="AL28:AL30"/>
    <mergeCell ref="B27:X27"/>
    <mergeCell ref="Y19:Z19"/>
    <mergeCell ref="B71:Q72"/>
    <mergeCell ref="O60:O62"/>
    <mergeCell ref="B61:K62"/>
    <mergeCell ref="B13:X13"/>
    <mergeCell ref="B1:K2"/>
    <mergeCell ref="B50:L51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3bd3a5-63dc-4f73-ab10-5e645ea71d0d" xsi:nil="true"/>
    <lcf76f155ced4ddcb4097134ff3c332f xmlns="fcfdd0da-70d5-4e44-8e63-13bdca559fc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E1CFF655280409104242688CE3B2D" ma:contentTypeVersion="16" ma:contentTypeDescription="Crée un document." ma:contentTypeScope="" ma:versionID="69a002a9c86aa4fa5d5a826b68e98db7">
  <xsd:schema xmlns:xsd="http://www.w3.org/2001/XMLSchema" xmlns:xs="http://www.w3.org/2001/XMLSchema" xmlns:p="http://schemas.microsoft.com/office/2006/metadata/properties" xmlns:ns2="533bd3a5-63dc-4f73-ab10-5e645ea71d0d" xmlns:ns3="fcfdd0da-70d5-4e44-8e63-13bdca559fcd" targetNamespace="http://schemas.microsoft.com/office/2006/metadata/properties" ma:root="true" ma:fieldsID="f317eb00efe21e0f69551f68acb579df" ns2:_="" ns3:_="">
    <xsd:import namespace="533bd3a5-63dc-4f73-ab10-5e645ea71d0d"/>
    <xsd:import namespace="fcfdd0da-70d5-4e44-8e63-13bdca559f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bd3a5-63dc-4f73-ab10-5e645ea71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fe2e23e-2858-4f24-aeab-d7f9dc79f6f1}" ma:internalName="TaxCatchAll" ma:showField="CatchAllData" ma:web="533bd3a5-63dc-4f73-ab10-5e645ea71d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dd0da-70d5-4e44-8e63-13bdca559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18f4e6d6-93ac-4a10-ae6e-7b443fa6b3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740440-02BC-43C7-B21F-BD2429B31A8C}">
  <ds:schemaRefs>
    <ds:schemaRef ds:uri="http://schemas.microsoft.com/office/2006/documentManagement/types"/>
    <ds:schemaRef ds:uri="http://schemas.microsoft.com/office/2006/metadata/properties"/>
    <ds:schemaRef ds:uri="533bd3a5-63dc-4f73-ab10-5e645ea71d0d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fcfdd0da-70d5-4e44-8e63-13bdca559fcd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A384D0A-7235-410F-B088-4DC55096C7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C347BE-493A-48D6-9F5D-DBAF96B8A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bd3a5-63dc-4f73-ab10-5e645ea71d0d"/>
    <ds:schemaRef ds:uri="fcfdd0da-70d5-4e44-8e63-13bdca559f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 LIRE</vt:lpstr>
      <vt:lpstr>RECAPITULATIF</vt:lpstr>
      <vt:lpstr>GES AVANT NOTIFICATION</vt:lpstr>
      <vt:lpstr>GES APRES NOTIFICATION </vt:lpstr>
      <vt:lpstr>CO-BENEFICES </vt:lpstr>
      <vt:lpstr>SUIVI RABAIS PRODUCTION ET C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Mathilde Scheuer</dc:creator>
  <cp:keywords/>
  <dc:description/>
  <cp:lastModifiedBy>Juliette DINE</cp:lastModifiedBy>
  <cp:revision/>
  <dcterms:created xsi:type="dcterms:W3CDTF">2018-08-24T08:28:57Z</dcterms:created>
  <dcterms:modified xsi:type="dcterms:W3CDTF">2023-09-01T15:31:39Z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0x0101002C7E1CFF655280409104242688CE3B2D</vt:lpwstr>
  </property>
  <property fmtid="{D5CDD505-2E9C-101B-9397-08002B2CF9AE}" pid="3" name="MediaServiceImageTags">
    <vt:lpwstr/>
  </property>
</Properties>
</file>