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ONNEES" sheetId="1" r:id="rId4"/>
    <sheet state="visible" name="ANNEXES" sheetId="2" r:id="rId5"/>
    <sheet state="visible" name="A LIRE" sheetId="3" r:id="rId6"/>
    <sheet state="visible" name="RECAPITULATIF" sheetId="4" r:id="rId7"/>
    <sheet state="visible" name="GES AVANT NOTIFICATION" sheetId="5" r:id="rId8"/>
    <sheet state="visible" name="GES APRES NOTIFICATION " sheetId="6" r:id="rId9"/>
    <sheet state="visible" name="CO-BENEFICES " sheetId="7" r:id="rId10"/>
    <sheet state="visible" name="SUIVI RABAIS PRODUCTION ET C " sheetId="8" r:id="rId11"/>
  </sheets>
  <definedNames/>
  <calcPr/>
  <extLst>
    <ext uri="GoogleSheetsCustomDataVersion1">
      <go:sheetsCustomData xmlns:go="http://customooxmlschemas.google.com/" r:id="rId12" roundtripDataSignature="AMtx7mjbaw6rZFmLKvrwaB0CjfRzibIOhw=="/>
    </ext>
  </extLst>
</workbook>
</file>

<file path=xl/sharedStrings.xml><?xml version="1.0" encoding="utf-8"?>
<sst xmlns="http://schemas.openxmlformats.org/spreadsheetml/2006/main" count="1574" uniqueCount="362">
  <si>
    <t>REFERENCE</t>
  </si>
  <si>
    <t>ANNEE 2017</t>
  </si>
  <si>
    <t>ANNEE 2018</t>
  </si>
  <si>
    <t>ANNEE 2019</t>
  </si>
  <si>
    <t>ANNEE 2020</t>
  </si>
  <si>
    <t>ANNEE 2021</t>
  </si>
  <si>
    <t>Type</t>
  </si>
  <si>
    <t>Achat (kg)</t>
  </si>
  <si>
    <t>Stock initial (kg)</t>
  </si>
  <si>
    <t>Stock final (kg)</t>
  </si>
  <si>
    <t>%N</t>
  </si>
  <si>
    <t>%P</t>
  </si>
  <si>
    <t>%K</t>
  </si>
  <si>
    <t>Engrais</t>
  </si>
  <si>
    <t>Ammonitrate 33,5%</t>
  </si>
  <si>
    <t>Engrais binaire PK</t>
  </si>
  <si>
    <t>Solution azotée</t>
  </si>
  <si>
    <t>Trisuperphosphate</t>
  </si>
  <si>
    <t>Phytosanitaires</t>
  </si>
  <si>
    <t>génériques</t>
  </si>
  <si>
    <t>Amendements calcomagnésiens</t>
  </si>
  <si>
    <t>Amendements organiques</t>
  </si>
  <si>
    <t>Compost moyen (déchets verts, biodéchets, boues, fumier, lisier)</t>
  </si>
  <si>
    <t>Amendements SOBAC</t>
  </si>
  <si>
    <t>PROJET</t>
  </si>
  <si>
    <t>ANNEE 2022</t>
  </si>
  <si>
    <t>ANNEE 2023</t>
  </si>
  <si>
    <t>ANNEE 2024</t>
  </si>
  <si>
    <t>ANNEE 2025</t>
  </si>
  <si>
    <t>ANNEE 2026</t>
  </si>
  <si>
    <r>
      <rPr>
        <rFont val="Calibri"/>
        <b/>
        <color theme="1"/>
        <sz val="11.0"/>
      </rPr>
      <t xml:space="preserve">Engrais
</t>
    </r>
    <r>
      <rPr>
        <rFont val="Calibri"/>
        <b/>
        <color rgb="FFED7D31"/>
        <sz val="11.0"/>
      </rPr>
      <t>(les engrais renseignés en scénario projet sont des engrais organiques et non minéraux : la condition zéro PK minéral est donc bien respectée)</t>
    </r>
  </si>
  <si>
    <t>Engrais NPK-1</t>
  </si>
  <si>
    <t>9,5</t>
  </si>
  <si>
    <t>Engrais NPK-2</t>
  </si>
  <si>
    <t>2,5</t>
  </si>
  <si>
    <t>Bactériosol concentré UAB</t>
  </si>
  <si>
    <t>PRODUCTION</t>
  </si>
  <si>
    <t>Rendements en rouge : rendement de référence Agreste</t>
  </si>
  <si>
    <t>PRODUCTIONS ANIMALES ET SURFACES</t>
  </si>
  <si>
    <t>PRODUCTIONS VETEGALES</t>
  </si>
  <si>
    <t>SAU</t>
  </si>
  <si>
    <t>Prairies permanentes</t>
  </si>
  <si>
    <t>Cultures pérennes</t>
  </si>
  <si>
    <t>Haies</t>
  </si>
  <si>
    <t>SFP</t>
  </si>
  <si>
    <t>UGB</t>
  </si>
  <si>
    <t>Quantités Lait (l)</t>
  </si>
  <si>
    <t>Quantités Viande (t)</t>
  </si>
  <si>
    <t>Avoine</t>
  </si>
  <si>
    <t>Blé</t>
  </si>
  <si>
    <t>Colza</t>
  </si>
  <si>
    <t>Féverole</t>
  </si>
  <si>
    <t>Orge hiver</t>
  </si>
  <si>
    <t>Orge printemps</t>
  </si>
  <si>
    <t>Pois</t>
  </si>
  <si>
    <t>Lentille</t>
  </si>
  <si>
    <t>Soja</t>
  </si>
  <si>
    <t>Tournesol</t>
  </si>
  <si>
    <t>Luzerne</t>
  </si>
  <si>
    <t>Triticale</t>
  </si>
  <si>
    <t>Epeautre</t>
  </si>
  <si>
    <t>Surface</t>
  </si>
  <si>
    <t>Rendements</t>
  </si>
  <si>
    <t>*rdt moyen méteil par défaut</t>
  </si>
  <si>
    <t>CO-BENEFICES</t>
  </si>
  <si>
    <t>Scénario</t>
  </si>
  <si>
    <t>Indicateur de fréquence de traitement</t>
  </si>
  <si>
    <t>IRRIGATION</t>
  </si>
  <si>
    <t>CONTRACTUALISATION</t>
  </si>
  <si>
    <t>Spécifique</t>
  </si>
  <si>
    <t>Herbicices</t>
  </si>
  <si>
    <t>Hors-herbicides</t>
  </si>
  <si>
    <t>Volumes d'eau</t>
  </si>
  <si>
    <t>MAEC</t>
  </si>
  <si>
    <t>AB</t>
  </si>
  <si>
    <t>Une MAEC « systèmes » ou bien correspondant à des enjeux agro-environnementaux localisés sur une zone du territoire a été contractualisée durant les 5 années du projet</t>
  </si>
  <si>
    <t>L'exloitation agricole a débuté sa conversion à l'agriculture biologique durant les 5 années du projet</t>
  </si>
  <si>
    <t>Non</t>
  </si>
  <si>
    <t>ENGRAIS</t>
  </si>
  <si>
    <t>AMENDEMENTS CALCO-MGN</t>
  </si>
  <si>
    <t>AMENDEMENTS SOBAC</t>
  </si>
  <si>
    <t>FACTEURS D'EMISSIONS</t>
  </si>
  <si>
    <t>FE N</t>
  </si>
  <si>
    <t>FE P</t>
  </si>
  <si>
    <t>FE K</t>
  </si>
  <si>
    <t>FE</t>
  </si>
  <si>
    <t>Unités N</t>
  </si>
  <si>
    <t>Ammonitrate anhydre</t>
  </si>
  <si>
    <t>Chaux vive</t>
  </si>
  <si>
    <t>Bactériosol concentré</t>
  </si>
  <si>
    <t>N2O direct engrais minéraux (kg N2O/kgN)</t>
  </si>
  <si>
    <t>Carbonate de calcium</t>
  </si>
  <si>
    <t>N2O direct autres sources d'azote (kgN2O/kgN)</t>
  </si>
  <si>
    <t>Ammonitrate calcaire 27%</t>
  </si>
  <si>
    <t>Dolomie</t>
  </si>
  <si>
    <t>Bactériosol booster 10</t>
  </si>
  <si>
    <t>N2O indirect N volatilisé engrais minéraux (kg N2O/kg N)</t>
  </si>
  <si>
    <t>écumes de sucrerie</t>
  </si>
  <si>
    <t>Bactériosol booster 50</t>
  </si>
  <si>
    <t>N2O indirect N volatilisé autres sources d'azote (kg N2O/kg N)</t>
  </si>
  <si>
    <t>Urée</t>
  </si>
  <si>
    <t>Bactériolit concentré</t>
  </si>
  <si>
    <t>N2O indirect N lixivié (kg N2O/kg N)</t>
  </si>
  <si>
    <t>Autres engrais azotés</t>
  </si>
  <si>
    <t>AMENDEMENTS ORGANIQUES</t>
  </si>
  <si>
    <t>Quaterna Plant</t>
  </si>
  <si>
    <t>Chaux calcaire</t>
  </si>
  <si>
    <t>Chaux dolomie</t>
  </si>
  <si>
    <t>Autres engrais phosphatés</t>
  </si>
  <si>
    <t>Compost de biodéchets (moins de 10% de déchets verts)</t>
  </si>
  <si>
    <t>PRODUITS PHYTOSANITAIRES</t>
  </si>
  <si>
    <t>Chlorure de Potasse</t>
  </si>
  <si>
    <t>Compost de biodéchets et de déchets verts</t>
  </si>
  <si>
    <t>FACTEUR DE CARACTERISATION</t>
  </si>
  <si>
    <t>Autres engrais potassiques</t>
  </si>
  <si>
    <t>Fumier (mix générique) stocké en surface ou en fosse</t>
  </si>
  <si>
    <t>Générique</t>
  </si>
  <si>
    <t>Fumier et fraction solide de lisier, séché thermiquement</t>
  </si>
  <si>
    <t>N2O (kg eq CO2/ kgN2O)</t>
  </si>
  <si>
    <t>Nitrate de potassium</t>
  </si>
  <si>
    <t>Engrais binaire NK</t>
  </si>
  <si>
    <t>Compost de fraction solide de digestat issu de fumier et de déchets verts</t>
  </si>
  <si>
    <t>Monoammonium phosphate</t>
  </si>
  <si>
    <t>Compost de lisier de porc + paille</t>
  </si>
  <si>
    <t>Diammonium phosphate</t>
  </si>
  <si>
    <t>Compost de fraction solide de lisier</t>
  </si>
  <si>
    <t>Fraction solide de digestat agricole, séché thermiquement et pelletisé</t>
  </si>
  <si>
    <t>Digestat de boues d’épuration</t>
  </si>
  <si>
    <t>Ce calculateur est une aide pour le calcul des réductions d'émissions et l'évaluation des rabais et bonus dans le cadre des projets utilisant la méthode SOBAC'ECO-TMM</t>
  </si>
  <si>
    <t>Tous les onglets hormis "A LIRE" et "RECAPITULATIF" sont à compléter
Veiller à bien dérouler l'ensemble des pages pour la saisie : 
Les saisies sont dans toute les zones de la feuille, la plupart des résultats sont dans les zones basses à droite.</t>
  </si>
  <si>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</si>
  <si>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</si>
  <si>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</si>
  <si>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</si>
  <si>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</si>
  <si>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</si>
  <si>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</si>
  <si>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teq CO2 sur 5 ans, soit</t>
  </si>
  <si>
    <t>teq CO2/ha/an</t>
  </si>
  <si>
    <t>GES après notification</t>
  </si>
  <si>
    <t>réduction des émissions du projet avant vérification des cobénéfices et rabais/bonus potentiels</t>
  </si>
  <si>
    <t>Réduction vérifiée (O/N)</t>
  </si>
  <si>
    <t>Réduction des engrais azotés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</si>
  <si>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</si>
  <si>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</si>
  <si>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</si>
  <si>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</si>
  <si>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</si>
  <si>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</si>
  <si>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</si>
  <si>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Valeur globale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</si>
  <si>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</si>
  <si>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</si>
  <si>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</si>
  <si>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</si>
  <si>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</si>
  <si>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</si>
  <si>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</si>
  <si>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</si>
  <si>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</si>
  <si>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</si>
  <si>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</si>
  <si>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</si>
  <si>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CHAUX ET AMENDEMENTS CALCO-MAGNESIENS</t>
  </si>
  <si>
    <t>AMENDEMENTS ORGANIQUES NFU 44-051</t>
  </si>
  <si>
    <t xml:space="preserve">Diammonium phosphate </t>
  </si>
  <si>
    <t>engrais NPK-1</t>
  </si>
  <si>
    <t>engrais NPK- 2</t>
  </si>
  <si>
    <t>chaux vive</t>
  </si>
  <si>
    <t>carbonate de calcium</t>
  </si>
  <si>
    <t>dolomie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</si>
  <si>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</si>
  <si>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</si>
  <si>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</si>
  <si>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</si>
  <si>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</si>
  <si>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</si>
  <si>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</si>
  <si>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</si>
  <si>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</si>
  <si>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</si>
  <si>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</si>
  <si>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2. QUANTITES CONSOMMEES D'INTRANTS ET CONVERSION EN UNITES N, P et K POUR LES ENGRAIS MINERAUX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</si>
  <si>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</si>
  <si>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</si>
  <si>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</si>
  <si>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</si>
  <si>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</si>
  <si>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</si>
  <si>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</si>
  <si>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</si>
  <si>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</si>
  <si>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</si>
  <si>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</si>
  <si>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</si>
  <si>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</si>
  <si>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</si>
  <si>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</si>
  <si>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</si>
  <si>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</si>
  <si>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</si>
  <si>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</si>
  <si>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</si>
  <si>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</si>
  <si>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Unités de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</si>
  <si>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</si>
  <si>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</si>
  <si>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</si>
  <si>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</si>
  <si>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</si>
  <si>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</si>
  <si>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</si>
  <si>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</si>
  <si>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</si>
  <si>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</si>
  <si>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</si>
  <si>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</si>
  <si>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</si>
  <si>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</si>
  <si>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</si>
  <si>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</si>
  <si>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</si>
  <si>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</si>
  <si>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</si>
  <si>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</si>
  <si>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</si>
  <si>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</si>
  <si>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</si>
  <si>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</si>
  <si>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</si>
  <si>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</si>
  <si>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</si>
  <si>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</si>
  <si>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</si>
  <si>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</si>
  <si>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</si>
  <si>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</si>
  <si>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Génériques</t>
  </si>
  <si>
    <t>Ecumes de sucrerie</t>
  </si>
  <si>
    <t>Amendement 4</t>
  </si>
  <si>
    <t>Autres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</si>
  <si>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</si>
  <si>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</si>
  <si>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</si>
  <si>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</si>
  <si>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</si>
  <si>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</si>
  <si>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</si>
  <si>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</si>
  <si>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</si>
  <si>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</si>
  <si>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</si>
  <si>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</si>
  <si>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</si>
  <si>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</si>
  <si>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</si>
  <si>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</si>
  <si>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</si>
  <si>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</si>
  <si>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</si>
  <si>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</si>
  <si>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</si>
  <si>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</si>
  <si>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</si>
  <si>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</si>
  <si>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</si>
  <si>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</si>
  <si>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</si>
  <si>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</si>
  <si>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</si>
  <si>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</si>
  <si>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</si>
  <si>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</si>
  <si>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</si>
  <si>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</si>
  <si>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</si>
  <si>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</si>
  <si>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</si>
  <si>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</si>
  <si>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</si>
  <si>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</si>
  <si>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</si>
  <si>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</si>
  <si>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</si>
  <si>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</si>
  <si>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</si>
  <si>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</si>
  <si>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engrais NPK-2</t>
  </si>
  <si>
    <t>N</t>
  </si>
  <si>
    <t>N+1</t>
  </si>
  <si>
    <t>N+2</t>
  </si>
  <si>
    <t>N+3</t>
  </si>
  <si>
    <t>N+4</t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</si>
  <si>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</si>
  <si>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r>
      <rPr>
        <rFont val="Calibri"/>
        <b/>
        <color theme="1"/>
        <sz val="11.0"/>
      </rPr>
      <t>TOTAUX kgeqCO</t>
    </r>
    <r>
      <rPr>
        <rFont val="Calibri"/>
        <b/>
        <color theme="1"/>
        <sz val="11.0"/>
        <vertAlign val="subscript"/>
      </rPr>
      <t>2</t>
    </r>
    <r>
      <rPr>
        <rFont val="Calibri"/>
        <b/>
        <color theme="1"/>
        <sz val="11.0"/>
      </rPr>
      <t>/ha</t>
    </r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</si>
  <si>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</si>
  <si>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</si>
  <si>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</si>
  <si>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</si>
  <si>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</si>
  <si>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</si>
  <si>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</si>
  <si>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</si>
  <si>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</si>
  <si>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</si>
  <si>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</si>
  <si>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</si>
  <si>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>année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</si>
  <si>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</si>
  <si>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</si>
  <si>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</si>
  <si>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</si>
  <si>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</si>
  <si>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</si>
  <si>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</si>
  <si>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</si>
  <si>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</si>
  <si>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</si>
  <si>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</si>
  <si>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</si>
  <si>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</si>
  <si>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</si>
  <si>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</si>
  <si>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 xml:space="preserve">Suivi de la production </t>
  </si>
  <si>
    <t>Déclaration des surfaces</t>
  </si>
  <si>
    <t>Avant la notification du Projet</t>
  </si>
  <si>
    <t>Après la notification du Projet</t>
  </si>
  <si>
    <t>SAU (ha)</t>
  </si>
  <si>
    <t>SFP (ha)</t>
  </si>
  <si>
    <t>Production animale</t>
  </si>
  <si>
    <t>Quantité de lait vendu (hL)</t>
  </si>
  <si>
    <t>Quantité de viande vendue en vif (t)</t>
  </si>
  <si>
    <t>rdt moyen référence par ha</t>
  </si>
  <si>
    <t>rdt moyen projet (t/ha)</t>
  </si>
  <si>
    <t>écart relatif -20%</t>
  </si>
  <si>
    <t>valeur du rabais ou bonus</t>
  </si>
  <si>
    <t>rendement moyen annuel lait (hL/ha)</t>
  </si>
  <si>
    <t>Elevage</t>
  </si>
  <si>
    <t>Global - Elevage &amp; Cultures</t>
  </si>
  <si>
    <t>rendement moyen annuel animal (UGB/haSFP)</t>
  </si>
  <si>
    <t>RABAIS ou BONUS ?</t>
  </si>
  <si>
    <t>Valeur du rabais ou du bonus</t>
  </si>
  <si>
    <t>rendement moyen annuel viande (tviandes/haSAU)</t>
  </si>
  <si>
    <t>Production végétale</t>
  </si>
  <si>
    <t>Année</t>
  </si>
  <si>
    <t>rdt moyen référence (t/ha)</t>
  </si>
  <si>
    <t>quantité vendue</t>
  </si>
  <si>
    <t>rdt moyen (t/ha)</t>
  </si>
  <si>
    <t>culture</t>
  </si>
  <si>
    <t>Cultures</t>
  </si>
  <si>
    <t>Suivi des surfaces : évolution du carbone du sol</t>
  </si>
  <si>
    <t>Avant la Notification du Projet</t>
  </si>
  <si>
    <t>Surface en prairies permanentes (ha)</t>
  </si>
  <si>
    <t>Surface en cultures pérennes (ha)</t>
  </si>
  <si>
    <t>surface en haies (ha)</t>
  </si>
  <si>
    <t>A la dernière année du Projet</t>
  </si>
  <si>
    <t>Suivi des contractualisations MAEC et conversion à l'agriculture biologique</t>
  </si>
  <si>
    <t xml:space="preserve">saisir O/N </t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</si>
  <si>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Une MAEC « systèmes » ou bien correspondant à des enjeux agro-environnementaux localisés sur une zone du territoire a été contractualisée durant les 5 années du projet</t>
    </r>
  </si>
  <si>
    <r>
      <rPr>
        <rFont val="Calibri"/>
        <color theme="1"/>
        <sz val="11.0"/>
      </rPr>
      <t xml:space="preserve">• </t>
    </r>
    <r>
      <rPr>
        <rFont val="Calibri"/>
        <color theme="1"/>
        <sz val="11.0"/>
      </rPr>
      <t>L'exloitation agricole a débuté sa conversion à l'agriculture biologique durant les 5 années du projet</t>
    </r>
  </si>
  <si>
    <t>Bonus et rabais : Valeur globale</t>
  </si>
  <si>
    <t>RABAIS ou BONUS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</si>
</sst>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0.000"/>
    <numFmt numFmtId="165" formatCode="0.0"/>
    <numFmt numFmtId="166" formatCode="_-* #,##0.00_-;\-* #,##0.00_-;_-* &quot;-&quot;??_-;_-@"/>
    <numFmt numFmtId="167" formatCode="0.0000"/>
    <numFmt numFmtId="168" formatCode="0.0%"/>
    <numFmt numFmtId="169" formatCode="0.00000"/>
    <numFmt numFmtId="170" formatCode="0.0000000000000"/>
  </numFmts>
  <fonts count="28">
    <font>
      <sz val="11.0"/>
      <color theme="1"/>
      <name val="Calibri"/>
      <scheme val="minor"/>
    </font>
    <font>
      <sz val="11.0"/>
      <color theme="1"/>
      <name val="Calibri"/>
    </font>
    <font>
      <sz val="24.0"/>
      <color rgb="FFFFFFFF"/>
      <name val="Arial"/>
    </font>
    <font>
      <b/>
      <sz val="11.0"/>
      <color theme="0"/>
      <name val="Calibri"/>
    </font>
    <font/>
    <font>
      <b/>
      <sz val="11.0"/>
      <color rgb="FFFFFFFF"/>
      <name val="Calibri"/>
    </font>
    <font>
      <b/>
      <sz val="11.0"/>
      <color theme="1"/>
      <name val="Calibri"/>
    </font>
    <font>
      <sz val="24.0"/>
      <color theme="0"/>
      <name val="Arial"/>
    </font>
    <font>
      <sz val="11.0"/>
      <color rgb="FFEA4335"/>
      <name val="Calibri"/>
    </font>
    <font>
      <color theme="1"/>
      <name val="Calibri"/>
    </font>
    <font>
      <b/>
      <sz val="11.0"/>
      <color rgb="FFEA4335"/>
      <name val="Calibri"/>
    </font>
    <font>
      <sz val="24.0"/>
      <color rgb="FF741B47"/>
      <name val="Arial"/>
    </font>
    <font>
      <b/>
      <color theme="1"/>
      <name val="Calibri"/>
    </font>
    <font>
      <b/>
      <sz val="14.0"/>
      <color theme="0"/>
      <name val="Calibri"/>
    </font>
    <font>
      <b/>
      <sz val="14.0"/>
      <color rgb="FFFFFFFF"/>
      <name val="Calibri"/>
    </font>
    <font>
      <sz val="11.0"/>
      <color rgb="FFFF0000"/>
      <name val="Calibri"/>
    </font>
    <font>
      <b/>
      <u/>
      <sz val="11.0"/>
      <color theme="1"/>
      <name val="Calibri"/>
    </font>
    <font>
      <b/>
      <sz val="26.0"/>
      <color theme="1"/>
      <name val="Calibri"/>
    </font>
    <font>
      <sz val="11.0"/>
      <color theme="0"/>
      <name val="Calibri"/>
    </font>
    <font>
      <sz val="10.0"/>
      <color theme="1"/>
      <name val="Calibri"/>
    </font>
    <font>
      <sz val="11.0"/>
      <color rgb="FFFFFFFF"/>
      <name val="Calibri"/>
    </font>
    <font>
      <sz val="9.0"/>
      <color theme="1"/>
      <name val="Calibri"/>
    </font>
    <font>
      <sz val="7.0"/>
      <color theme="1"/>
      <name val="Calibri"/>
    </font>
    <font>
      <b/>
      <sz val="10.0"/>
      <color theme="1"/>
      <name val="Calibri"/>
    </font>
    <font>
      <b/>
      <sz val="18.0"/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b/>
      <sz val="9.0"/>
      <color theme="1"/>
      <name val="Calibri"/>
    </font>
  </fonts>
  <fills count="28">
    <fill>
      <patternFill patternType="none"/>
    </fill>
    <fill>
      <patternFill patternType="lightGray"/>
    </fill>
    <fill>
      <patternFill patternType="solid">
        <fgColor rgb="FFEA4335"/>
        <bgColor rgb="FFEA4335"/>
      </patternFill>
    </fill>
    <fill>
      <patternFill patternType="solid">
        <fgColor theme="1"/>
        <bgColor theme="1"/>
      </patternFill>
    </fill>
    <fill>
      <patternFill patternType="solid">
        <fgColor rgb="FF95B3D7"/>
        <bgColor rgb="FF95B3D7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  <fill>
      <patternFill patternType="solid">
        <fgColor rgb="FF7E9AC8"/>
        <bgColor rgb="FF7E9AC8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7030A0"/>
        <bgColor rgb="FF7030A0"/>
      </patternFill>
    </fill>
    <fill>
      <patternFill patternType="solid">
        <fgColor rgb="FF44546A"/>
        <bgColor rgb="FF44546A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C5E0B3"/>
        <bgColor rgb="FFC5E0B3"/>
      </patternFill>
    </fill>
    <fill>
      <patternFill patternType="solid">
        <fgColor rgb="FFBFBFBF"/>
        <bgColor rgb="FFBFBFBF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BDD6EE"/>
        <bgColor rgb="FFBDD6EE"/>
      </patternFill>
    </fill>
    <fill>
      <patternFill patternType="solid">
        <fgColor rgb="FFD0CECE"/>
        <bgColor rgb="FFD0CECE"/>
      </patternFill>
    </fill>
    <fill>
      <patternFill patternType="solid">
        <fgColor rgb="FFECECEC"/>
        <bgColor rgb="FFECECEC"/>
      </patternFill>
    </fill>
    <fill>
      <patternFill patternType="solid">
        <fgColor rgb="FF99FF66"/>
        <bgColor rgb="FF99FF66"/>
      </patternFill>
    </fill>
    <fill>
      <patternFill patternType="solid">
        <fgColor rgb="FFE7E6E6"/>
        <bgColor rgb="FFE7E6E6"/>
      </patternFill>
    </fill>
    <fill>
      <patternFill patternType="solid">
        <fgColor rgb="FFD8D8D8"/>
        <bgColor rgb="FFD8D8D8"/>
      </patternFill>
    </fill>
    <fill>
      <patternFill patternType="solid">
        <fgColor rgb="FFFF5050"/>
        <bgColor rgb="FFFF5050"/>
      </patternFill>
    </fill>
    <fill>
      <patternFill patternType="solid">
        <fgColor rgb="FF92D050"/>
        <bgColor rgb="FF92D050"/>
      </patternFill>
    </fill>
    <fill>
      <patternFill patternType="solid">
        <fgColor rgb="FFF7CAAC"/>
        <bgColor rgb="FFF7CAAC"/>
      </patternFill>
    </fill>
  </fills>
  <borders count="134">
    <border/>
    <border>
      <right style="medium">
        <color rgb="FFFFFFFF"/>
      </right>
      <bottom style="medium">
        <color rgb="FFFFFFFF"/>
      </bottom>
    </border>
    <border>
      <left style="medium">
        <color rgb="FFFFFFFF"/>
      </left>
      <right style="medium">
        <color rgb="FFFFFFFF"/>
      </right>
    </border>
    <border>
      <left style="medium">
        <color rgb="FFFFFFFF"/>
      </left>
      <bottom style="medium">
        <color rgb="FFFFFFFF"/>
      </bottom>
    </border>
    <border>
      <top style="medium">
        <color rgb="FFFFFFFF"/>
      </top>
      <bottom style="medium">
        <color rgb="FFFFFFFF"/>
      </bottom>
    </border>
    <border>
      <left style="medium">
        <color rgb="FFEA4335"/>
      </left>
      <right style="medium">
        <color rgb="FFEA4335"/>
      </right>
      <top style="medium">
        <color rgb="FFEA4335"/>
      </top>
      <bottom style="medium">
        <color rgb="FFEA4335"/>
      </bottom>
    </border>
    <border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FFFFFF"/>
      </left>
      <right style="medium">
        <color rgb="FFFFFFFF"/>
      </right>
      <bottom style="medium">
        <color rgb="FFFFFFFF"/>
      </bottom>
    </border>
    <border>
      <left style="medium">
        <color rgb="FFFFFFFF"/>
      </left>
      <top style="medium">
        <color rgb="FFFFFFFF"/>
      </top>
      <bottom style="medium">
        <color rgb="FFFFFFFF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</border>
    <border>
      <right style="medium">
        <color rgb="FF000000"/>
      </right>
    </border>
    <border>
      <top style="medium">
        <color rgb="FFFFFFFF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FFFFFF"/>
      </left>
      <right style="medium">
        <color rgb="FFFFFFFF"/>
      </right>
      <top style="medium">
        <color rgb="FFFFFFFF"/>
      </top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</border>
    <border>
      <right style="medium">
        <color rgb="FFFFFFFF"/>
      </right>
      <top style="medium">
        <color rgb="FFFFFFFF"/>
      </top>
    </border>
    <border>
      <left style="medium">
        <color rgb="FFFFFFFF"/>
      </left>
      <top style="medium">
        <color rgb="FFFFFFFF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bottom style="medium">
        <color rgb="FFFFFFFF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top/>
      <bottom/>
    </border>
    <border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/>
      <bottom/>
    </border>
    <border>
      <left style="thin">
        <color rgb="FF000000"/>
      </left>
      <right/>
      <top/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/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thin">
        <color theme="0"/>
      </left>
      <top style="thin">
        <color theme="0"/>
      </top>
      <bottom style="thin">
        <color theme="0"/>
      </bottom>
    </border>
    <border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top style="thick">
        <color theme="0"/>
      </top>
      <bottom style="thick">
        <color theme="0"/>
      </bottom>
    </border>
    <border>
      <right style="thick">
        <color theme="0"/>
      </right>
      <top style="thick">
        <color theme="0"/>
      </top>
      <bottom style="thick">
        <color theme="0"/>
      </bottom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theme="0"/>
      </left>
      <top style="thin">
        <color theme="0"/>
      </top>
      <bottom/>
    </border>
    <border>
      <right style="thin">
        <color theme="0"/>
      </right>
      <top style="thin">
        <color theme="0"/>
      </top>
      <bottom/>
    </border>
    <border>
      <left/>
      <right/>
      <top/>
    </border>
    <border>
      <left/>
      <right/>
    </border>
    <border>
      <left/>
      <right/>
      <bottom style="medium">
        <color rgb="FF000000"/>
      </bottom>
    </border>
  </borders>
  <cellStyleXfs count="1">
    <xf borderId="0" fillId="0" fontId="0" numFmtId="0" applyAlignment="1" applyFont="1"/>
  </cellStyleXfs>
  <cellXfs count="50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vertical="bottom"/>
    </xf>
    <xf borderId="2" fillId="0" fontId="1" numFmtId="0" xfId="0" applyAlignment="1" applyBorder="1" applyFont="1">
      <alignment vertical="bottom"/>
    </xf>
    <xf borderId="3" fillId="0" fontId="1" numFmtId="0" xfId="0" applyAlignment="1" applyBorder="1" applyFont="1">
      <alignment vertical="bottom"/>
    </xf>
    <xf borderId="4" fillId="0" fontId="1" numFmtId="0" xfId="0" applyAlignment="1" applyBorder="1" applyFont="1">
      <alignment vertical="bottom"/>
    </xf>
    <xf borderId="5" fillId="2" fontId="2" numFmtId="0" xfId="0" applyAlignment="1" applyBorder="1" applyFill="1" applyFont="1">
      <alignment shrinkToFit="0" vertical="bottom" wrapText="0"/>
    </xf>
    <xf borderId="5" fillId="2" fontId="1" numFmtId="0" xfId="0" applyAlignment="1" applyBorder="1" applyFont="1">
      <alignment shrinkToFit="0" vertical="bottom" wrapText="0"/>
    </xf>
    <xf borderId="6" fillId="0" fontId="1" numFmtId="0" xfId="0" applyAlignment="1" applyBorder="1" applyFont="1">
      <alignment vertical="bottom"/>
    </xf>
    <xf borderId="7" fillId="0" fontId="1" numFmtId="0" xfId="0" applyAlignment="1" applyBorder="1" applyFont="1">
      <alignment vertical="bottom"/>
    </xf>
    <xf borderId="8" fillId="0" fontId="1" numFmtId="0" xfId="0" applyAlignment="1" applyBorder="1" applyFont="1">
      <alignment vertical="bottom"/>
    </xf>
    <xf borderId="9" fillId="3" fontId="3" numFmtId="0" xfId="0" applyAlignment="1" applyBorder="1" applyFill="1" applyFont="1">
      <alignment horizontal="center" vertical="center"/>
    </xf>
    <xf borderId="10" fillId="3" fontId="3" numFmtId="0" xfId="0" applyAlignment="1" applyBorder="1" applyFont="1">
      <alignment horizontal="center" vertical="center"/>
    </xf>
    <xf borderId="11" fillId="0" fontId="4" numFmtId="0" xfId="0" applyBorder="1" applyFont="1"/>
    <xf borderId="12" fillId="0" fontId="4" numFmtId="0" xfId="0" applyBorder="1" applyFont="1"/>
    <xf borderId="10" fillId="3" fontId="5" numFmtId="0" xfId="0" applyAlignment="1" applyBorder="1" applyFont="1">
      <alignment horizontal="center" vertical="center"/>
    </xf>
    <xf borderId="13" fillId="4" fontId="3" numFmtId="0" xfId="0" applyAlignment="1" applyBorder="1" applyFill="1" applyFont="1">
      <alignment horizontal="center" shrinkToFit="0" textRotation="90" vertical="center" wrapText="1"/>
    </xf>
    <xf borderId="14" fillId="4" fontId="6" numFmtId="0" xfId="0" applyAlignment="1" applyBorder="1" applyFont="1">
      <alignment horizontal="center" shrinkToFit="0" vertical="center" wrapText="1"/>
    </xf>
    <xf borderId="0" fillId="4" fontId="6" numFmtId="0" xfId="0" applyAlignment="1" applyFont="1">
      <alignment horizontal="center" shrinkToFit="0" vertical="center" wrapText="1"/>
    </xf>
    <xf borderId="15" fillId="4" fontId="6" numFmtId="0" xfId="0" applyAlignment="1" applyBorder="1" applyFont="1">
      <alignment horizontal="center" shrinkToFit="0" vertical="center" wrapText="1"/>
    </xf>
    <xf borderId="16" fillId="0" fontId="1" numFmtId="0" xfId="0" applyAlignment="1" applyBorder="1" applyFont="1">
      <alignment vertical="bottom"/>
    </xf>
    <xf borderId="13" fillId="5" fontId="6" numFmtId="0" xfId="0" applyAlignment="1" applyBorder="1" applyFill="1" applyFont="1">
      <alignment horizontal="center" shrinkToFit="0" vertical="center" wrapText="1"/>
    </xf>
    <xf borderId="14" fillId="6" fontId="1" numFmtId="0" xfId="0" applyAlignment="1" applyBorder="1" applyFill="1" applyFont="1">
      <alignment vertical="bottom"/>
    </xf>
    <xf borderId="0" fillId="6" fontId="1" numFmtId="0" xfId="0" applyAlignment="1" applyFont="1">
      <alignment horizontal="right" vertical="bottom"/>
    </xf>
    <xf borderId="0" fillId="7" fontId="1" numFmtId="0" xfId="0" applyAlignment="1" applyFill="1" applyFont="1">
      <alignment horizontal="center" vertical="bottom"/>
    </xf>
    <xf borderId="15" fillId="7" fontId="1" numFmtId="0" xfId="0" applyAlignment="1" applyBorder="1" applyFont="1">
      <alignment horizontal="center" vertical="bottom"/>
    </xf>
    <xf borderId="0" fillId="0" fontId="1" numFmtId="0" xfId="0" applyAlignment="1" applyFont="1">
      <alignment vertical="bottom"/>
    </xf>
    <xf borderId="0" fillId="6" fontId="1" numFmtId="0" xfId="0" applyAlignment="1" applyFont="1">
      <alignment vertical="bottom"/>
    </xf>
    <xf borderId="13" fillId="0" fontId="4" numFmtId="0" xfId="0" applyBorder="1" applyFont="1"/>
    <xf borderId="14" fillId="4" fontId="6" numFmtId="0" xfId="0" applyAlignment="1" applyBorder="1" applyFont="1">
      <alignment horizontal="center"/>
    </xf>
    <xf borderId="0" fillId="4" fontId="6" numFmtId="0" xfId="0" applyAlignment="1" applyFont="1">
      <alignment horizontal="center"/>
    </xf>
    <xf borderId="15" fillId="0" fontId="4" numFmtId="0" xfId="0" applyBorder="1" applyFont="1"/>
    <xf borderId="14" fillId="6" fontId="1" numFmtId="0" xfId="0" applyAlignment="1" applyBorder="1" applyFont="1">
      <alignment readingOrder="0" vertical="bottom"/>
    </xf>
    <xf borderId="15" fillId="0" fontId="1" numFmtId="0" xfId="0" applyAlignment="1" applyBorder="1" applyFont="1">
      <alignment vertical="bottom"/>
    </xf>
    <xf borderId="0" fillId="6" fontId="1" numFmtId="0" xfId="0" applyFont="1"/>
    <xf borderId="0" fillId="6" fontId="1" numFmtId="4" xfId="0" applyAlignment="1" applyFont="1" applyNumberFormat="1">
      <alignment horizontal="center" vertical="bottom"/>
    </xf>
    <xf borderId="17" fillId="0" fontId="4" numFmtId="0" xfId="0" applyBorder="1" applyFont="1"/>
    <xf borderId="18" fillId="6" fontId="1" numFmtId="0" xfId="0" applyAlignment="1" applyBorder="1" applyFont="1">
      <alignment vertical="bottom"/>
    </xf>
    <xf borderId="19" fillId="6" fontId="1" numFmtId="0" xfId="0" applyBorder="1" applyFont="1"/>
    <xf borderId="19" fillId="0" fontId="4" numFmtId="0" xfId="0" applyBorder="1" applyFont="1"/>
    <xf borderId="20" fillId="0" fontId="4" numFmtId="0" xfId="0" applyBorder="1" applyFont="1"/>
    <xf borderId="6" fillId="5" fontId="1" numFmtId="0" xfId="0" applyAlignment="1" applyBorder="1" applyFont="1">
      <alignment vertical="bottom"/>
    </xf>
    <xf borderId="2" fillId="5" fontId="7" numFmtId="0" xfId="0" applyAlignment="1" applyBorder="1" applyFont="1">
      <alignment vertical="bottom"/>
    </xf>
    <xf borderId="21" fillId="5" fontId="1" numFmtId="0" xfId="0" applyAlignment="1" applyBorder="1" applyFont="1">
      <alignment vertical="bottom"/>
    </xf>
    <xf borderId="8" fillId="5" fontId="1" numFmtId="0" xfId="0" applyAlignment="1" applyBorder="1" applyFont="1">
      <alignment vertical="bottom"/>
    </xf>
    <xf borderId="14" fillId="4" fontId="6" numFmtId="0" xfId="0" applyAlignment="1" applyBorder="1" applyFont="1">
      <alignment horizontal="center" vertical="center"/>
    </xf>
    <xf borderId="0" fillId="4" fontId="6" numFmtId="0" xfId="0" applyAlignment="1" applyFont="1">
      <alignment horizontal="center" vertical="center"/>
    </xf>
    <xf borderId="21" fillId="0" fontId="1" numFmtId="0" xfId="0" applyAlignment="1" applyBorder="1" applyFont="1">
      <alignment vertical="bottom"/>
    </xf>
    <xf borderId="2" fillId="0" fontId="8" numFmtId="0" xfId="0" applyAlignment="1" applyBorder="1" applyFont="1">
      <alignment vertical="bottom"/>
    </xf>
    <xf borderId="4" fillId="0" fontId="9" numFmtId="0" xfId="0" applyBorder="1" applyFont="1"/>
    <xf borderId="4" fillId="0" fontId="6" numFmtId="0" xfId="0" applyAlignment="1" applyBorder="1" applyFont="1">
      <alignment vertical="bottom"/>
    </xf>
    <xf borderId="10" fillId="4" fontId="6" numFmtId="0" xfId="0" applyAlignment="1" applyBorder="1" applyFont="1">
      <alignment horizontal="center" shrinkToFit="0" vertical="center" wrapText="1"/>
    </xf>
    <xf borderId="14" fillId="0" fontId="4" numFmtId="0" xfId="0" applyBorder="1" applyFont="1"/>
    <xf borderId="14" fillId="5" fontId="6" numFmtId="0" xfId="0" applyAlignment="1" applyBorder="1" applyFont="1">
      <alignment horizontal="center" shrinkToFit="0" vertical="center" wrapText="1"/>
    </xf>
    <xf borderId="15" fillId="5" fontId="6" numFmtId="0" xfId="0" applyAlignment="1" applyBorder="1" applyFont="1">
      <alignment horizontal="center" shrinkToFit="0" vertical="center" wrapText="1"/>
    </xf>
    <xf borderId="14" fillId="6" fontId="1" numFmtId="0" xfId="0" applyBorder="1" applyFont="1"/>
    <xf borderId="0" fillId="7" fontId="1" numFmtId="0" xfId="0" applyFont="1"/>
    <xf borderId="15" fillId="6" fontId="1" numFmtId="0" xfId="0" applyBorder="1" applyFont="1"/>
    <xf borderId="15" fillId="6" fontId="10" numFmtId="0" xfId="0" applyBorder="1" applyFont="1"/>
    <xf borderId="17" fillId="5" fontId="6" numFmtId="0" xfId="0" applyAlignment="1" applyBorder="1" applyFont="1">
      <alignment horizontal="center" shrinkToFit="0" vertical="center" wrapText="1"/>
    </xf>
    <xf borderId="18" fillId="6" fontId="1" numFmtId="0" xfId="0" applyBorder="1" applyFont="1"/>
    <xf borderId="20" fillId="6" fontId="1" numFmtId="0" xfId="0" applyBorder="1" applyFont="1"/>
    <xf borderId="2" fillId="0" fontId="11" numFmtId="0" xfId="0" applyAlignment="1" applyBorder="1" applyFont="1">
      <alignment vertical="bottom"/>
    </xf>
    <xf borderId="7" fillId="0" fontId="11" numFmtId="0" xfId="0" applyAlignment="1" applyBorder="1" applyFont="1">
      <alignment vertical="bottom"/>
    </xf>
    <xf borderId="9" fillId="3" fontId="5" numFmtId="0" xfId="0" applyAlignment="1" applyBorder="1" applyFont="1">
      <alignment horizontal="center" vertical="center"/>
    </xf>
    <xf borderId="22" fillId="0" fontId="1" numFmtId="0" xfId="0" applyAlignment="1" applyBorder="1" applyFont="1">
      <alignment vertical="bottom"/>
    </xf>
    <xf borderId="13" fillId="4" fontId="6" numFmtId="0" xfId="0" applyAlignment="1" applyBorder="1" applyFont="1">
      <alignment horizontal="center" shrinkToFit="0" vertical="center" wrapText="1"/>
    </xf>
    <xf borderId="4" fillId="0" fontId="6" numFmtId="0" xfId="0" applyBorder="1" applyFont="1"/>
    <xf borderId="14" fillId="4" fontId="6" numFmtId="0" xfId="0" applyAlignment="1" applyBorder="1" applyFont="1">
      <alignment horizontal="center" shrinkToFit="0" wrapText="1"/>
    </xf>
    <xf borderId="0" fillId="4" fontId="6" numFmtId="0" xfId="0" applyAlignment="1" applyFont="1">
      <alignment horizontal="center" shrinkToFit="0" wrapText="1"/>
    </xf>
    <xf borderId="6" fillId="0" fontId="6" numFmtId="0" xfId="0" applyBorder="1" applyFont="1"/>
    <xf borderId="22" fillId="0" fontId="6" numFmtId="0" xfId="0" applyBorder="1" applyFont="1"/>
    <xf borderId="22" fillId="0" fontId="6" numFmtId="0" xfId="0" applyAlignment="1" applyBorder="1" applyFont="1">
      <alignment vertical="bottom"/>
    </xf>
    <xf borderId="8" fillId="0" fontId="6" numFmtId="0" xfId="0" applyAlignment="1" applyBorder="1" applyFont="1">
      <alignment vertical="bottom"/>
    </xf>
    <xf borderId="4" fillId="0" fontId="1" numFmtId="0" xfId="0" applyBorder="1" applyFont="1"/>
    <xf borderId="14" fillId="6" fontId="1" numFmtId="4" xfId="0" applyBorder="1" applyFont="1" applyNumberFormat="1"/>
    <xf borderId="14" fillId="0" fontId="12" numFmtId="0" xfId="0" applyAlignment="1" applyBorder="1" applyFont="1">
      <alignment horizontal="center" shrinkToFit="0" vertical="top" wrapText="1"/>
    </xf>
    <xf borderId="0" fillId="0" fontId="12" numFmtId="0" xfId="0" applyAlignment="1" applyFont="1">
      <alignment horizontal="center" shrinkToFit="0" vertical="top" wrapText="1"/>
    </xf>
    <xf borderId="6" fillId="0" fontId="1" numFmtId="0" xfId="0" applyBorder="1" applyFont="1"/>
    <xf borderId="22" fillId="0" fontId="1" numFmtId="0" xfId="0" applyBorder="1" applyFont="1"/>
    <xf borderId="18" fillId="6" fontId="1" numFmtId="4" xfId="0" applyBorder="1" applyFont="1" applyNumberFormat="1"/>
    <xf borderId="23" fillId="0" fontId="1" numFmtId="0" xfId="0" applyAlignment="1" applyBorder="1" applyFont="1">
      <alignment vertical="bottom"/>
    </xf>
    <xf borderId="21" fillId="0" fontId="9" numFmtId="0" xfId="0" applyBorder="1" applyFont="1"/>
    <xf borderId="24" fillId="0" fontId="1" numFmtId="0" xfId="0" applyAlignment="1" applyBorder="1" applyFont="1">
      <alignment vertical="bottom"/>
    </xf>
    <xf borderId="22" fillId="0" fontId="9" numFmtId="0" xfId="0" applyBorder="1" applyFont="1"/>
    <xf borderId="23" fillId="0" fontId="9" numFmtId="0" xfId="0" applyBorder="1" applyFont="1"/>
    <xf borderId="24" fillId="0" fontId="9" numFmtId="0" xfId="0" applyBorder="1" applyFont="1"/>
    <xf borderId="8" fillId="0" fontId="9" numFmtId="0" xfId="0" applyBorder="1" applyFont="1"/>
    <xf borderId="25" fillId="3" fontId="13" numFmtId="0" xfId="0" applyAlignment="1" applyBorder="1" applyFont="1">
      <alignment horizontal="center"/>
    </xf>
    <xf borderId="26" fillId="0" fontId="4" numFmtId="0" xfId="0" applyBorder="1" applyFont="1"/>
    <xf borderId="27" fillId="0" fontId="4" numFmtId="0" xfId="0" applyBorder="1" applyFont="1"/>
    <xf borderId="10" fillId="3" fontId="14" numFmtId="0" xfId="0" applyAlignment="1" applyBorder="1" applyFont="1">
      <alignment horizontal="center"/>
    </xf>
    <xf borderId="25" fillId="3" fontId="14" numFmtId="0" xfId="0" applyAlignment="1" applyBorder="1" applyFont="1">
      <alignment horizontal="center"/>
    </xf>
    <xf borderId="6" fillId="0" fontId="9" numFmtId="0" xfId="0" applyBorder="1" applyFont="1"/>
    <xf borderId="28" fillId="8" fontId="5" numFmtId="0" xfId="0" applyAlignment="1" applyBorder="1" applyFill="1" applyFont="1">
      <alignment horizontal="center" vertical="bottom"/>
    </xf>
    <xf borderId="29" fillId="8" fontId="5" numFmtId="0" xfId="0" applyAlignment="1" applyBorder="1" applyFont="1">
      <alignment horizontal="center" vertical="bottom"/>
    </xf>
    <xf borderId="30" fillId="8" fontId="5" numFmtId="0" xfId="0" applyAlignment="1" applyBorder="1" applyFont="1">
      <alignment horizontal="center" vertical="bottom"/>
    </xf>
    <xf borderId="31" fillId="8" fontId="5" numFmtId="0" xfId="0" applyAlignment="1" applyBorder="1" applyFont="1">
      <alignment horizontal="center" vertical="bottom"/>
    </xf>
    <xf borderId="14" fillId="8" fontId="5" numFmtId="0" xfId="0" applyAlignment="1" applyBorder="1" applyFont="1">
      <alignment horizontal="center" vertical="bottom"/>
    </xf>
    <xf borderId="0" fillId="8" fontId="5" numFmtId="0" xfId="0" applyAlignment="1" applyFont="1">
      <alignment horizontal="center" vertical="bottom"/>
    </xf>
    <xf borderId="15" fillId="8" fontId="5" numFmtId="0" xfId="0" applyAlignment="1" applyBorder="1" applyFont="1">
      <alignment horizontal="center" vertical="bottom"/>
    </xf>
    <xf borderId="32" fillId="7" fontId="9" numFmtId="0" xfId="0" applyAlignment="1" applyBorder="1" applyFont="1">
      <alignment shrinkToFit="0" wrapText="0"/>
    </xf>
    <xf borderId="33" fillId="7" fontId="9" numFmtId="0" xfId="0" applyBorder="1" applyFont="1"/>
    <xf borderId="34" fillId="7" fontId="9" numFmtId="0" xfId="0" applyBorder="1" applyFont="1"/>
    <xf borderId="15" fillId="7" fontId="9" numFmtId="0" xfId="0" applyBorder="1" applyFont="1"/>
    <xf borderId="14" fillId="7" fontId="9" numFmtId="0" xfId="0" applyBorder="1" applyFont="1"/>
    <xf borderId="0" fillId="7" fontId="9" numFmtId="0" xfId="0" applyFont="1"/>
    <xf borderId="16" fillId="0" fontId="9" numFmtId="0" xfId="0" applyBorder="1" applyFont="1"/>
    <xf borderId="18" fillId="7" fontId="9" numFmtId="0" xfId="0" applyBorder="1" applyFont="1"/>
    <xf borderId="19" fillId="7" fontId="9" numFmtId="0" xfId="0" applyBorder="1" applyFont="1"/>
    <xf borderId="20" fillId="7" fontId="9" numFmtId="0" xfId="0" applyBorder="1" applyFont="1"/>
    <xf borderId="2" fillId="0" fontId="9" numFmtId="0" xfId="0" applyBorder="1" applyFont="1"/>
    <xf borderId="33" fillId="5" fontId="9" numFmtId="0" xfId="0" applyBorder="1" applyFont="1"/>
    <xf borderId="35" fillId="0" fontId="9" numFmtId="0" xfId="0" applyBorder="1" applyFont="1"/>
    <xf borderId="0" fillId="0" fontId="9" numFmtId="0" xfId="0" applyFont="1"/>
    <xf borderId="1" fillId="0" fontId="9" numFmtId="0" xfId="0" applyBorder="1" applyFont="1"/>
    <xf borderId="7" fillId="0" fontId="9" numFmtId="0" xfId="0" applyBorder="1" applyFont="1"/>
    <xf borderId="36" fillId="7" fontId="9" numFmtId="0" xfId="0" applyAlignment="1" applyBorder="1" applyFont="1">
      <alignment shrinkToFit="0" wrapText="0"/>
    </xf>
    <xf borderId="37" fillId="5" fontId="9" numFmtId="0" xfId="0" applyBorder="1" applyFont="1"/>
    <xf borderId="38" fillId="7" fontId="9" numFmtId="0" xfId="0" applyBorder="1" applyFont="1"/>
    <xf borderId="3" fillId="0" fontId="9" numFmtId="0" xfId="0" applyBorder="1" applyFont="1"/>
    <xf borderId="0" fillId="0" fontId="1" numFmtId="0" xfId="0" applyFont="1"/>
    <xf borderId="0" fillId="0" fontId="1" numFmtId="0" xfId="0" applyAlignment="1" applyFont="1">
      <alignment horizontal="left" shrinkToFit="0" vertical="top" wrapText="1"/>
    </xf>
    <xf borderId="39" fillId="9" fontId="1" numFmtId="0" xfId="0" applyBorder="1" applyFill="1" applyFont="1"/>
    <xf borderId="0" fillId="0" fontId="15" numFmtId="0" xfId="0" applyFont="1"/>
    <xf borderId="39" fillId="10" fontId="1" numFmtId="0" xfId="0" applyBorder="1" applyFill="1" applyFont="1"/>
    <xf borderId="39" fillId="11" fontId="1" numFmtId="0" xfId="0" applyBorder="1" applyFill="1" applyFont="1"/>
    <xf borderId="0" fillId="0" fontId="16" numFmtId="0" xfId="0" applyFont="1"/>
    <xf borderId="40" fillId="10" fontId="3" numFmtId="164" xfId="0" applyBorder="1" applyFont="1" applyNumberFormat="1"/>
    <xf borderId="40" fillId="10" fontId="3" numFmtId="0" xfId="0" applyBorder="1" applyFont="1"/>
    <xf borderId="40" fillId="10" fontId="3" numFmtId="165" xfId="0" applyBorder="1" applyFont="1" applyNumberFormat="1"/>
    <xf borderId="0" fillId="0" fontId="1" numFmtId="0" xfId="0" applyAlignment="1" applyFont="1">
      <alignment horizontal="right" shrinkToFit="0" wrapText="1"/>
    </xf>
    <xf borderId="40" fillId="10" fontId="3" numFmtId="2" xfId="0" applyBorder="1" applyFont="1" applyNumberForma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right"/>
    </xf>
    <xf borderId="40" fillId="10" fontId="3" numFmtId="0" xfId="0" applyAlignment="1" applyBorder="1" applyFont="1">
      <alignment horizontal="center"/>
    </xf>
    <xf borderId="40" fillId="10" fontId="3" numFmtId="9" xfId="0" applyAlignment="1" applyBorder="1" applyFont="1" applyNumberFormat="1">
      <alignment horizontal="center"/>
    </xf>
    <xf borderId="0" fillId="0" fontId="1" numFmtId="166" xfId="0" applyFont="1" applyNumberFormat="1"/>
    <xf borderId="40" fillId="10" fontId="3" numFmtId="1" xfId="0" applyAlignment="1" applyBorder="1" applyFont="1" applyNumberFormat="1">
      <alignment horizontal="center"/>
    </xf>
    <xf borderId="41" fillId="10" fontId="3" numFmtId="0" xfId="0" applyAlignment="1" applyBorder="1" applyFont="1">
      <alignment horizontal="center"/>
    </xf>
    <xf borderId="0" fillId="0" fontId="1" numFmtId="0" xfId="0" applyAlignment="1" applyFont="1">
      <alignment shrinkToFit="0" wrapText="1"/>
    </xf>
    <xf borderId="0" fillId="0" fontId="15" numFmtId="0" xfId="0" applyAlignment="1" applyFont="1">
      <alignment shrinkToFit="0" wrapText="1"/>
    </xf>
    <xf borderId="0" fillId="0" fontId="1" numFmtId="9" xfId="0" applyFont="1" applyNumberFormat="1"/>
    <xf borderId="0" fillId="0" fontId="1" numFmtId="164" xfId="0" applyAlignment="1" applyFont="1" applyNumberFormat="1">
      <alignment horizontal="right"/>
    </xf>
    <xf borderId="0" fillId="0" fontId="1" numFmtId="167" xfId="0" applyFont="1" applyNumberFormat="1"/>
    <xf borderId="0" fillId="0" fontId="6" numFmtId="0" xfId="0" applyFont="1"/>
    <xf borderId="0" fillId="0" fontId="17" numFmtId="0" xfId="0" applyAlignment="1" applyFont="1">
      <alignment horizontal="left"/>
    </xf>
    <xf borderId="39" fillId="12" fontId="18" numFmtId="0" xfId="0" applyAlignment="1" applyBorder="1" applyFill="1" applyFont="1">
      <alignment horizontal="left" vertical="center"/>
    </xf>
    <xf borderId="39" fillId="12" fontId="17" numFmtId="0" xfId="0" applyAlignment="1" applyBorder="1" applyFont="1">
      <alignment horizontal="left"/>
    </xf>
    <xf borderId="42" fillId="12" fontId="17" numFmtId="0" xfId="0" applyAlignment="1" applyBorder="1" applyFont="1">
      <alignment horizontal="center"/>
    </xf>
    <xf borderId="43" fillId="0" fontId="4" numFmtId="0" xfId="0" applyBorder="1" applyFont="1"/>
    <xf borderId="39" fillId="12" fontId="17" numFmtId="0" xfId="0" applyAlignment="1" applyBorder="1" applyFont="1">
      <alignment horizontal="center"/>
    </xf>
    <xf borderId="39" fillId="12" fontId="17" numFmtId="0" xfId="0" applyBorder="1" applyFont="1"/>
    <xf borderId="25" fillId="13" fontId="1" numFmtId="0" xfId="0" applyAlignment="1" applyBorder="1" applyFill="1" applyFont="1">
      <alignment horizontal="center" vertical="center"/>
    </xf>
    <xf borderId="44" fillId="0" fontId="4" numFmtId="0" xfId="0" applyBorder="1" applyFont="1"/>
    <xf borderId="45" fillId="13" fontId="1" numFmtId="0" xfId="0" applyAlignment="1" applyBorder="1" applyFont="1">
      <alignment horizontal="center" vertical="center"/>
    </xf>
    <xf borderId="25" fillId="14" fontId="1" numFmtId="0" xfId="0" applyAlignment="1" applyBorder="1" applyFill="1" applyFont="1">
      <alignment horizontal="center" vertical="center"/>
    </xf>
    <xf borderId="25" fillId="15" fontId="1" numFmtId="0" xfId="0" applyAlignment="1" applyBorder="1" applyFill="1" applyFont="1">
      <alignment horizontal="center" vertical="center"/>
    </xf>
    <xf borderId="25" fillId="16" fontId="1" numFmtId="0" xfId="0" applyAlignment="1" applyBorder="1" applyFill="1" applyFont="1">
      <alignment horizontal="center" vertical="center"/>
    </xf>
    <xf borderId="45" fillId="16" fontId="1" numFmtId="0" xfId="0" applyAlignment="1" applyBorder="1" applyFon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46" fillId="0" fontId="1" numFmtId="0" xfId="0" applyAlignment="1" applyBorder="1" applyFont="1">
      <alignment horizontal="center" vertical="center"/>
    </xf>
    <xf borderId="47" fillId="0" fontId="4" numFmtId="0" xfId="0" applyBorder="1" applyFont="1"/>
    <xf borderId="48" fillId="0" fontId="4" numFmtId="0" xfId="0" applyBorder="1" applyFont="1"/>
    <xf borderId="49" fillId="0" fontId="1" numFmtId="0" xfId="0" applyAlignment="1" applyBorder="1" applyFont="1">
      <alignment horizontal="center" vertical="center"/>
    </xf>
    <xf borderId="50" fillId="0" fontId="4" numFmtId="0" xfId="0" applyBorder="1" applyFont="1"/>
    <xf borderId="51" fillId="0" fontId="1" numFmtId="0" xfId="0" applyAlignment="1" applyBorder="1" applyFont="1">
      <alignment horizontal="center" vertical="center"/>
    </xf>
    <xf borderId="46" fillId="17" fontId="1" numFmtId="0" xfId="0" applyAlignment="1" applyBorder="1" applyFill="1" applyFont="1">
      <alignment horizontal="center" vertical="center"/>
    </xf>
    <xf borderId="46" fillId="18" fontId="1" numFmtId="0" xfId="0" applyAlignment="1" applyBorder="1" applyFill="1" applyFont="1">
      <alignment horizontal="center" vertical="center"/>
    </xf>
    <xf borderId="49" fillId="18" fontId="1" numFmtId="0" xfId="0" applyAlignment="1" applyBorder="1" applyFont="1">
      <alignment horizontal="center" vertical="center"/>
    </xf>
    <xf borderId="46" fillId="9" fontId="1" numFmtId="0" xfId="0" applyAlignment="1" applyBorder="1" applyFont="1">
      <alignment horizontal="center" vertical="center"/>
    </xf>
    <xf borderId="49" fillId="9" fontId="1" numFmtId="0" xfId="0" applyAlignment="1" applyBorder="1" applyFont="1">
      <alignment horizontal="center" vertical="center"/>
    </xf>
    <xf borderId="49" fillId="0" fontId="1" numFmtId="0" xfId="0" applyAlignment="1" applyBorder="1" applyFont="1">
      <alignment horizontal="center" shrinkToFit="0" vertical="center" wrapText="1"/>
    </xf>
    <xf borderId="49" fillId="0" fontId="19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/>
    </xf>
    <xf borderId="28" fillId="0" fontId="1" numFmtId="0" xfId="0" applyAlignment="1" applyBorder="1" applyFont="1">
      <alignment horizontal="left" shrinkToFit="0" vertical="center" wrapText="1"/>
    </xf>
    <xf borderId="52" fillId="0" fontId="1" numFmtId="0" xfId="0" applyAlignment="1" applyBorder="1" applyFont="1">
      <alignment horizontal="left" shrinkToFit="0" vertical="center" wrapText="1"/>
    </xf>
    <xf borderId="53" fillId="0" fontId="1" numFmtId="0" xfId="0" applyAlignment="1" applyBorder="1" applyFont="1">
      <alignment horizontal="left" shrinkToFit="0" vertical="center" wrapText="1"/>
    </xf>
    <xf borderId="0" fillId="9" fontId="1" numFmtId="0" xfId="0" applyAlignment="1" applyFont="1">
      <alignment vertical="bottom"/>
    </xf>
    <xf borderId="51" fillId="9" fontId="1" numFmtId="0" xfId="0" applyAlignment="1" applyBorder="1" applyFont="1">
      <alignment vertical="bottom"/>
    </xf>
    <xf borderId="51" fillId="9" fontId="1" numFmtId="0" xfId="0" applyAlignment="1" applyBorder="1" applyFont="1">
      <alignment horizontal="right" vertical="bottom"/>
    </xf>
    <xf borderId="0" fillId="0" fontId="1" numFmtId="0" xfId="0" applyAlignment="1" applyFont="1">
      <alignment shrinkToFit="0" vertical="center" wrapText="1"/>
    </xf>
    <xf borderId="54" fillId="12" fontId="20" numFmtId="0" xfId="0" applyAlignment="1" applyBorder="1" applyFont="1">
      <alignment horizontal="left"/>
    </xf>
    <xf borderId="55" fillId="12" fontId="18" numFmtId="0" xfId="0" applyBorder="1" applyFont="1"/>
    <xf borderId="39" fillId="12" fontId="18" numFmtId="0" xfId="0" applyBorder="1" applyFont="1"/>
    <xf borderId="39" fillId="12" fontId="1" numFmtId="0" xfId="0" applyBorder="1" applyFont="1"/>
    <xf borderId="52" fillId="0" fontId="1" numFmtId="0" xfId="0" applyAlignment="1" applyBorder="1" applyFont="1">
      <alignment horizontal="center" vertical="center"/>
    </xf>
    <xf borderId="56" fillId="19" fontId="1" numFmtId="0" xfId="0" applyAlignment="1" applyBorder="1" applyFill="1" applyFont="1">
      <alignment horizontal="center" vertical="center"/>
    </xf>
    <xf borderId="57" fillId="0" fontId="4" numFmtId="0" xfId="0" applyBorder="1" applyFont="1"/>
    <xf borderId="58" fillId="0" fontId="4" numFmtId="0" xfId="0" applyBorder="1" applyFont="1"/>
    <xf borderId="39" fillId="19" fontId="1" numFmtId="0" xfId="0" applyAlignment="1" applyBorder="1" applyFont="1">
      <alignment horizontal="center" vertical="center"/>
    </xf>
    <xf borderId="54" fillId="14" fontId="1" numFmtId="0" xfId="0" applyAlignment="1" applyBorder="1" applyFont="1">
      <alignment horizontal="center" shrinkToFit="0" vertical="center" wrapText="1"/>
    </xf>
    <xf borderId="59" fillId="0" fontId="4" numFmtId="0" xfId="0" applyBorder="1" applyFont="1"/>
    <xf borderId="54" fillId="15" fontId="1" numFmtId="0" xfId="0" applyAlignment="1" applyBorder="1" applyFont="1">
      <alignment horizontal="center" vertical="center"/>
    </xf>
    <xf borderId="54" fillId="20" fontId="1" numFmtId="0" xfId="0" applyAlignment="1" applyBorder="1" applyFill="1" applyFont="1">
      <alignment horizontal="center" shrinkToFit="1" vertical="center" wrapText="0"/>
    </xf>
    <xf borderId="56" fillId="20" fontId="1" numFmtId="0" xfId="0" applyAlignment="1" applyBorder="1" applyFont="1">
      <alignment horizontal="center" vertical="center"/>
    </xf>
    <xf borderId="60" fillId="0" fontId="4" numFmtId="0" xfId="0" applyBorder="1" applyFont="1"/>
    <xf borderId="25" fillId="13" fontId="1" numFmtId="0" xfId="0" applyAlignment="1" applyBorder="1" applyFont="1">
      <alignment horizontal="center" shrinkToFit="1" vertical="center" wrapText="0"/>
    </xf>
    <xf borderId="10" fillId="17" fontId="1" numFmtId="0" xfId="0" applyAlignment="1" applyBorder="1" applyFont="1">
      <alignment horizontal="center" shrinkToFit="1" vertical="center" wrapText="0"/>
    </xf>
    <xf borderId="10" fillId="18" fontId="1" numFmtId="0" xfId="0" applyAlignment="1" applyBorder="1" applyFont="1">
      <alignment horizontal="center" shrinkToFit="1" vertical="center" wrapText="0"/>
    </xf>
    <xf borderId="61" fillId="0" fontId="4" numFmtId="0" xfId="0" applyBorder="1" applyFont="1"/>
    <xf borderId="62" fillId="18" fontId="1" numFmtId="0" xfId="0" applyAlignment="1" applyBorder="1" applyFont="1">
      <alignment horizontal="center" shrinkToFit="1" vertical="center" wrapText="0"/>
    </xf>
    <xf borderId="10" fillId="21" fontId="1" numFmtId="0" xfId="0" applyAlignment="1" applyBorder="1" applyFill="1" applyFont="1">
      <alignment horizontal="center" shrinkToFit="1" vertical="center" wrapText="0"/>
    </xf>
    <xf borderId="62" fillId="21" fontId="1" numFmtId="0" xfId="0" applyAlignment="1" applyBorder="1" applyFont="1">
      <alignment horizontal="center" shrinkToFit="1" vertical="center" wrapText="0"/>
    </xf>
    <xf borderId="62" fillId="0" fontId="1" numFmtId="0" xfId="0" applyAlignment="1" applyBorder="1" applyFont="1">
      <alignment horizontal="center" shrinkToFit="0" vertical="center" wrapText="1"/>
    </xf>
    <xf borderId="62" fillId="0" fontId="19" numFmtId="0" xfId="0" applyAlignment="1" applyBorder="1" applyFont="1">
      <alignment horizontal="center" shrinkToFit="0" vertical="center" wrapText="1"/>
    </xf>
    <xf borderId="62" fillId="0" fontId="21" numFmtId="0" xfId="0" applyAlignment="1" applyBorder="1" applyFont="1">
      <alignment horizontal="center" shrinkToFit="0" vertical="center" wrapText="1"/>
    </xf>
    <xf borderId="46" fillId="0" fontId="1" numFmtId="0" xfId="0" applyAlignment="1" applyBorder="1" applyFont="1">
      <alignment horizontal="center" shrinkToFit="1" vertical="center" wrapText="0"/>
    </xf>
    <xf borderId="49" fillId="0" fontId="1" numFmtId="0" xfId="0" applyAlignment="1" applyBorder="1" applyFont="1">
      <alignment horizontal="center" shrinkToFit="1" vertical="center" wrapText="0"/>
    </xf>
    <xf borderId="49" fillId="0" fontId="1" numFmtId="0" xfId="0" applyAlignment="1" applyBorder="1" applyFont="1">
      <alignment horizontal="center"/>
    </xf>
    <xf borderId="34" fillId="0" fontId="4" numFmtId="0" xfId="0" applyBorder="1" applyFont="1"/>
    <xf borderId="33" fillId="0" fontId="4" numFmtId="0" xfId="0" applyBorder="1" applyFont="1"/>
    <xf borderId="28" fillId="0" fontId="1" numFmtId="0" xfId="0" applyAlignment="1" applyBorder="1" applyFont="1">
      <alignment horizontal="center" shrinkToFit="1" vertical="center" wrapText="0"/>
    </xf>
    <xf borderId="52" fillId="0" fontId="1" numFmtId="0" xfId="0" applyAlignment="1" applyBorder="1" applyFont="1">
      <alignment horizontal="center" shrinkToFit="1" vertical="center" wrapText="0"/>
    </xf>
    <xf borderId="63" fillId="0" fontId="4" numFmtId="0" xfId="0" applyBorder="1" applyFont="1"/>
    <xf borderId="64" fillId="0" fontId="4" numFmtId="0" xfId="0" applyBorder="1" applyFont="1"/>
    <xf borderId="65" fillId="0" fontId="4" numFmtId="0" xfId="0" applyBorder="1" applyFont="1"/>
    <xf borderId="66" fillId="0" fontId="4" numFmtId="0" xfId="0" applyBorder="1" applyFont="1"/>
    <xf borderId="67" fillId="0" fontId="4" numFmtId="0" xfId="0" applyBorder="1" applyFont="1"/>
    <xf borderId="68" fillId="0" fontId="4" numFmtId="0" xfId="0" applyBorder="1" applyFont="1"/>
    <xf borderId="69" fillId="0" fontId="1" numFmtId="0" xfId="0" applyAlignment="1" applyBorder="1" applyFont="1">
      <alignment horizontal="center" shrinkToFit="1" vertical="center" wrapText="0"/>
    </xf>
    <xf borderId="51" fillId="0" fontId="1" numFmtId="0" xfId="0" applyAlignment="1" applyBorder="1" applyFont="1">
      <alignment horizontal="center" shrinkToFit="1" vertical="center" wrapText="0"/>
    </xf>
    <xf borderId="70" fillId="0" fontId="1" numFmtId="0" xfId="0" applyAlignment="1" applyBorder="1" applyFont="1">
      <alignment horizontal="center" shrinkToFit="1" vertical="center" wrapText="0"/>
    </xf>
    <xf borderId="71" fillId="0" fontId="4" numFmtId="0" xfId="0" applyBorder="1" applyFont="1"/>
    <xf borderId="69" fillId="0" fontId="1" numFmtId="0" xfId="0" applyAlignment="1" applyBorder="1" applyFont="1">
      <alignment shrinkToFit="1" vertical="center" wrapText="0"/>
    </xf>
    <xf borderId="70" fillId="0" fontId="1" numFmtId="0" xfId="0" applyAlignment="1" applyBorder="1" applyFont="1">
      <alignment shrinkToFit="1" vertical="center" wrapText="0"/>
    </xf>
    <xf borderId="51" fillId="0" fontId="1" numFmtId="0" xfId="0" applyAlignment="1" applyBorder="1" applyFont="1">
      <alignment shrinkToFit="1" vertical="center" wrapText="0"/>
    </xf>
    <xf borderId="69" fillId="0" fontId="1" numFmtId="0" xfId="0" applyAlignment="1" applyBorder="1" applyFont="1">
      <alignment horizontal="center" vertical="center"/>
    </xf>
    <xf borderId="51" fillId="0" fontId="1" numFmtId="9" xfId="0" applyAlignment="1" applyBorder="1" applyFont="1" applyNumberFormat="1">
      <alignment horizontal="center" vertical="center"/>
    </xf>
    <xf borderId="52" fillId="22" fontId="1" numFmtId="0" xfId="0" applyAlignment="1" applyBorder="1" applyFill="1" applyFont="1">
      <alignment horizontal="center" vertical="center"/>
    </xf>
    <xf borderId="51" fillId="0" fontId="1" numFmtId="10" xfId="0" applyAlignment="1" applyBorder="1" applyFont="1" applyNumberFormat="1">
      <alignment horizontal="center" vertical="center"/>
    </xf>
    <xf borderId="51" fillId="0" fontId="1" numFmtId="0" xfId="0" applyAlignment="1" applyBorder="1" applyFont="1">
      <alignment horizontal="center"/>
    </xf>
    <xf borderId="51" fillId="9" fontId="1" numFmtId="168" xfId="0" applyAlignment="1" applyBorder="1" applyFont="1" applyNumberFormat="1">
      <alignment horizontal="center"/>
    </xf>
    <xf borderId="51" fillId="22" fontId="1" numFmtId="9" xfId="0" applyAlignment="1" applyBorder="1" applyFont="1" applyNumberFormat="1">
      <alignment horizontal="center"/>
    </xf>
    <xf borderId="51" fillId="0" fontId="1" numFmtId="9" xfId="0" applyAlignment="1" applyBorder="1" applyFont="1" applyNumberFormat="1">
      <alignment horizontal="center"/>
    </xf>
    <xf borderId="53" fillId="22" fontId="1" numFmtId="0" xfId="0" applyAlignment="1" applyBorder="1" applyFont="1">
      <alignment horizontal="center" vertical="center"/>
    </xf>
    <xf borderId="69" fillId="0" fontId="1" numFmtId="0" xfId="0" applyAlignment="1" applyBorder="1" applyFont="1">
      <alignment horizontal="center"/>
    </xf>
    <xf borderId="51" fillId="0" fontId="1" numFmtId="9" xfId="0" applyBorder="1" applyFont="1" applyNumberFormat="1"/>
    <xf borderId="28" fillId="0" fontId="1" numFmtId="0" xfId="0" applyAlignment="1" applyBorder="1" applyFont="1">
      <alignment horizontal="center" vertical="center"/>
    </xf>
    <xf borderId="52" fillId="9" fontId="1" numFmtId="164" xfId="0" applyAlignment="1" applyBorder="1" applyFont="1" applyNumberFormat="1">
      <alignment horizontal="center" vertical="center"/>
    </xf>
    <xf borderId="51" fillId="0" fontId="1" numFmtId="0" xfId="0" applyBorder="1" applyFont="1"/>
    <xf borderId="72" fillId="0" fontId="4" numFmtId="0" xfId="0" applyBorder="1" applyFont="1"/>
    <xf borderId="73" fillId="0" fontId="1" numFmtId="0" xfId="0" applyAlignment="1" applyBorder="1" applyFont="1">
      <alignment horizontal="center" vertical="center"/>
    </xf>
    <xf borderId="74" fillId="0" fontId="1" numFmtId="9" xfId="0" applyAlignment="1" applyBorder="1" applyFont="1" applyNumberFormat="1">
      <alignment horizontal="center" vertical="center"/>
    </xf>
    <xf borderId="74" fillId="0" fontId="1" numFmtId="0" xfId="0" applyAlignment="1" applyBorder="1" applyFont="1">
      <alignment horizontal="center" vertical="center"/>
    </xf>
    <xf borderId="75" fillId="0" fontId="4" numFmtId="0" xfId="0" applyBorder="1" applyFont="1"/>
    <xf borderId="74" fillId="0" fontId="1" numFmtId="10" xfId="0" applyAlignment="1" applyBorder="1" applyFont="1" applyNumberFormat="1">
      <alignment horizontal="center" vertical="center"/>
    </xf>
    <xf borderId="74" fillId="0" fontId="1" numFmtId="0" xfId="0" applyAlignment="1" applyBorder="1" applyFont="1">
      <alignment horizontal="center"/>
    </xf>
    <xf borderId="74" fillId="9" fontId="1" numFmtId="168" xfId="0" applyAlignment="1" applyBorder="1" applyFont="1" applyNumberFormat="1">
      <alignment horizontal="center"/>
    </xf>
    <xf borderId="74" fillId="0" fontId="1" numFmtId="165" xfId="0" applyAlignment="1" applyBorder="1" applyFont="1" applyNumberFormat="1">
      <alignment horizontal="center"/>
    </xf>
    <xf borderId="74" fillId="22" fontId="1" numFmtId="9" xfId="0" applyAlignment="1" applyBorder="1" applyFont="1" applyNumberFormat="1">
      <alignment horizontal="center"/>
    </xf>
    <xf borderId="74" fillId="0" fontId="1" numFmtId="9" xfId="0" applyAlignment="1" applyBorder="1" applyFont="1" applyNumberFormat="1">
      <alignment horizontal="center"/>
    </xf>
    <xf borderId="76" fillId="0" fontId="4" numFmtId="0" xfId="0" applyBorder="1" applyFont="1"/>
    <xf borderId="73" fillId="0" fontId="1" numFmtId="0" xfId="0" applyAlignment="1" applyBorder="1" applyFont="1">
      <alignment horizontal="center"/>
    </xf>
    <xf borderId="74" fillId="0" fontId="1" numFmtId="9" xfId="0" applyBorder="1" applyFont="1" applyNumberFormat="1"/>
    <xf borderId="74" fillId="0" fontId="1" numFmtId="0" xfId="0" applyBorder="1" applyFont="1"/>
    <xf borderId="51" fillId="12" fontId="18" numFmtId="0" xfId="0" applyAlignment="1" applyBorder="1" applyFont="1">
      <alignment horizontal="center" vertical="center"/>
    </xf>
    <xf borderId="77" fillId="12" fontId="18" numFmtId="0" xfId="0" applyAlignment="1" applyBorder="1" applyFont="1">
      <alignment horizontal="center" vertical="center"/>
    </xf>
    <xf borderId="68" fillId="12" fontId="18" numFmtId="0" xfId="0" applyAlignment="1" applyBorder="1" applyFont="1">
      <alignment horizontal="center"/>
    </xf>
    <xf borderId="77" fillId="12" fontId="18" numFmtId="0" xfId="0" applyAlignment="1" applyBorder="1" applyFont="1">
      <alignment horizontal="center"/>
    </xf>
    <xf borderId="78" fillId="12" fontId="18" numFmtId="0" xfId="0" applyAlignment="1" applyBorder="1" applyFont="1">
      <alignment horizontal="center" vertical="center"/>
    </xf>
    <xf borderId="0" fillId="0" fontId="18" numFmtId="0" xfId="0" applyAlignment="1" applyFont="1">
      <alignment horizontal="center" vertical="center"/>
    </xf>
    <xf borderId="79" fillId="12" fontId="18" numFmtId="0" xfId="0" applyAlignment="1" applyBorder="1" applyFont="1">
      <alignment horizontal="center" vertical="center"/>
    </xf>
    <xf borderId="0" fillId="0" fontId="18" numFmtId="0" xfId="0" applyAlignment="1" applyFont="1">
      <alignment horizontal="center"/>
    </xf>
    <xf borderId="39" fillId="12" fontId="18" numFmtId="0" xfId="0" applyAlignment="1" applyBorder="1" applyFont="1">
      <alignment horizontal="center"/>
    </xf>
    <xf borderId="60" fillId="0" fontId="1" numFmtId="0" xfId="0" applyAlignment="1" applyBorder="1" applyFont="1">
      <alignment horizontal="center" vertical="center"/>
    </xf>
    <xf borderId="80" fillId="12" fontId="18" numFmtId="0" xfId="0" applyAlignment="1" applyBorder="1" applyFont="1">
      <alignment vertical="center"/>
    </xf>
    <xf borderId="0" fillId="0" fontId="18" numFmtId="0" xfId="0" applyFont="1"/>
    <xf borderId="81" fillId="13" fontId="1" numFmtId="0" xfId="0" applyAlignment="1" applyBorder="1" applyFont="1">
      <alignment vertical="center"/>
    </xf>
    <xf borderId="82" fillId="13" fontId="1" numFmtId="0" xfId="0" applyAlignment="1" applyBorder="1" applyFont="1">
      <alignment vertical="center"/>
    </xf>
    <xf borderId="83" fillId="13" fontId="1" numFmtId="0" xfId="0" applyAlignment="1" applyBorder="1" applyFont="1">
      <alignment vertical="center"/>
    </xf>
    <xf borderId="81" fillId="17" fontId="1" numFmtId="0" xfId="0" applyAlignment="1" applyBorder="1" applyFont="1">
      <alignment shrinkToFit="1" vertical="center" wrapText="0"/>
    </xf>
    <xf borderId="49" fillId="20" fontId="1" numFmtId="0" xfId="0" applyAlignment="1" applyBorder="1" applyFont="1">
      <alignment horizontal="center" shrinkToFit="1" vertical="center" wrapText="0"/>
    </xf>
    <xf borderId="52" fillId="23" fontId="6" numFmtId="0" xfId="0" applyAlignment="1" applyBorder="1" applyFill="1" applyFont="1">
      <alignment horizontal="center" shrinkToFit="1" vertical="center" wrapText="0"/>
    </xf>
    <xf borderId="0" fillId="0" fontId="1" numFmtId="0" xfId="0" applyAlignment="1" applyFont="1">
      <alignment horizontal="center" vertical="center"/>
    </xf>
    <xf borderId="29" fillId="0" fontId="22" numFmtId="0" xfId="0" applyAlignment="1" applyBorder="1" applyFont="1">
      <alignment horizontal="center" shrinkToFit="1" vertical="center" wrapText="0"/>
    </xf>
    <xf borderId="52" fillId="0" fontId="22" numFmtId="0" xfId="0" applyAlignment="1" applyBorder="1" applyFont="1">
      <alignment horizontal="center" shrinkToFit="1" vertical="center" wrapText="0"/>
    </xf>
    <xf borderId="51" fillId="0" fontId="6" numFmtId="165" xfId="0" applyBorder="1" applyFont="1" applyNumberFormat="1"/>
    <xf borderId="0" fillId="0" fontId="1" numFmtId="20" xfId="0" applyFont="1" applyNumberFormat="1"/>
    <xf borderId="51" fillId="11" fontId="18" numFmtId="165" xfId="0" applyAlignment="1" applyBorder="1" applyFont="1" applyNumberFormat="1">
      <alignment horizontal="center" vertical="center"/>
    </xf>
    <xf borderId="39" fillId="12" fontId="18" numFmtId="0" xfId="0" applyAlignment="1" applyBorder="1" applyFont="1">
      <alignment vertical="center"/>
    </xf>
    <xf borderId="49" fillId="13" fontId="1" numFmtId="0" xfId="0" applyAlignment="1" applyBorder="1" applyFont="1">
      <alignment horizontal="center" vertical="center"/>
    </xf>
    <xf borderId="49" fillId="18" fontId="1" numFmtId="0" xfId="0" applyAlignment="1" applyBorder="1" applyFont="1">
      <alignment horizontal="center" shrinkToFit="1" vertical="center" wrapText="0"/>
    </xf>
    <xf borderId="49" fillId="20" fontId="1" numFmtId="0" xfId="0" applyAlignment="1" applyBorder="1" applyFont="1">
      <alignment horizontal="center" shrinkToFit="1" wrapText="0"/>
    </xf>
    <xf borderId="52" fillId="23" fontId="23" numFmtId="0" xfId="0" applyAlignment="1" applyBorder="1" applyFont="1">
      <alignment horizontal="center" shrinkToFit="1" vertical="center" wrapText="0"/>
    </xf>
    <xf borderId="29" fillId="0" fontId="22" numFmtId="0" xfId="0" applyAlignment="1" applyBorder="1" applyFont="1">
      <alignment shrinkToFit="1" vertical="center" wrapText="0"/>
    </xf>
    <xf borderId="84" fillId="24" fontId="22" numFmtId="0" xfId="0" applyAlignment="1" applyBorder="1" applyFill="1" applyFont="1">
      <alignment shrinkToFit="1" vertical="center" wrapText="0"/>
    </xf>
    <xf borderId="48" fillId="0" fontId="1" numFmtId="0" xfId="0" applyAlignment="1" applyBorder="1" applyFont="1">
      <alignment horizontal="center" vertical="center"/>
    </xf>
    <xf borderId="51" fillId="0" fontId="6" numFmtId="0" xfId="0" applyAlignment="1" applyBorder="1" applyFont="1">
      <alignment horizontal="center" vertical="center"/>
    </xf>
    <xf borderId="51" fillId="9" fontId="6" numFmtId="0" xfId="0" applyAlignment="1" applyBorder="1" applyFont="1">
      <alignment horizontal="center" vertical="center"/>
    </xf>
    <xf borderId="49" fillId="0" fontId="6" numFmtId="0" xfId="0" applyAlignment="1" applyBorder="1" applyFont="1">
      <alignment horizontal="center" vertical="center"/>
    </xf>
    <xf borderId="49" fillId="0" fontId="6" numFmtId="0" xfId="0" applyAlignment="1" applyBorder="1" applyFont="1">
      <alignment horizontal="center"/>
    </xf>
    <xf borderId="51" fillId="0" fontId="6" numFmtId="165" xfId="0" applyAlignment="1" applyBorder="1" applyFont="1" applyNumberFormat="1">
      <alignment horizontal="center" shrinkToFit="1" vertical="center" wrapText="0"/>
    </xf>
    <xf borderId="51" fillId="0" fontId="6" numFmtId="165" xfId="0" applyAlignment="1" applyBorder="1" applyFont="1" applyNumberFormat="1">
      <alignment horizontal="center" vertical="center"/>
    </xf>
    <xf borderId="10" fillId="0" fontId="6" numFmtId="0" xfId="0" applyAlignment="1" applyBorder="1" applyFont="1">
      <alignment horizontal="center" shrinkToFit="0" wrapText="1"/>
    </xf>
    <xf borderId="85" fillId="10" fontId="3" numFmtId="165" xfId="0" applyAlignment="1" applyBorder="1" applyFont="1" applyNumberFormat="1">
      <alignment horizontal="center" vertical="center"/>
    </xf>
    <xf borderId="20" fillId="0" fontId="1" numFmtId="0" xfId="0" applyBorder="1" applyFont="1"/>
    <xf borderId="51" fillId="0" fontId="1" numFmtId="165" xfId="0" applyAlignment="1" applyBorder="1" applyFont="1" applyNumberFormat="1">
      <alignment horizontal="center" vertical="center"/>
    </xf>
    <xf borderId="81" fillId="25" fontId="18" numFmtId="164" xfId="0" applyBorder="1" applyFill="1" applyFont="1" applyNumberFormat="1"/>
    <xf borderId="48" fillId="0" fontId="1" numFmtId="0" xfId="0" applyBorder="1" applyFont="1"/>
    <xf borderId="51" fillId="12" fontId="3" numFmtId="0" xfId="0" applyAlignment="1" applyBorder="1" applyFont="1">
      <alignment horizontal="center" vertical="center"/>
    </xf>
    <xf borderId="51" fillId="11" fontId="3" numFmtId="165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 vertical="center"/>
    </xf>
    <xf borderId="84" fillId="15" fontId="1" numFmtId="0" xfId="0" applyAlignment="1" applyBorder="1" applyFont="1">
      <alignment horizontal="left"/>
    </xf>
    <xf borderId="86" fillId="15" fontId="1" numFmtId="0" xfId="0" applyBorder="1" applyFont="1"/>
    <xf borderId="86" fillId="15" fontId="1" numFmtId="0" xfId="0" applyAlignment="1" applyBorder="1" applyFont="1">
      <alignment horizontal="right"/>
    </xf>
    <xf borderId="87" fillId="15" fontId="1" numFmtId="0" xfId="0" applyBorder="1" applyFont="1"/>
    <xf borderId="83" fillId="26" fontId="1" numFmtId="169" xfId="0" applyBorder="1" applyFill="1" applyFont="1" applyNumberFormat="1"/>
    <xf borderId="55" fillId="15" fontId="1" numFmtId="0" xfId="0" applyAlignment="1" applyBorder="1" applyFont="1">
      <alignment horizontal="left"/>
    </xf>
    <xf borderId="39" fillId="15" fontId="1" numFmtId="0" xfId="0" applyBorder="1" applyFont="1"/>
    <xf borderId="39" fillId="15" fontId="1" numFmtId="0" xfId="0" applyAlignment="1" applyBorder="1" applyFont="1">
      <alignment horizontal="right"/>
    </xf>
    <xf borderId="88" fillId="15" fontId="1" numFmtId="0" xfId="0" applyBorder="1" applyFont="1"/>
    <xf borderId="78" fillId="15" fontId="1" numFmtId="0" xfId="0" applyAlignment="1" applyBorder="1" applyFont="1">
      <alignment horizontal="left"/>
    </xf>
    <xf borderId="80" fillId="15" fontId="1" numFmtId="0" xfId="0" applyBorder="1" applyFont="1"/>
    <xf borderId="80" fillId="15" fontId="1" numFmtId="0" xfId="0" applyAlignment="1" applyBorder="1" applyFont="1">
      <alignment horizontal="right"/>
    </xf>
    <xf borderId="79" fillId="15" fontId="1" numFmtId="0" xfId="0" applyBorder="1" applyFont="1"/>
    <xf borderId="81" fillId="27" fontId="1" numFmtId="0" xfId="0" applyAlignment="1" applyBorder="1" applyFill="1" applyFont="1">
      <alignment horizontal="left"/>
    </xf>
    <xf borderId="82" fillId="27" fontId="1" numFmtId="0" xfId="0" applyBorder="1" applyFont="1"/>
    <xf borderId="51" fillId="27" fontId="1" numFmtId="0" xfId="0" applyBorder="1" applyFont="1"/>
    <xf borderId="51" fillId="0" fontId="1" numFmtId="0" xfId="0" applyAlignment="1" applyBorder="1" applyFont="1">
      <alignment shrinkToFit="1" wrapText="0"/>
    </xf>
    <xf borderId="51" fillId="24" fontId="1" numFmtId="0" xfId="0" applyAlignment="1" applyBorder="1" applyFont="1">
      <alignment shrinkToFit="1" wrapText="0"/>
    </xf>
    <xf borderId="51" fillId="0" fontId="1" numFmtId="2" xfId="0" applyBorder="1" applyFont="1" applyNumberFormat="1"/>
    <xf borderId="46" fillId="0" fontId="1" numFmtId="0" xfId="0" applyAlignment="1" applyBorder="1" applyFont="1">
      <alignment horizontal="center" shrinkToFit="0" vertical="center" wrapText="1"/>
    </xf>
    <xf borderId="69" fillId="0" fontId="1" numFmtId="0" xfId="0" applyAlignment="1" applyBorder="1" applyFont="1">
      <alignment horizontal="left" shrinkToFit="0" vertical="center" wrapText="1"/>
    </xf>
    <xf borderId="51" fillId="0" fontId="1" numFmtId="0" xfId="0" applyAlignment="1" applyBorder="1" applyFont="1">
      <alignment horizontal="left" shrinkToFit="0" vertical="center" wrapText="1"/>
    </xf>
    <xf borderId="70" fillId="0" fontId="1" numFmtId="0" xfId="0" applyAlignment="1" applyBorder="1" applyFont="1">
      <alignment horizontal="left" shrinkToFit="0" vertical="center" wrapText="1"/>
    </xf>
    <xf borderId="67" fillId="0" fontId="1" numFmtId="0" xfId="0" applyAlignment="1" applyBorder="1" applyFont="1">
      <alignment horizontal="left"/>
    </xf>
    <xf borderId="65" fillId="0" fontId="1" numFmtId="0" xfId="0" applyAlignment="1" applyBorder="1" applyFont="1">
      <alignment horizontal="left"/>
    </xf>
    <xf borderId="54" fillId="12" fontId="18" numFmtId="0" xfId="0" applyAlignment="1" applyBorder="1" applyFont="1">
      <alignment horizontal="left"/>
    </xf>
    <xf borderId="89" fillId="20" fontId="1" numFmtId="0" xfId="0" applyAlignment="1" applyBorder="1" applyFont="1">
      <alignment horizontal="center" shrinkToFit="1" vertical="center" wrapText="0"/>
    </xf>
    <xf borderId="90" fillId="0" fontId="4" numFmtId="0" xfId="0" applyBorder="1" applyFont="1"/>
    <xf borderId="91" fillId="0" fontId="4" numFmtId="0" xfId="0" applyBorder="1" applyFont="1"/>
    <xf borderId="10" fillId="0" fontId="1" numFmtId="0" xfId="0" applyAlignment="1" applyBorder="1" applyFont="1">
      <alignment horizontal="center" shrinkToFit="0" vertical="center" wrapText="1"/>
    </xf>
    <xf borderId="51" fillId="0" fontId="1" numFmtId="2" xfId="0" applyAlignment="1" applyBorder="1" applyFont="1" applyNumberFormat="1">
      <alignment horizontal="center" vertical="center"/>
    </xf>
    <xf borderId="51" fillId="9" fontId="1" numFmtId="168" xfId="0" applyAlignment="1" applyBorder="1" applyFont="1" applyNumberFormat="1">
      <alignment horizontal="center" vertical="center"/>
    </xf>
    <xf borderId="51" fillId="22" fontId="1" numFmtId="9" xfId="0" applyAlignment="1" applyBorder="1" applyFont="1" applyNumberFormat="1">
      <alignment horizontal="center" vertical="center"/>
    </xf>
    <xf borderId="51" fillId="0" fontId="1" numFmtId="9" xfId="0" applyAlignment="1" applyBorder="1" applyFont="1" applyNumberFormat="1">
      <alignment horizontal="right" vertical="center"/>
    </xf>
    <xf borderId="53" fillId="9" fontId="1" numFmtId="164" xfId="0" applyAlignment="1" applyBorder="1" applyFont="1" applyNumberFormat="1">
      <alignment horizontal="center" vertical="center"/>
    </xf>
    <xf borderId="51" fillId="0" fontId="1" numFmtId="0" xfId="0" applyAlignment="1" applyBorder="1" applyFont="1">
      <alignment horizontal="right" vertical="center"/>
    </xf>
    <xf borderId="51" fillId="9" fontId="1" numFmtId="168" xfId="0" applyAlignment="1" applyBorder="1" applyFont="1" applyNumberFormat="1">
      <alignment vertical="center"/>
    </xf>
    <xf borderId="77" fillId="12" fontId="18" numFmtId="2" xfId="0" applyAlignment="1" applyBorder="1" applyFont="1" applyNumberFormat="1">
      <alignment horizontal="center" vertical="center"/>
    </xf>
    <xf borderId="29" fillId="0" fontId="1" numFmtId="0" xfId="0" applyAlignment="1" applyBorder="1" applyFont="1">
      <alignment horizontal="center" vertical="center"/>
    </xf>
    <xf borderId="92" fillId="13" fontId="1" numFmtId="0" xfId="0" applyAlignment="1" applyBorder="1" applyFont="1">
      <alignment vertical="center"/>
    </xf>
    <xf borderId="93" fillId="13" fontId="1" numFmtId="0" xfId="0" applyAlignment="1" applyBorder="1" applyFont="1">
      <alignment vertical="center"/>
    </xf>
    <xf borderId="94" fillId="13" fontId="1" numFmtId="0" xfId="0" applyAlignment="1" applyBorder="1" applyFont="1">
      <alignment vertical="center"/>
    </xf>
    <xf borderId="95" fillId="17" fontId="1" numFmtId="0" xfId="0" applyAlignment="1" applyBorder="1" applyFont="1">
      <alignment shrinkToFit="1" vertical="center" wrapText="0"/>
    </xf>
    <xf borderId="25" fillId="18" fontId="1" numFmtId="0" xfId="0" applyAlignment="1" applyBorder="1" applyFont="1">
      <alignment horizontal="center" vertical="center"/>
    </xf>
    <xf borderId="25" fillId="20" fontId="1" numFmtId="0" xfId="0" applyAlignment="1" applyBorder="1" applyFont="1">
      <alignment horizontal="center" shrinkToFit="1" vertical="center" wrapText="0"/>
    </xf>
    <xf borderId="96" fillId="23" fontId="6" numFmtId="0" xfId="0" applyAlignment="1" applyBorder="1" applyFont="1">
      <alignment horizontal="center" shrinkToFit="1" vertical="center" wrapText="0"/>
    </xf>
    <xf borderId="97" fillId="0" fontId="1" numFmtId="0" xfId="0" applyAlignment="1" applyBorder="1" applyFont="1">
      <alignment horizontal="center" shrinkToFit="1" vertical="center" wrapText="0"/>
    </xf>
    <xf borderId="53" fillId="0" fontId="1" numFmtId="0" xfId="0" applyAlignment="1" applyBorder="1" applyFont="1">
      <alignment horizontal="center" shrinkToFit="1" vertical="center" wrapText="0"/>
    </xf>
    <xf borderId="98" fillId="0" fontId="22" numFmtId="0" xfId="0" applyAlignment="1" applyBorder="1" applyFont="1">
      <alignment horizontal="center" shrinkToFit="1" vertical="center" wrapText="0"/>
    </xf>
    <xf borderId="53" fillId="0" fontId="22" numFmtId="0" xfId="0" applyAlignment="1" applyBorder="1" applyFont="1">
      <alignment horizontal="center" shrinkToFit="1" vertical="center" wrapText="0"/>
    </xf>
    <xf borderId="99" fillId="0" fontId="4" numFmtId="0" xfId="0" applyBorder="1" applyFont="1"/>
    <xf borderId="32" fillId="0" fontId="4" numFmtId="0" xfId="0" applyBorder="1" applyFont="1"/>
    <xf borderId="100" fillId="0" fontId="4" numFmtId="0" xfId="0" applyBorder="1" applyFont="1"/>
    <xf borderId="101" fillId="0" fontId="4" numFmtId="0" xfId="0" applyBorder="1" applyFont="1"/>
    <xf borderId="102" fillId="0" fontId="4" numFmtId="0" xfId="0" applyBorder="1" applyFont="1"/>
    <xf borderId="70" fillId="0" fontId="1" numFmtId="0" xfId="0" applyAlignment="1" applyBorder="1" applyFont="1">
      <alignment horizontal="center" vertical="center"/>
    </xf>
    <xf borderId="103" fillId="0" fontId="1" numFmtId="0" xfId="0" applyAlignment="1" applyBorder="1" applyFont="1">
      <alignment horizontal="center" vertical="center"/>
    </xf>
    <xf borderId="48" fillId="0" fontId="6" numFmtId="165" xfId="0" applyBorder="1" applyFont="1" applyNumberFormat="1"/>
    <xf borderId="81" fillId="12" fontId="18" numFmtId="0" xfId="0" applyAlignment="1" applyBorder="1" applyFont="1">
      <alignment horizontal="center" vertical="center"/>
    </xf>
    <xf borderId="73" fillId="12" fontId="18" numFmtId="0" xfId="0" applyAlignment="1" applyBorder="1" applyFont="1">
      <alignment horizontal="center" vertical="center"/>
    </xf>
    <xf borderId="74" fillId="12" fontId="18" numFmtId="0" xfId="0" applyAlignment="1" applyBorder="1" applyFont="1">
      <alignment horizontal="center" vertical="center"/>
    </xf>
    <xf borderId="104" fillId="12" fontId="18" numFmtId="0" xfId="0" applyAlignment="1" applyBorder="1" applyFont="1">
      <alignment horizontal="center" vertical="center"/>
    </xf>
    <xf borderId="105" fillId="12" fontId="18" numFmtId="0" xfId="0" applyAlignment="1" applyBorder="1" applyFont="1">
      <alignment horizontal="center" vertical="center"/>
    </xf>
    <xf borderId="83" fillId="11" fontId="18" numFmtId="165" xfId="0" applyAlignment="1" applyBorder="1" applyFont="1" applyNumberFormat="1">
      <alignment horizontal="center" vertical="center"/>
    </xf>
    <xf borderId="10" fillId="0" fontId="6" numFmtId="0" xfId="0" applyAlignment="1" applyBorder="1" applyFont="1">
      <alignment horizontal="center" shrinkToFit="0" vertical="center" wrapText="1"/>
    </xf>
    <xf borderId="85" fillId="10" fontId="3" numFmtId="1" xfId="0" applyAlignment="1" applyBorder="1" applyFont="1" applyNumberFormat="1">
      <alignment horizontal="center"/>
    </xf>
    <xf borderId="81" fillId="25" fontId="18" numFmtId="165" xfId="0" applyBorder="1" applyFont="1" applyNumberFormat="1"/>
    <xf borderId="81" fillId="25" fontId="18" numFmtId="2" xfId="0" applyBorder="1" applyFont="1" applyNumberFormat="1"/>
    <xf borderId="0" fillId="0" fontId="1" numFmtId="170" xfId="0" applyFont="1" applyNumberFormat="1"/>
    <xf borderId="0" fillId="0" fontId="1" numFmtId="1" xfId="0" applyFont="1" applyNumberFormat="1"/>
    <xf borderId="0" fillId="24" fontId="1" numFmtId="0" xfId="0" applyAlignment="1" applyFont="1">
      <alignment horizontal="right" vertical="bottom"/>
    </xf>
    <xf borderId="51" fillId="24" fontId="1" numFmtId="0" xfId="0" applyAlignment="1" applyBorder="1" applyFont="1">
      <alignment horizontal="right" vertical="bottom"/>
    </xf>
    <xf borderId="0" fillId="0" fontId="24" numFmtId="0" xfId="0" applyAlignment="1" applyFont="1">
      <alignment horizontal="left" vertical="center"/>
    </xf>
    <xf borderId="0" fillId="0" fontId="25" numFmtId="0" xfId="0" applyAlignment="1" applyFont="1">
      <alignment horizontal="center"/>
    </xf>
    <xf borderId="106" fillId="0" fontId="6" numFmtId="0" xfId="0" applyBorder="1" applyFont="1"/>
    <xf borderId="107" fillId="0" fontId="26" numFmtId="0" xfId="0" applyAlignment="1" applyBorder="1" applyFont="1">
      <alignment horizontal="center"/>
    </xf>
    <xf borderId="40" fillId="9" fontId="1" numFmtId="0" xfId="0" applyBorder="1" applyFont="1"/>
    <xf borderId="51" fillId="0" fontId="6" numFmtId="0" xfId="0" applyAlignment="1" applyBorder="1" applyFont="1">
      <alignment horizontal="center" shrinkToFit="1" vertical="center" wrapText="0"/>
    </xf>
    <xf borderId="51" fillId="0" fontId="6" numFmtId="0" xfId="0" applyAlignment="1" applyBorder="1" applyFont="1">
      <alignment horizontal="center" shrinkToFit="0" vertical="center" wrapText="1"/>
    </xf>
    <xf borderId="77" fillId="9" fontId="1" numFmtId="0" xfId="0" applyAlignment="1" applyBorder="1" applyFont="1">
      <alignment horizontal="center" vertical="center"/>
    </xf>
    <xf borderId="77" fillId="9" fontId="1" numFmtId="164" xfId="0" applyAlignment="1" applyBorder="1" applyFont="1" applyNumberFormat="1">
      <alignment horizontal="center" vertical="center"/>
    </xf>
    <xf borderId="106" fillId="10" fontId="3" numFmtId="0" xfId="0" applyAlignment="1" applyBorder="1" applyFont="1">
      <alignment horizontal="right"/>
    </xf>
    <xf borderId="107" fillId="0" fontId="4" numFmtId="0" xfId="0" applyBorder="1" applyFont="1"/>
    <xf borderId="108" fillId="10" fontId="3" numFmtId="9" xfId="0" applyBorder="1" applyFont="1" applyNumberFormat="1"/>
    <xf borderId="109" fillId="10" fontId="3" numFmtId="0" xfId="0" applyBorder="1" applyFont="1"/>
    <xf borderId="0" fillId="0" fontId="1" numFmtId="165" xfId="0" applyFont="1" applyNumberFormat="1"/>
    <xf borderId="110" fillId="10" fontId="3" numFmtId="0" xfId="0" applyAlignment="1" applyBorder="1" applyFont="1">
      <alignment vertical="center"/>
    </xf>
    <xf borderId="108" fillId="10" fontId="3" numFmtId="0" xfId="0" applyAlignment="1" applyBorder="1" applyFont="1">
      <alignment vertical="center"/>
    </xf>
    <xf borderId="109" fillId="10" fontId="3" numFmtId="0" xfId="0" applyAlignment="1" applyBorder="1" applyFont="1">
      <alignment vertical="center"/>
    </xf>
    <xf borderId="111" fillId="10" fontId="3" numFmtId="0" xfId="0" applyAlignment="1" applyBorder="1" applyFont="1">
      <alignment horizontal="right"/>
    </xf>
    <xf borderId="112" fillId="0" fontId="4" numFmtId="0" xfId="0" applyBorder="1" applyFont="1"/>
    <xf borderId="113" fillId="10" fontId="3" numFmtId="9" xfId="0" applyBorder="1" applyFont="1" applyNumberFormat="1"/>
    <xf borderId="114" fillId="10" fontId="3" numFmtId="0" xfId="0" applyBorder="1" applyFont="1"/>
    <xf borderId="110" fillId="10" fontId="3" numFmtId="0" xfId="0" applyAlignment="1" applyBorder="1" applyFont="1">
      <alignment horizontal="left"/>
    </xf>
    <xf borderId="108" fillId="10" fontId="3" numFmtId="0" xfId="0" applyBorder="1" applyFont="1"/>
    <xf borderId="51" fillId="11" fontId="18" numFmtId="0" xfId="0" applyAlignment="1" applyBorder="1" applyFont="1">
      <alignment horizontal="center" shrinkToFit="0" vertical="center" wrapText="1"/>
    </xf>
    <xf borderId="51" fillId="11" fontId="18" numFmtId="0" xfId="0" applyAlignment="1" applyBorder="1" applyFont="1">
      <alignment horizontal="center" vertical="center"/>
    </xf>
    <xf borderId="0" fillId="0" fontId="18" numFmtId="0" xfId="0" applyAlignment="1" applyFont="1">
      <alignment horizontal="center" shrinkToFit="0" vertical="center" wrapText="1"/>
    </xf>
    <xf borderId="110" fillId="10" fontId="1" numFmtId="0" xfId="0" applyBorder="1" applyFont="1"/>
    <xf borderId="108" fillId="10" fontId="1" numFmtId="0" xfId="0" applyBorder="1" applyFont="1"/>
    <xf borderId="40" fillId="10" fontId="6" numFmtId="0" xfId="0" applyAlignment="1" applyBorder="1" applyFont="1">
      <alignment horizontal="center" vertical="center"/>
    </xf>
    <xf borderId="0" fillId="0" fontId="1" numFmtId="164" xfId="0" applyFont="1" applyNumberFormat="1"/>
    <xf borderId="115" fillId="10" fontId="1" numFmtId="0" xfId="0" applyBorder="1" applyFont="1"/>
    <xf borderId="116" fillId="10" fontId="1" numFmtId="0" xfId="0" applyBorder="1" applyFont="1"/>
    <xf borderId="51" fillId="0" fontId="6" numFmtId="0" xfId="0" applyAlignment="1" applyBorder="1" applyFont="1">
      <alignment horizontal="center" shrinkToFit="1" wrapText="0"/>
    </xf>
    <xf borderId="0" fillId="0" fontId="6" numFmtId="0" xfId="0" applyAlignment="1" applyFont="1">
      <alignment horizontal="center" shrinkToFit="1" wrapText="0"/>
    </xf>
    <xf borderId="77" fillId="9" fontId="1" numFmtId="4" xfId="0" applyAlignment="1" applyBorder="1" applyFont="1" applyNumberFormat="1">
      <alignment horizontal="center" vertical="center"/>
    </xf>
    <xf borderId="51" fillId="9" fontId="1" numFmtId="4" xfId="0" applyAlignment="1" applyBorder="1" applyFont="1" applyNumberFormat="1">
      <alignment horizontal="center" vertical="center"/>
    </xf>
    <xf borderId="106" fillId="10" fontId="18" numFmtId="0" xfId="0" applyAlignment="1" applyBorder="1" applyFont="1">
      <alignment horizontal="center"/>
    </xf>
    <xf borderId="117" fillId="0" fontId="4" numFmtId="0" xfId="0" applyBorder="1" applyFont="1"/>
    <xf borderId="110" fillId="10" fontId="18" numFmtId="9" xfId="0" applyBorder="1" applyFont="1" applyNumberFormat="1"/>
    <xf borderId="109" fillId="10" fontId="18" numFmtId="0" xfId="0" applyBorder="1" applyFont="1"/>
    <xf borderId="0" fillId="0" fontId="3" numFmtId="0" xfId="0" applyAlignment="1" applyFont="1">
      <alignment vertical="center"/>
    </xf>
    <xf borderId="51" fillId="11" fontId="3" numFmtId="0" xfId="0" applyAlignment="1" applyBorder="1" applyFont="1">
      <alignment horizontal="center" shrinkToFit="0" vertical="center" wrapText="1"/>
    </xf>
    <xf borderId="51" fillId="11" fontId="18" numFmtId="4" xfId="0" applyAlignment="1" applyBorder="1" applyFont="1" applyNumberFormat="1">
      <alignment horizontal="center" vertical="center"/>
    </xf>
    <xf borderId="106" fillId="10" fontId="1" numFmtId="0" xfId="0" applyAlignment="1" applyBorder="1" applyFont="1">
      <alignment horizontal="right" shrinkToFit="0" wrapText="1"/>
    </xf>
    <xf borderId="40" fillId="10" fontId="6" numFmtId="1" xfId="0" applyAlignment="1" applyBorder="1" applyFont="1" applyNumberFormat="1">
      <alignment horizontal="right" vertical="center"/>
    </xf>
    <xf borderId="42" fillId="9" fontId="6" numFmtId="0" xfId="0" applyAlignment="1" applyBorder="1" applyFont="1">
      <alignment horizontal="center"/>
    </xf>
    <xf borderId="0" fillId="0" fontId="1" numFmtId="2" xfId="0" applyFont="1" applyNumberFormat="1"/>
    <xf borderId="54" fillId="12" fontId="13" numFmtId="0" xfId="0" applyAlignment="1" applyBorder="1" applyFont="1">
      <alignment horizontal="left" vertical="center"/>
    </xf>
    <xf borderId="78" fillId="12" fontId="18" numFmtId="0" xfId="0" applyBorder="1" applyFont="1"/>
    <xf borderId="80" fillId="12" fontId="18" numFmtId="0" xfId="0" applyBorder="1" applyFont="1"/>
    <xf borderId="78" fillId="12" fontId="18" numFmtId="0" xfId="0" applyAlignment="1" applyBorder="1" applyFont="1">
      <alignment horizontal="left"/>
    </xf>
    <xf borderId="80" fillId="12" fontId="18" numFmtId="0" xfId="0" applyAlignment="1" applyBorder="1" applyFont="1">
      <alignment horizontal="left"/>
    </xf>
    <xf borderId="51" fillId="0" fontId="1" numFmtId="0" xfId="0" applyAlignment="1" applyBorder="1" applyFont="1">
      <alignment horizontal="center" shrinkToFit="0" vertical="center" wrapText="1"/>
    </xf>
    <xf borderId="51" fillId="0" fontId="19" numFmtId="0" xfId="0" applyAlignment="1" applyBorder="1" applyFont="1">
      <alignment horizontal="center" shrinkToFit="1" vertical="center" wrapText="0"/>
    </xf>
    <xf borderId="51" fillId="9" fontId="1" numFmtId="0" xfId="0" applyAlignment="1" applyBorder="1" applyFont="1">
      <alignment horizontal="center" vertical="center"/>
    </xf>
    <xf borderId="51" fillId="9" fontId="1" numFmtId="166" xfId="0" applyAlignment="1" applyBorder="1" applyFont="1" applyNumberFormat="1">
      <alignment horizontal="center" vertical="center"/>
    </xf>
    <xf borderId="40" fillId="0" fontId="6" numFmtId="0" xfId="0" applyAlignment="1" applyBorder="1" applyFont="1">
      <alignment horizontal="center" shrinkToFit="0" vertical="center" wrapText="1"/>
    </xf>
    <xf borderId="9" fillId="0" fontId="6" numFmtId="0" xfId="0" applyAlignment="1" applyBorder="1" applyFont="1">
      <alignment horizontal="center" shrinkToFit="1" vertical="center" wrapText="0"/>
    </xf>
    <xf borderId="51" fillId="0" fontId="1" numFmtId="0" xfId="0" applyAlignment="1" applyBorder="1" applyFont="1">
      <alignment horizontal="right"/>
    </xf>
    <xf borderId="85" fillId="11" fontId="3" numFmtId="166" xfId="0" applyAlignment="1" applyBorder="1" applyFont="1" applyNumberFormat="1">
      <alignment horizontal="center" vertical="center"/>
    </xf>
    <xf borderId="85" fillId="11" fontId="3" numFmtId="166" xfId="0" applyAlignment="1" applyBorder="1" applyFont="1" applyNumberFormat="1">
      <alignment horizontal="center" shrinkToFit="0" vertical="center" wrapText="1"/>
    </xf>
    <xf borderId="118" fillId="11" fontId="18" numFmtId="166" xfId="0" applyAlignment="1" applyBorder="1" applyFont="1" applyNumberFormat="1">
      <alignment horizontal="center" shrinkToFit="0" vertical="center" wrapText="1"/>
    </xf>
    <xf borderId="40" fillId="11" fontId="18" numFmtId="166" xfId="0" applyAlignment="1" applyBorder="1" applyFont="1" applyNumberFormat="1">
      <alignment horizontal="center" shrinkToFit="0" vertical="center" wrapText="1"/>
    </xf>
    <xf borderId="119" fillId="11" fontId="13" numFmtId="0" xfId="0" applyAlignment="1" applyBorder="1" applyFont="1">
      <alignment horizontal="center" shrinkToFit="0" vertical="center" wrapText="1"/>
    </xf>
    <xf borderId="120" fillId="0" fontId="4" numFmtId="0" xfId="0" applyBorder="1" applyFont="1"/>
    <xf borderId="121" fillId="11" fontId="13" numFmtId="0" xfId="0" applyAlignment="1" applyBorder="1" applyFont="1">
      <alignment horizontal="center" shrinkToFit="0" vertical="center" wrapText="1"/>
    </xf>
    <xf borderId="122" fillId="0" fontId="4" numFmtId="0" xfId="0" applyBorder="1" applyFont="1"/>
    <xf borderId="123" fillId="11" fontId="3" numFmtId="0" xfId="0" applyAlignment="1" applyBorder="1" applyFont="1">
      <alignment horizontal="center" shrinkToFit="0" vertical="center" wrapText="1"/>
    </xf>
    <xf borderId="124" fillId="11" fontId="3" numFmtId="0" xfId="0" applyAlignment="1" applyBorder="1" applyFont="1">
      <alignment horizontal="center" shrinkToFit="0" vertical="center" wrapText="1"/>
    </xf>
    <xf borderId="123" fillId="11" fontId="18" numFmtId="0" xfId="0" applyAlignment="1" applyBorder="1" applyFont="1">
      <alignment horizontal="center" shrinkToFit="0" vertical="center" wrapText="1"/>
    </xf>
    <xf borderId="123" fillId="11" fontId="18" numFmtId="9" xfId="0" applyAlignment="1" applyBorder="1" applyFont="1" applyNumberFormat="1">
      <alignment horizontal="center" vertical="center"/>
    </xf>
    <xf borderId="124" fillId="11" fontId="18" numFmtId="0" xfId="0" applyAlignment="1" applyBorder="1" applyFont="1">
      <alignment horizontal="center" shrinkToFit="0" vertical="center" wrapText="1"/>
    </xf>
    <xf borderId="124" fillId="11" fontId="18" numFmtId="9" xfId="0" applyAlignment="1" applyBorder="1" applyFont="1" applyNumberFormat="1">
      <alignment horizontal="center" vertical="center"/>
    </xf>
    <xf borderId="95" fillId="0" fontId="1" numFmtId="0" xfId="0" applyAlignment="1" applyBorder="1" applyFont="1">
      <alignment horizontal="center" vertical="center"/>
    </xf>
    <xf borderId="125" fillId="0" fontId="1" numFmtId="0" xfId="0" applyAlignment="1" applyBorder="1" applyFont="1">
      <alignment horizontal="center" vertical="center"/>
    </xf>
    <xf borderId="126" fillId="0" fontId="1" numFmtId="0" xfId="0" applyAlignment="1" applyBorder="1" applyFont="1">
      <alignment horizontal="center" vertical="center"/>
    </xf>
    <xf borderId="127" fillId="0" fontId="1" numFmtId="0" xfId="0" applyAlignment="1" applyBorder="1" applyFont="1">
      <alignment horizontal="center" vertical="center"/>
    </xf>
    <xf borderId="9" fillId="0" fontId="27" numFmtId="0" xfId="0" applyAlignment="1" applyBorder="1" applyFont="1">
      <alignment horizontal="center" shrinkToFit="0" wrapText="1"/>
    </xf>
    <xf borderId="10" fillId="0" fontId="27" numFmtId="0" xfId="0" applyAlignment="1" applyBorder="1" applyFont="1">
      <alignment horizontal="center" shrinkToFit="0" wrapText="1"/>
    </xf>
    <xf borderId="10" fillId="0" fontId="27" numFmtId="0" xfId="0" applyAlignment="1" applyBorder="1" applyFont="1">
      <alignment horizontal="center" shrinkToFit="0" vertical="center" wrapText="1"/>
    </xf>
    <xf borderId="9" fillId="0" fontId="27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shrinkToFit="1" vertical="center" wrapText="0"/>
    </xf>
    <xf borderId="103" fillId="0" fontId="1" numFmtId="0" xfId="0" applyBorder="1" applyFont="1"/>
    <xf borderId="69" fillId="0" fontId="1" numFmtId="0" xfId="0" applyAlignment="1" applyBorder="1" applyFont="1">
      <alignment shrinkToFit="1" wrapText="0"/>
    </xf>
    <xf borderId="70" fillId="0" fontId="1" numFmtId="0" xfId="0" applyAlignment="1" applyBorder="1" applyFont="1">
      <alignment shrinkToFit="1" wrapText="0"/>
    </xf>
    <xf borderId="0" fillId="0" fontId="1" numFmtId="0" xfId="0" applyAlignment="1" applyFont="1">
      <alignment shrinkToFit="1" wrapText="0"/>
    </xf>
    <xf borderId="71" fillId="0" fontId="1" numFmtId="0" xfId="0" applyBorder="1" applyFont="1"/>
    <xf borderId="68" fillId="0" fontId="1" numFmtId="0" xfId="0" applyBorder="1" applyFont="1"/>
    <xf borderId="100" fillId="0" fontId="1" numFmtId="0" xfId="0" applyBorder="1" applyFont="1"/>
    <xf borderId="71" fillId="0" fontId="1" numFmtId="0" xfId="0" applyAlignment="1" applyBorder="1" applyFont="1">
      <alignment horizontal="left" vertical="center"/>
    </xf>
    <xf borderId="69" fillId="0" fontId="1" numFmtId="0" xfId="0" applyBorder="1" applyFont="1"/>
    <xf borderId="70" fillId="0" fontId="1" numFmtId="0" xfId="0" applyBorder="1" applyFont="1"/>
    <xf borderId="18" fillId="0" fontId="4" numFmtId="0" xfId="0" applyBorder="1" applyFont="1"/>
    <xf borderId="103" fillId="9" fontId="1" numFmtId="0" xfId="0" applyAlignment="1" applyBorder="1" applyFont="1">
      <alignment horizontal="center" vertical="center"/>
    </xf>
    <xf borderId="128" fillId="9" fontId="1" numFmtId="0" xfId="0" applyAlignment="1" applyBorder="1" applyFont="1">
      <alignment horizontal="center" vertical="center"/>
    </xf>
    <xf borderId="51" fillId="9" fontId="1" numFmtId="0" xfId="0" applyBorder="1" applyFont="1"/>
    <xf borderId="70" fillId="9" fontId="1" numFmtId="0" xfId="0" applyBorder="1" applyFont="1"/>
    <xf borderId="85" fillId="11" fontId="3" numFmtId="164" xfId="0" applyAlignment="1" applyBorder="1" applyFont="1" applyNumberFormat="1">
      <alignment horizontal="right"/>
    </xf>
    <xf borderId="46" fillId="0" fontId="1" numFmtId="2" xfId="0" applyAlignment="1" applyBorder="1" applyFont="1" applyNumberFormat="1">
      <alignment horizontal="right"/>
    </xf>
    <xf borderId="103" fillId="0" fontId="1" numFmtId="2" xfId="0" applyBorder="1" applyFont="1" applyNumberFormat="1"/>
    <xf borderId="129" fillId="11" fontId="13" numFmtId="0" xfId="0" applyAlignment="1" applyBorder="1" applyFont="1">
      <alignment horizontal="center" shrinkToFit="0" vertical="center" wrapText="1"/>
    </xf>
    <xf borderId="130" fillId="0" fontId="4" numFmtId="0" xfId="0" applyBorder="1" applyFont="1"/>
    <xf borderId="69" fillId="9" fontId="1" numFmtId="0" xfId="0" applyBorder="1" applyFont="1"/>
    <xf borderId="69" fillId="9" fontId="1" numFmtId="0" xfId="0" applyAlignment="1" applyBorder="1" applyFont="1">
      <alignment horizontal="right"/>
    </xf>
    <xf borderId="51" fillId="9" fontId="1" numFmtId="0" xfId="0" applyAlignment="1" applyBorder="1" applyFont="1">
      <alignment horizontal="right"/>
    </xf>
    <xf borderId="70" fillId="9" fontId="1" numFmtId="0" xfId="0" applyAlignment="1" applyBorder="1" applyFont="1">
      <alignment horizontal="right"/>
    </xf>
    <xf borderId="123" fillId="11" fontId="3" numFmtId="0" xfId="0" applyAlignment="1" applyBorder="1" applyFont="1">
      <alignment shrinkToFit="0" vertical="center" wrapText="1"/>
    </xf>
    <xf borderId="73" fillId="9" fontId="1" numFmtId="0" xfId="0" applyBorder="1" applyFont="1"/>
    <xf borderId="74" fillId="9" fontId="1" numFmtId="0" xfId="0" applyBorder="1" applyFont="1"/>
    <xf borderId="104" fillId="9" fontId="1" numFmtId="0" xfId="0" applyBorder="1" applyFont="1"/>
    <xf borderId="73" fillId="9" fontId="1" numFmtId="0" xfId="0" applyAlignment="1" applyBorder="1" applyFont="1">
      <alignment horizontal="right"/>
    </xf>
    <xf borderId="74" fillId="9" fontId="1" numFmtId="0" xfId="0" applyAlignment="1" applyBorder="1" applyFont="1">
      <alignment horizontal="right"/>
    </xf>
    <xf borderId="104" fillId="9" fontId="1" numFmtId="0" xfId="0" applyAlignment="1" applyBorder="1" applyFont="1">
      <alignment horizontal="right"/>
    </xf>
    <xf borderId="110" fillId="11" fontId="3" numFmtId="0" xfId="0" applyAlignment="1" applyBorder="1" applyFont="1">
      <alignment horizontal="center" shrinkToFit="0" vertical="center" wrapText="1"/>
    </xf>
    <xf borderId="40" fillId="11" fontId="3" numFmtId="0" xfId="0" applyAlignment="1" applyBorder="1" applyFont="1">
      <alignment horizontal="center" shrinkToFit="0" vertical="center" wrapText="1"/>
    </xf>
    <xf borderId="77" fillId="9" fontId="1" numFmtId="0" xfId="0" applyAlignment="1" applyBorder="1" applyFont="1">
      <alignment horizontal="right" vertical="center"/>
    </xf>
    <xf borderId="110" fillId="11" fontId="18" numFmtId="0" xfId="0" applyBorder="1" applyFont="1"/>
    <xf borderId="40" fillId="11" fontId="18" numFmtId="9" xfId="0" applyAlignment="1" applyBorder="1" applyFont="1" applyNumberFormat="1">
      <alignment horizontal="center"/>
    </xf>
    <xf borderId="131" fillId="11" fontId="3" numFmtId="0" xfId="0" applyAlignment="1" applyBorder="1" applyFont="1">
      <alignment horizontal="center" shrinkToFit="0" vertical="center" wrapText="1"/>
    </xf>
    <xf borderId="0" fillId="0" fontId="17" numFmtId="0" xfId="0" applyAlignment="1" applyFont="1">
      <alignment horizontal="center" vertical="center"/>
    </xf>
    <xf borderId="0" fillId="0" fontId="17" numFmtId="0" xfId="0" applyAlignment="1" applyFont="1">
      <alignment vertical="center"/>
    </xf>
    <xf borderId="132" fillId="0" fontId="4" numFmtId="0" xfId="0" applyBorder="1" applyFont="1"/>
    <xf borderId="133" fillId="0" fontId="4" numFmtId="0" xfId="0" applyBorder="1" applyFont="1"/>
    <xf borderId="40" fillId="9" fontId="1" numFmtId="0" xfId="0" applyAlignment="1" applyBorder="1" applyFont="1">
      <alignment horizontal="center"/>
    </xf>
    <xf borderId="0" fillId="0" fontId="17" numFmtId="0" xfId="0" applyAlignment="1" applyFont="1">
      <alignment horizontal="left" vertical="center"/>
    </xf>
    <xf borderId="40" fillId="10" fontId="3" numFmtId="0" xfId="0" applyAlignment="1" applyBorder="1" applyFont="1">
      <alignment shrinkToFit="0" vertical="center" wrapText="1"/>
    </xf>
    <xf borderId="40" fillId="10" fontId="18" numFmtId="0" xfId="0" applyBorder="1" applyFont="1"/>
    <xf borderId="40" fillId="10" fontId="18" numFmtId="9" xfId="0" applyBorder="1" applyFont="1" applyNumberFormat="1"/>
  </cellXfs>
  <cellStyles count="1">
    <cellStyle xfId="0" name="Normal" builtinId="0"/>
  </cellStyles>
  <dxfs count="2"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rgb="FF548135"/>
          <bgColor rgb="FF548135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542925</xdr:colOff>
      <xdr:row>0</xdr:row>
      <xdr:rowOff>95250</xdr:rowOff>
    </xdr:from>
    <xdr:ext cx="1400175" cy="14763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lim.agriculture.gouv.fr/ift/bilan-ift/2018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4335"/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1" width="3.43"/>
    <col customWidth="1" min="2" max="2" width="20.0"/>
    <col customWidth="1" min="3" max="3" width="3.71"/>
    <col customWidth="1" min="4" max="42" width="13.0"/>
    <col customWidth="1" min="43" max="43" width="3.43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3"/>
    </row>
    <row r="2">
      <c r="A2" s="4"/>
      <c r="B2" s="5" t="s">
        <v>0</v>
      </c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4"/>
    </row>
    <row r="3">
      <c r="A3" s="7"/>
      <c r="B3" s="2"/>
      <c r="C3" s="8"/>
      <c r="D3" s="2"/>
      <c r="E3" s="2"/>
      <c r="F3" s="2"/>
      <c r="G3" s="2"/>
      <c r="H3" s="2"/>
      <c r="I3" s="2"/>
      <c r="J3" s="2"/>
      <c r="K3" s="8"/>
      <c r="L3" s="2"/>
      <c r="M3" s="2"/>
      <c r="N3" s="2"/>
      <c r="O3" s="2"/>
      <c r="P3" s="2"/>
      <c r="Q3" s="2"/>
      <c r="R3" s="2"/>
      <c r="S3" s="8"/>
      <c r="T3" s="2"/>
      <c r="U3" s="2"/>
      <c r="V3" s="2"/>
      <c r="W3" s="2"/>
      <c r="X3" s="2"/>
      <c r="Y3" s="2"/>
      <c r="Z3" s="2"/>
      <c r="AA3" s="8"/>
      <c r="AB3" s="2"/>
      <c r="AC3" s="2"/>
      <c r="AD3" s="2"/>
      <c r="AE3" s="2"/>
      <c r="AF3" s="2"/>
      <c r="AG3" s="2"/>
      <c r="AH3" s="2"/>
      <c r="AI3" s="8"/>
      <c r="AJ3" s="2"/>
      <c r="AK3" s="2"/>
      <c r="AL3" s="2"/>
      <c r="AM3" s="2"/>
      <c r="AN3" s="2"/>
      <c r="AO3" s="2"/>
      <c r="AP3" s="2"/>
      <c r="AQ3" s="9"/>
    </row>
    <row r="4" ht="21.75" customHeight="1">
      <c r="A4" s="4"/>
      <c r="B4" s="10"/>
      <c r="C4" s="4"/>
      <c r="D4" s="11" t="s">
        <v>1</v>
      </c>
      <c r="E4" s="12"/>
      <c r="F4" s="12"/>
      <c r="G4" s="12"/>
      <c r="H4" s="12"/>
      <c r="I4" s="12"/>
      <c r="J4" s="13"/>
      <c r="K4" s="4"/>
      <c r="L4" s="14" t="s">
        <v>2</v>
      </c>
      <c r="M4" s="12"/>
      <c r="N4" s="12"/>
      <c r="O4" s="12"/>
      <c r="P4" s="12"/>
      <c r="Q4" s="12"/>
      <c r="R4" s="13"/>
      <c r="S4" s="4"/>
      <c r="T4" s="14" t="s">
        <v>3</v>
      </c>
      <c r="U4" s="12"/>
      <c r="V4" s="12"/>
      <c r="W4" s="12"/>
      <c r="X4" s="12"/>
      <c r="Y4" s="12"/>
      <c r="Z4" s="13"/>
      <c r="AA4" s="4"/>
      <c r="AB4" s="14" t="s">
        <v>4</v>
      </c>
      <c r="AC4" s="12"/>
      <c r="AD4" s="12"/>
      <c r="AE4" s="12"/>
      <c r="AF4" s="12"/>
      <c r="AG4" s="12"/>
      <c r="AH4" s="13"/>
      <c r="AI4" s="4"/>
      <c r="AJ4" s="14" t="s">
        <v>5</v>
      </c>
      <c r="AK4" s="12"/>
      <c r="AL4" s="12"/>
      <c r="AM4" s="12"/>
      <c r="AN4" s="12"/>
      <c r="AO4" s="12"/>
      <c r="AP4" s="13"/>
      <c r="AQ4" s="4"/>
    </row>
    <row r="5">
      <c r="A5" s="4"/>
      <c r="B5" s="15"/>
      <c r="C5" s="4"/>
      <c r="D5" s="16" t="s">
        <v>6</v>
      </c>
      <c r="E5" s="17" t="s">
        <v>7</v>
      </c>
      <c r="F5" s="17" t="s">
        <v>8</v>
      </c>
      <c r="G5" s="17" t="s">
        <v>9</v>
      </c>
      <c r="H5" s="17" t="s">
        <v>10</v>
      </c>
      <c r="I5" s="17" t="s">
        <v>11</v>
      </c>
      <c r="J5" s="18" t="s">
        <v>12</v>
      </c>
      <c r="K5" s="19"/>
      <c r="L5" s="16" t="s">
        <v>6</v>
      </c>
      <c r="M5" s="17" t="s">
        <v>7</v>
      </c>
      <c r="N5" s="17" t="s">
        <v>8</v>
      </c>
      <c r="O5" s="17" t="s">
        <v>9</v>
      </c>
      <c r="P5" s="17" t="s">
        <v>10</v>
      </c>
      <c r="Q5" s="17" t="s">
        <v>11</v>
      </c>
      <c r="R5" s="18" t="s">
        <v>12</v>
      </c>
      <c r="S5" s="19"/>
      <c r="T5" s="16" t="s">
        <v>6</v>
      </c>
      <c r="U5" s="17" t="s">
        <v>7</v>
      </c>
      <c r="V5" s="17" t="s">
        <v>8</v>
      </c>
      <c r="W5" s="17" t="s">
        <v>9</v>
      </c>
      <c r="X5" s="17" t="s">
        <v>10</v>
      </c>
      <c r="Y5" s="17" t="s">
        <v>11</v>
      </c>
      <c r="Z5" s="18" t="s">
        <v>12</v>
      </c>
      <c r="AA5" s="19"/>
      <c r="AB5" s="16" t="s">
        <v>6</v>
      </c>
      <c r="AC5" s="17" t="s">
        <v>7</v>
      </c>
      <c r="AD5" s="17" t="s">
        <v>8</v>
      </c>
      <c r="AE5" s="17" t="s">
        <v>9</v>
      </c>
      <c r="AF5" s="17" t="s">
        <v>10</v>
      </c>
      <c r="AG5" s="17" t="s">
        <v>11</v>
      </c>
      <c r="AH5" s="18" t="s">
        <v>12</v>
      </c>
      <c r="AI5" s="19"/>
      <c r="AJ5" s="16" t="s">
        <v>6</v>
      </c>
      <c r="AK5" s="17" t="s">
        <v>7</v>
      </c>
      <c r="AL5" s="17" t="s">
        <v>8</v>
      </c>
      <c r="AM5" s="17" t="s">
        <v>9</v>
      </c>
      <c r="AN5" s="17" t="s">
        <v>10</v>
      </c>
      <c r="AO5" s="17" t="s">
        <v>11</v>
      </c>
      <c r="AP5" s="18" t="s">
        <v>12</v>
      </c>
      <c r="AQ5" s="4"/>
    </row>
    <row r="6">
      <c r="A6" s="4"/>
      <c r="B6" s="20" t="s">
        <v>13</v>
      </c>
      <c r="C6" s="4"/>
      <c r="D6" s="21" t="s">
        <v>14</v>
      </c>
      <c r="E6" s="22">
        <v>15000.0</v>
      </c>
      <c r="F6" s="22">
        <v>0.0</v>
      </c>
      <c r="G6" s="22">
        <v>0.0</v>
      </c>
      <c r="H6" s="23">
        <f>IFERROR(VLOOKUP(D6,ANNEXES!$B$4:$H$20,2,FALSE),"-")</f>
        <v>33.5</v>
      </c>
      <c r="I6" s="23">
        <f>IFERROR(VLOOKUP(D6,ANNEXES!$B$4:$H$20,4,FALSE),"-")</f>
        <v>0</v>
      </c>
      <c r="J6" s="24">
        <f>IFERROR(VLOOKUP(D6,ANNEXES!$B$4:$H$20,6,FALSE),"-")</f>
        <v>0</v>
      </c>
      <c r="K6" s="25"/>
      <c r="L6" s="21" t="s">
        <v>14</v>
      </c>
      <c r="M6" s="22">
        <v>12000.0</v>
      </c>
      <c r="N6" s="22">
        <v>0.0</v>
      </c>
      <c r="O6" s="22">
        <v>0.0</v>
      </c>
      <c r="P6" s="23">
        <f>IFERROR(VLOOKUP(L6,ANNEXES!$B$4:$H$20,2,FALSE),"-")</f>
        <v>33.5</v>
      </c>
      <c r="Q6" s="23">
        <f>IFERROR(VLOOKUP(L6,ANNEXES!$B$4:$H$20,4,FALSE),"-")</f>
        <v>0</v>
      </c>
      <c r="R6" s="24">
        <f>IFERROR(VLOOKUP(L6,ANNEXES!$B$4:$H$20,6,FALSE),"-")</f>
        <v>0</v>
      </c>
      <c r="S6" s="25"/>
      <c r="T6" s="21" t="s">
        <v>14</v>
      </c>
      <c r="U6" s="22">
        <v>28000.0</v>
      </c>
      <c r="V6" s="22">
        <v>0.0</v>
      </c>
      <c r="W6" s="22">
        <v>0.0</v>
      </c>
      <c r="X6" s="23">
        <f>IFERROR(VLOOKUP(T6,ANNEXES!$B$4:$H$20,2,FALSE),"-")</f>
        <v>33.5</v>
      </c>
      <c r="Y6" s="23">
        <f>IFERROR(VLOOKUP(T6,ANNEXES!$B$4:$H$20,4,FALSE),"-")</f>
        <v>0</v>
      </c>
      <c r="Z6" s="24">
        <f>IFERROR(VLOOKUP(T6,ANNEXES!$B$4:$H$20,6,FALSE),"-")</f>
        <v>0</v>
      </c>
      <c r="AA6" s="25"/>
      <c r="AB6" s="21" t="s">
        <v>14</v>
      </c>
      <c r="AC6" s="22">
        <v>17000.0</v>
      </c>
      <c r="AD6" s="22">
        <v>0.0</v>
      </c>
      <c r="AE6" s="22">
        <v>0.0</v>
      </c>
      <c r="AF6" s="23">
        <f>IFERROR(VLOOKUP(AB6,ANNEXES!$B$4:$H$20,2,FALSE),"-")</f>
        <v>33.5</v>
      </c>
      <c r="AG6" s="23">
        <f>IFERROR(VLOOKUP(AB6,ANNEXES!$B$4:$H$20,4,FALSE),"-")</f>
        <v>0</v>
      </c>
      <c r="AH6" s="24">
        <f>IFERROR(VLOOKUP(AB6,ANNEXES!$B$4:$H$20,6,FALSE),"-")</f>
        <v>0</v>
      </c>
      <c r="AI6" s="25"/>
      <c r="AJ6" s="21"/>
      <c r="AK6" s="26"/>
      <c r="AL6" s="26"/>
      <c r="AM6" s="26"/>
      <c r="AN6" s="23" t="str">
        <f>IFERROR(VLOOKUP(AJ6,ANNEXES!$B$4:$H$20,2,FALSE),"-")</f>
        <v>-</v>
      </c>
      <c r="AO6" s="23" t="str">
        <f>IFERROR(VLOOKUP(AJ6,ANNEXES!$B$4:$H$20,4,FALSE),"-")</f>
        <v>-</v>
      </c>
      <c r="AP6" s="24" t="str">
        <f>IFERROR(VLOOKUP(AJ6,ANNEXES!$B$4:$H$20,6,FALSE),"-")</f>
        <v>-</v>
      </c>
      <c r="AQ6" s="4"/>
    </row>
    <row r="7">
      <c r="A7" s="4"/>
      <c r="B7" s="27"/>
      <c r="C7" s="4"/>
      <c r="D7" s="21" t="s">
        <v>15</v>
      </c>
      <c r="E7" s="22">
        <v>30000.0</v>
      </c>
      <c r="F7" s="22">
        <v>0.0</v>
      </c>
      <c r="G7" s="22">
        <v>0.0</v>
      </c>
      <c r="H7" s="23">
        <f>IFERROR(VLOOKUP(D7,ANNEXES!$B$4:$H$20,2,FALSE),"-")</f>
        <v>0</v>
      </c>
      <c r="I7" s="23">
        <v>28.0</v>
      </c>
      <c r="J7" s="24">
        <v>20.0</v>
      </c>
      <c r="K7" s="25"/>
      <c r="L7" s="21" t="s">
        <v>15</v>
      </c>
      <c r="M7" s="22">
        <v>30000.0</v>
      </c>
      <c r="N7" s="22">
        <v>0.0</v>
      </c>
      <c r="O7" s="22">
        <v>0.0</v>
      </c>
      <c r="P7" s="23">
        <f>IFERROR(VLOOKUP(L7,ANNEXES!$B$4:$H$20,2,FALSE),"-")</f>
        <v>0</v>
      </c>
      <c r="Q7" s="23">
        <v>28.0</v>
      </c>
      <c r="R7" s="24">
        <v>20.0</v>
      </c>
      <c r="S7" s="25"/>
      <c r="T7" s="21" t="s">
        <v>15</v>
      </c>
      <c r="U7" s="22">
        <v>5000.0</v>
      </c>
      <c r="V7" s="22">
        <v>0.0</v>
      </c>
      <c r="W7" s="22">
        <v>0.0</v>
      </c>
      <c r="X7" s="23">
        <f>IFERROR(VLOOKUP(T7,ANNEXES!$B$4:$H$20,2,FALSE),"-")</f>
        <v>0</v>
      </c>
      <c r="Y7" s="23">
        <v>28.0</v>
      </c>
      <c r="Z7" s="24">
        <v>20.0</v>
      </c>
      <c r="AA7" s="25"/>
      <c r="AB7" s="21" t="s">
        <v>15</v>
      </c>
      <c r="AC7" s="22">
        <v>6000.0</v>
      </c>
      <c r="AD7" s="22">
        <v>0.0</v>
      </c>
      <c r="AE7" s="22">
        <v>0.0</v>
      </c>
      <c r="AF7" s="23">
        <f>IFERROR(VLOOKUP(AB7,ANNEXES!$B$4:$H$20,2,FALSE),"-")</f>
        <v>0</v>
      </c>
      <c r="AG7" s="23">
        <v>28.0</v>
      </c>
      <c r="AH7" s="24">
        <v>20.0</v>
      </c>
      <c r="AI7" s="25"/>
      <c r="AJ7" s="21"/>
      <c r="AK7" s="26"/>
      <c r="AL7" s="26"/>
      <c r="AM7" s="26"/>
      <c r="AN7" s="23" t="str">
        <f>IFERROR(VLOOKUP(AJ7,ANNEXES!$B$4:$H$20,2,FALSE),"-")</f>
        <v>-</v>
      </c>
      <c r="AO7" s="23" t="str">
        <f>IFERROR(VLOOKUP(AJ7,ANNEXES!$B$4:$H$20,4,FALSE),"-")</f>
        <v>-</v>
      </c>
      <c r="AP7" s="24" t="str">
        <f>IFERROR(VLOOKUP(AJ7,ANNEXES!$B$4:$H$20,6,FALSE),"-")</f>
        <v>-</v>
      </c>
      <c r="AQ7" s="4"/>
    </row>
    <row r="8">
      <c r="A8" s="4"/>
      <c r="B8" s="27"/>
      <c r="C8" s="4"/>
      <c r="D8" s="21" t="s">
        <v>16</v>
      </c>
      <c r="E8" s="22">
        <v>157000.0</v>
      </c>
      <c r="F8" s="22">
        <v>0.0</v>
      </c>
      <c r="G8" s="22">
        <v>0.0</v>
      </c>
      <c r="H8" s="23">
        <v>30.0</v>
      </c>
      <c r="I8" s="23">
        <f>IFERROR(VLOOKUP(D8,ANNEXES!$B$4:$H$20,4,FALSE),"-")</f>
        <v>0</v>
      </c>
      <c r="J8" s="24">
        <f>IFERROR(VLOOKUP(D8,ANNEXES!$B$4:$H$20,6,FALSE),"-")</f>
        <v>0</v>
      </c>
      <c r="K8" s="25"/>
      <c r="L8" s="21" t="s">
        <v>16</v>
      </c>
      <c r="M8" s="22">
        <v>126000.0</v>
      </c>
      <c r="N8" s="22">
        <v>0.0</v>
      </c>
      <c r="O8" s="22">
        <v>0.0</v>
      </c>
      <c r="P8" s="23">
        <v>30.0</v>
      </c>
      <c r="Q8" s="23">
        <f>IFERROR(VLOOKUP(L8,ANNEXES!$B$4:$H$20,4,FALSE),"-")</f>
        <v>0</v>
      </c>
      <c r="R8" s="24">
        <f>IFERROR(VLOOKUP(L8,ANNEXES!$B$4:$H$20,6,FALSE),"-")</f>
        <v>0</v>
      </c>
      <c r="S8" s="25"/>
      <c r="T8" s="21" t="s">
        <v>16</v>
      </c>
      <c r="U8" s="22">
        <v>179000.0</v>
      </c>
      <c r="V8" s="22">
        <v>0.0</v>
      </c>
      <c r="W8" s="22">
        <v>0.0</v>
      </c>
      <c r="X8" s="23">
        <v>30.0</v>
      </c>
      <c r="Y8" s="23">
        <f>IFERROR(VLOOKUP(T8,ANNEXES!$B$4:$H$20,4,FALSE),"-")</f>
        <v>0</v>
      </c>
      <c r="Z8" s="24">
        <f>IFERROR(VLOOKUP(T8,ANNEXES!$B$4:$H$20,6,FALSE),"-")</f>
        <v>0</v>
      </c>
      <c r="AA8" s="25"/>
      <c r="AB8" s="21" t="s">
        <v>16</v>
      </c>
      <c r="AC8" s="22">
        <v>90000.0</v>
      </c>
      <c r="AD8" s="22">
        <v>0.0</v>
      </c>
      <c r="AE8" s="22">
        <v>0.0</v>
      </c>
      <c r="AF8" s="23">
        <v>30.0</v>
      </c>
      <c r="AG8" s="23">
        <f>IFERROR(VLOOKUP(AB8,ANNEXES!$B$4:$H$20,4,FALSE),"-")</f>
        <v>0</v>
      </c>
      <c r="AH8" s="24">
        <f>IFERROR(VLOOKUP(AB8,ANNEXES!$B$4:$H$20,6,FALSE),"-")</f>
        <v>0</v>
      </c>
      <c r="AI8" s="25"/>
      <c r="AJ8" s="21"/>
      <c r="AK8" s="26"/>
      <c r="AL8" s="26"/>
      <c r="AM8" s="26"/>
      <c r="AN8" s="23" t="str">
        <f>IFERROR(VLOOKUP(AJ8,ANNEXES!$B$4:$H$20,2,FALSE),"-")</f>
        <v>-</v>
      </c>
      <c r="AO8" s="23" t="str">
        <f>IFERROR(VLOOKUP(AJ8,ANNEXES!$B$4:$H$20,4,FALSE),"-")</f>
        <v>-</v>
      </c>
      <c r="AP8" s="24" t="str">
        <f>IFERROR(VLOOKUP(AJ8,ANNEXES!$B$4:$H$20,6,FALSE),"-")</f>
        <v>-</v>
      </c>
      <c r="AQ8" s="4"/>
    </row>
    <row r="9">
      <c r="A9" s="4"/>
      <c r="B9" s="27"/>
      <c r="C9" s="4"/>
      <c r="D9" s="21"/>
      <c r="E9" s="22"/>
      <c r="F9" s="22"/>
      <c r="G9" s="22"/>
      <c r="H9" s="23" t="str">
        <f>IFERROR(VLOOKUP(D9,ANNEXES!$B$4:$H$20,2,FALSE),"-")</f>
        <v>-</v>
      </c>
      <c r="I9" s="23" t="str">
        <f>IFERROR(VLOOKUP(D9,ANNEXES!$B$4:$H$20,4,FALSE),"-")</f>
        <v>-</v>
      </c>
      <c r="J9" s="24" t="str">
        <f>IFERROR(VLOOKUP(D9,ANNEXES!$B$4:$H$20,6,FALSE),"-")</f>
        <v>-</v>
      </c>
      <c r="K9" s="25"/>
      <c r="L9" s="21" t="s">
        <v>17</v>
      </c>
      <c r="M9" s="22">
        <v>27000.0</v>
      </c>
      <c r="N9" s="22">
        <v>0.0</v>
      </c>
      <c r="O9" s="22">
        <v>0.0</v>
      </c>
      <c r="P9" s="23">
        <f>IFERROR(VLOOKUP(L9,ANNEXES!$B$4:$H$20,2,FALSE),"-")</f>
        <v>0</v>
      </c>
      <c r="Q9" s="23">
        <f>IFERROR(VLOOKUP(L9,ANNEXES!$B$4:$H$20,4,FALSE),"-")</f>
        <v>46</v>
      </c>
      <c r="R9" s="24">
        <f>IFERROR(VLOOKUP(L9,ANNEXES!$B$4:$H$20,6,FALSE),"-")</f>
        <v>0</v>
      </c>
      <c r="S9" s="25"/>
      <c r="T9" s="21" t="s">
        <v>17</v>
      </c>
      <c r="U9" s="22">
        <v>29000.0</v>
      </c>
      <c r="V9" s="22">
        <v>0.0</v>
      </c>
      <c r="W9" s="22">
        <v>0.0</v>
      </c>
      <c r="X9" s="23">
        <f>IFERROR(VLOOKUP(T9,ANNEXES!$B$4:$H$20,2,FALSE),"-")</f>
        <v>0</v>
      </c>
      <c r="Y9" s="23">
        <f>IFERROR(VLOOKUP(T9,ANNEXES!$B$4:$H$20,4,FALSE),"-")</f>
        <v>46</v>
      </c>
      <c r="Z9" s="24">
        <f>IFERROR(VLOOKUP(T9,ANNEXES!$B$4:$H$20,6,FALSE),"-")</f>
        <v>0</v>
      </c>
      <c r="AA9" s="25"/>
      <c r="AB9" s="21" t="s">
        <v>17</v>
      </c>
      <c r="AC9" s="22">
        <v>18000.0</v>
      </c>
      <c r="AD9" s="22">
        <v>0.0</v>
      </c>
      <c r="AE9" s="22">
        <v>0.0</v>
      </c>
      <c r="AF9" s="23">
        <f>IFERROR(VLOOKUP(AB9,ANNEXES!$B$4:$H$20,2,FALSE),"-")</f>
        <v>0</v>
      </c>
      <c r="AG9" s="23">
        <f>IFERROR(VLOOKUP(AB9,ANNEXES!$B$4:$H$20,4,FALSE),"-")</f>
        <v>46</v>
      </c>
      <c r="AH9" s="24">
        <f>IFERROR(VLOOKUP(AB9,ANNEXES!$B$4:$H$20,6,FALSE),"-")</f>
        <v>0</v>
      </c>
      <c r="AI9" s="25"/>
      <c r="AJ9" s="21"/>
      <c r="AK9" s="26"/>
      <c r="AL9" s="26"/>
      <c r="AM9" s="26"/>
      <c r="AN9" s="23" t="str">
        <f>IFERROR(VLOOKUP(AJ9,ANNEXES!$B$4:$H$20,2,FALSE),"-")</f>
        <v>-</v>
      </c>
      <c r="AO9" s="23" t="str">
        <f>IFERROR(VLOOKUP(AJ9,ANNEXES!$B$4:$H$20,4,FALSE),"-")</f>
        <v>-</v>
      </c>
      <c r="AP9" s="24" t="str">
        <f>IFERROR(VLOOKUP(AJ9,ANNEXES!$B$4:$H$20,6,FALSE),"-")</f>
        <v>-</v>
      </c>
      <c r="AQ9" s="4"/>
    </row>
    <row r="10">
      <c r="A10" s="4"/>
      <c r="B10" s="27"/>
      <c r="C10" s="4"/>
      <c r="D10" s="21"/>
      <c r="E10" s="26"/>
      <c r="F10" s="26"/>
      <c r="G10" s="26"/>
      <c r="H10" s="23" t="str">
        <f>IFERROR(VLOOKUP(D10,ANNEXES!$B$4:$H$20,2,FALSE),"-")</f>
        <v>-</v>
      </c>
      <c r="I10" s="23" t="str">
        <f>IFERROR(VLOOKUP(D10,ANNEXES!$B$4:$H$20,4,FALSE),"-")</f>
        <v>-</v>
      </c>
      <c r="J10" s="24" t="str">
        <f>IFERROR(VLOOKUP(D10,ANNEXES!$B$4:$H$20,6,FALSE),"-")</f>
        <v>-</v>
      </c>
      <c r="K10" s="25"/>
      <c r="L10" s="21"/>
      <c r="M10" s="22"/>
      <c r="N10" s="22"/>
      <c r="O10" s="22"/>
      <c r="P10" s="23" t="str">
        <f>IFERROR(VLOOKUP(L10,ANNEXES!$B$4:$H$20,2,FALSE),"-")</f>
        <v>-</v>
      </c>
      <c r="Q10" s="23" t="str">
        <f>IFERROR(VLOOKUP(L10,ANNEXES!$B$4:$H$20,4,FALSE),"-")</f>
        <v>-</v>
      </c>
      <c r="R10" s="24" t="str">
        <f>IFERROR(VLOOKUP(L10,ANNEXES!$B$4:$H$20,6,FALSE),"-")</f>
        <v>-</v>
      </c>
      <c r="S10" s="25"/>
      <c r="T10" s="21"/>
      <c r="U10" s="22"/>
      <c r="V10" s="22"/>
      <c r="W10" s="22"/>
      <c r="X10" s="23" t="str">
        <f>IFERROR(VLOOKUP(T10,ANNEXES!$B$4:$H$20,2,FALSE),"-")</f>
        <v>-</v>
      </c>
      <c r="Y10" s="23" t="str">
        <f>IFERROR(VLOOKUP(T10,ANNEXES!$B$4:$H$20,4,FALSE),"-")</f>
        <v>-</v>
      </c>
      <c r="Z10" s="24" t="str">
        <f>IFERROR(VLOOKUP(T10,ANNEXES!$B$4:$H$20,6,FALSE),"-")</f>
        <v>-</v>
      </c>
      <c r="AA10" s="25"/>
      <c r="AB10" s="21"/>
      <c r="AC10" s="22"/>
      <c r="AD10" s="22"/>
      <c r="AE10" s="22"/>
      <c r="AF10" s="23" t="str">
        <f>IFERROR(VLOOKUP(AB10,ANNEXES!$B$4:$H$20,2,FALSE),"-")</f>
        <v>-</v>
      </c>
      <c r="AG10" s="23" t="str">
        <f>IFERROR(VLOOKUP(AB10,ANNEXES!$B$4:$H$20,4,FALSE),"-")</f>
        <v>-</v>
      </c>
      <c r="AH10" s="24" t="str">
        <f>IFERROR(VLOOKUP(AB10,ANNEXES!$B$4:$H$20,6,FALSE),"-")</f>
        <v>-</v>
      </c>
      <c r="AI10" s="25"/>
      <c r="AJ10" s="21"/>
      <c r="AK10" s="26"/>
      <c r="AL10" s="26"/>
      <c r="AM10" s="26"/>
      <c r="AN10" s="23" t="str">
        <f>IFERROR(VLOOKUP(AJ10,ANNEXES!$B$4:$H$20,2,FALSE),"-")</f>
        <v>-</v>
      </c>
      <c r="AO10" s="23" t="str">
        <f>IFERROR(VLOOKUP(AJ10,ANNEXES!$B$4:$H$20,4,FALSE),"-")</f>
        <v>-</v>
      </c>
      <c r="AP10" s="24" t="str">
        <f>IFERROR(VLOOKUP(AJ10,ANNEXES!$B$4:$H$20,6,FALSE),"-")</f>
        <v>-</v>
      </c>
      <c r="AQ10" s="4"/>
    </row>
    <row r="11">
      <c r="A11" s="4"/>
      <c r="B11" s="27"/>
      <c r="C11" s="4"/>
      <c r="D11" s="21"/>
      <c r="E11" s="26"/>
      <c r="F11" s="26"/>
      <c r="G11" s="26"/>
      <c r="H11" s="23" t="str">
        <f>IFERROR(VLOOKUP(D11,ANNEXES!$B$4:$H$20,2,FALSE),"-")</f>
        <v>-</v>
      </c>
      <c r="I11" s="23" t="str">
        <f>IFERROR(VLOOKUP(D11,ANNEXES!$B$4:$H$20,4,FALSE),"-")</f>
        <v>-</v>
      </c>
      <c r="J11" s="24" t="str">
        <f>IFERROR(VLOOKUP(D11,ANNEXES!$B$4:$H$20,6,FALSE),"-")</f>
        <v>-</v>
      </c>
      <c r="K11" s="25"/>
      <c r="L11" s="21"/>
      <c r="M11" s="26"/>
      <c r="N11" s="26"/>
      <c r="O11" s="26"/>
      <c r="P11" s="23" t="str">
        <f>IFERROR(VLOOKUP(L11,ANNEXES!$B$4:$H$20,2,FALSE),"-")</f>
        <v>-</v>
      </c>
      <c r="Q11" s="23" t="str">
        <f>IFERROR(VLOOKUP(L11,ANNEXES!$B$4:$H$20,4,FALSE),"-")</f>
        <v>-</v>
      </c>
      <c r="R11" s="24" t="str">
        <f>IFERROR(VLOOKUP(L11,ANNEXES!$B$4:$H$20,6,FALSE),"-")</f>
        <v>-</v>
      </c>
      <c r="S11" s="25"/>
      <c r="T11" s="21"/>
      <c r="U11" s="26"/>
      <c r="V11" s="26"/>
      <c r="W11" s="26"/>
      <c r="X11" s="23" t="str">
        <f>IFERROR(VLOOKUP(T11,ANNEXES!$B$4:$H$20,2,FALSE),"-")</f>
        <v>-</v>
      </c>
      <c r="Y11" s="23" t="str">
        <f>IFERROR(VLOOKUP(T11,ANNEXES!$B$4:$H$20,4,FALSE),"-")</f>
        <v>-</v>
      </c>
      <c r="Z11" s="24" t="str">
        <f>IFERROR(VLOOKUP(T11,ANNEXES!$B$4:$H$20,6,FALSE),"-")</f>
        <v>-</v>
      </c>
      <c r="AA11" s="25"/>
      <c r="AB11" s="21"/>
      <c r="AC11" s="26"/>
      <c r="AD11" s="26"/>
      <c r="AE11" s="26"/>
      <c r="AF11" s="23" t="str">
        <f>IFERROR(VLOOKUP(AB11,ANNEXES!$B$4:$H$20,2,FALSE),"-")</f>
        <v>-</v>
      </c>
      <c r="AG11" s="23" t="str">
        <f>IFERROR(VLOOKUP(AB11,ANNEXES!$B$4:$H$20,4,FALSE),"-")</f>
        <v>-</v>
      </c>
      <c r="AH11" s="24" t="str">
        <f>IFERROR(VLOOKUP(AB11,ANNEXES!$B$4:$H$20,6,FALSE),"-")</f>
        <v>-</v>
      </c>
      <c r="AI11" s="25"/>
      <c r="AJ11" s="21"/>
      <c r="AK11" s="26"/>
      <c r="AL11" s="26"/>
      <c r="AM11" s="26"/>
      <c r="AN11" s="23" t="str">
        <f>IFERROR(VLOOKUP(AJ11,ANNEXES!$B$4:$H$20,2,FALSE),"-")</f>
        <v>-</v>
      </c>
      <c r="AO11" s="23" t="str">
        <f>IFERROR(VLOOKUP(AJ11,ANNEXES!$B$4:$H$20,4,FALSE),"-")</f>
        <v>-</v>
      </c>
      <c r="AP11" s="24" t="str">
        <f>IFERROR(VLOOKUP(AJ11,ANNEXES!$B$4:$H$20,6,FALSE),"-")</f>
        <v>-</v>
      </c>
      <c r="AQ11" s="4"/>
    </row>
    <row r="12">
      <c r="A12" s="4"/>
      <c r="B12" s="27"/>
      <c r="C12" s="4"/>
      <c r="D12" s="21"/>
      <c r="E12" s="26"/>
      <c r="F12" s="26"/>
      <c r="G12" s="26"/>
      <c r="H12" s="23" t="str">
        <f>IFERROR(VLOOKUP(D12,ANNEXES!$B$4:$H$20,2,FALSE),"-")</f>
        <v>-</v>
      </c>
      <c r="I12" s="23" t="str">
        <f>IFERROR(VLOOKUP(D12,ANNEXES!$B$4:$H$20,4,FALSE),"-")</f>
        <v>-</v>
      </c>
      <c r="J12" s="24" t="str">
        <f>IFERROR(VLOOKUP(D12,ANNEXES!$B$4:$H$20,6,FALSE),"-")</f>
        <v>-</v>
      </c>
      <c r="K12" s="25"/>
      <c r="L12" s="21"/>
      <c r="M12" s="26"/>
      <c r="N12" s="26"/>
      <c r="O12" s="26"/>
      <c r="P12" s="23" t="str">
        <f>IFERROR(VLOOKUP(L12,ANNEXES!$B$4:$H$20,2,FALSE),"-")</f>
        <v>-</v>
      </c>
      <c r="Q12" s="23" t="str">
        <f>IFERROR(VLOOKUP(L12,ANNEXES!$B$4:$H$20,4,FALSE),"-")</f>
        <v>-</v>
      </c>
      <c r="R12" s="24" t="str">
        <f>IFERROR(VLOOKUP(L12,ANNEXES!$B$4:$H$20,6,FALSE),"-")</f>
        <v>-</v>
      </c>
      <c r="S12" s="25"/>
      <c r="T12" s="21"/>
      <c r="U12" s="26"/>
      <c r="V12" s="26"/>
      <c r="W12" s="26"/>
      <c r="X12" s="23" t="str">
        <f>IFERROR(VLOOKUP(T12,ANNEXES!$B$4:$H$20,2,FALSE),"-")</f>
        <v>-</v>
      </c>
      <c r="Y12" s="23" t="str">
        <f>IFERROR(VLOOKUP(T12,ANNEXES!$B$4:$H$20,4,FALSE),"-")</f>
        <v>-</v>
      </c>
      <c r="Z12" s="24" t="str">
        <f>IFERROR(VLOOKUP(T12,ANNEXES!$B$4:$H$20,6,FALSE),"-")</f>
        <v>-</v>
      </c>
      <c r="AA12" s="25"/>
      <c r="AB12" s="21"/>
      <c r="AC12" s="26"/>
      <c r="AD12" s="26"/>
      <c r="AE12" s="26"/>
      <c r="AF12" s="23" t="str">
        <f>IFERROR(VLOOKUP(AB12,ANNEXES!$B$4:$H$20,2,FALSE),"-")</f>
        <v>-</v>
      </c>
      <c r="AG12" s="23" t="str">
        <f>IFERROR(VLOOKUP(AB12,ANNEXES!$B$4:$H$20,4,FALSE),"-")</f>
        <v>-</v>
      </c>
      <c r="AH12" s="24" t="str">
        <f>IFERROR(VLOOKUP(AB12,ANNEXES!$B$4:$H$20,6,FALSE),"-")</f>
        <v>-</v>
      </c>
      <c r="AI12" s="25"/>
      <c r="AJ12" s="21"/>
      <c r="AK12" s="26"/>
      <c r="AL12" s="26"/>
      <c r="AM12" s="26"/>
      <c r="AN12" s="23" t="str">
        <f>IFERROR(VLOOKUP(AJ12,ANNEXES!$B$4:$H$20,2,FALSE),"-")</f>
        <v>-</v>
      </c>
      <c r="AO12" s="23" t="str">
        <f>IFERROR(VLOOKUP(AJ12,ANNEXES!$B$4:$H$20,4,FALSE),"-")</f>
        <v>-</v>
      </c>
      <c r="AP12" s="24" t="str">
        <f>IFERROR(VLOOKUP(AJ12,ANNEXES!$B$4:$H$20,6,FALSE),"-")</f>
        <v>-</v>
      </c>
      <c r="AQ12" s="4"/>
    </row>
    <row r="13">
      <c r="A13" s="4"/>
      <c r="B13" s="27"/>
      <c r="C13" s="4"/>
      <c r="D13" s="21"/>
      <c r="E13" s="26"/>
      <c r="F13" s="26"/>
      <c r="G13" s="26"/>
      <c r="H13" s="23" t="str">
        <f>IFERROR(VLOOKUP(D13,ANNEXES!$B$4:$H$20,2,FALSE),"-")</f>
        <v>-</v>
      </c>
      <c r="I13" s="23" t="str">
        <f>IFERROR(VLOOKUP(D13,ANNEXES!$B$4:$H$20,4,FALSE),"-")</f>
        <v>-</v>
      </c>
      <c r="J13" s="24" t="str">
        <f>IFERROR(VLOOKUP(D13,ANNEXES!$B$4:$H$20,6,FALSE),"-")</f>
        <v>-</v>
      </c>
      <c r="K13" s="25"/>
      <c r="L13" s="21"/>
      <c r="M13" s="26"/>
      <c r="N13" s="26"/>
      <c r="O13" s="26"/>
      <c r="P13" s="23" t="str">
        <f>IFERROR(VLOOKUP(L13,ANNEXES!$B$4:$H$20,2,FALSE),"-")</f>
        <v>-</v>
      </c>
      <c r="Q13" s="23" t="str">
        <f>IFERROR(VLOOKUP(L13,ANNEXES!$B$4:$H$20,4,FALSE),"-")</f>
        <v>-</v>
      </c>
      <c r="R13" s="24" t="str">
        <f>IFERROR(VLOOKUP(L13,ANNEXES!$B$4:$H$20,6,FALSE),"-")</f>
        <v>-</v>
      </c>
      <c r="S13" s="25"/>
      <c r="T13" s="21"/>
      <c r="U13" s="26"/>
      <c r="V13" s="26"/>
      <c r="W13" s="26"/>
      <c r="X13" s="23" t="str">
        <f>IFERROR(VLOOKUP(T13,ANNEXES!$B$4:$H$20,2,FALSE),"-")</f>
        <v>-</v>
      </c>
      <c r="Y13" s="23" t="str">
        <f>IFERROR(VLOOKUP(T13,ANNEXES!$B$4:$H$20,4,FALSE),"-")</f>
        <v>-</v>
      </c>
      <c r="Z13" s="24" t="str">
        <f>IFERROR(VLOOKUP(T13,ANNEXES!$B$4:$H$20,6,FALSE),"-")</f>
        <v>-</v>
      </c>
      <c r="AA13" s="25"/>
      <c r="AB13" s="21"/>
      <c r="AC13" s="26"/>
      <c r="AD13" s="26"/>
      <c r="AE13" s="26"/>
      <c r="AF13" s="23" t="str">
        <f>IFERROR(VLOOKUP(AB13,ANNEXES!$B$4:$H$20,2,FALSE),"-")</f>
        <v>-</v>
      </c>
      <c r="AG13" s="23" t="str">
        <f>IFERROR(VLOOKUP(AB13,ANNEXES!$B$4:$H$20,4,FALSE),"-")</f>
        <v>-</v>
      </c>
      <c r="AH13" s="24" t="str">
        <f>IFERROR(VLOOKUP(AB13,ANNEXES!$B$4:$H$20,6,FALSE),"-")</f>
        <v>-</v>
      </c>
      <c r="AI13" s="25"/>
      <c r="AJ13" s="21"/>
      <c r="AK13" s="26"/>
      <c r="AL13" s="26"/>
      <c r="AM13" s="26"/>
      <c r="AN13" s="23" t="str">
        <f>IFERROR(VLOOKUP(AJ13,ANNEXES!$B$4:$H$20,2,FALSE),"-")</f>
        <v>-</v>
      </c>
      <c r="AO13" s="23" t="str">
        <f>IFERROR(VLOOKUP(AJ13,ANNEXES!$B$4:$H$20,4,FALSE),"-")</f>
        <v>-</v>
      </c>
      <c r="AP13" s="24" t="str">
        <f>IFERROR(VLOOKUP(AJ13,ANNEXES!$B$4:$H$20,6,FALSE),"-")</f>
        <v>-</v>
      </c>
      <c r="AQ13" s="4"/>
    </row>
    <row r="14">
      <c r="A14" s="4"/>
      <c r="B14" s="27"/>
      <c r="C14" s="4"/>
      <c r="D14" s="21"/>
      <c r="E14" s="26"/>
      <c r="F14" s="26"/>
      <c r="G14" s="26"/>
      <c r="H14" s="23" t="str">
        <f>IFERROR(VLOOKUP(D14,ANNEXES!$B$4:$H$20,2,FALSE),"-")</f>
        <v>-</v>
      </c>
      <c r="I14" s="23" t="str">
        <f>IFERROR(VLOOKUP(D14,ANNEXES!$B$4:$H$20,4,FALSE),"-")</f>
        <v>-</v>
      </c>
      <c r="J14" s="24" t="str">
        <f>IFERROR(VLOOKUP(D14,ANNEXES!$B$4:$H$20,6,FALSE),"-")</f>
        <v>-</v>
      </c>
      <c r="K14" s="25"/>
      <c r="L14" s="21"/>
      <c r="M14" s="26"/>
      <c r="N14" s="26"/>
      <c r="O14" s="26"/>
      <c r="P14" s="23" t="str">
        <f>IFERROR(VLOOKUP(L14,ANNEXES!$B$4:$H$20,2,FALSE),"-")</f>
        <v>-</v>
      </c>
      <c r="Q14" s="23" t="str">
        <f>IFERROR(VLOOKUP(L14,ANNEXES!$B$4:$H$20,4,FALSE),"-")</f>
        <v>-</v>
      </c>
      <c r="R14" s="24" t="str">
        <f>IFERROR(VLOOKUP(L14,ANNEXES!$B$4:$H$20,6,FALSE),"-")</f>
        <v>-</v>
      </c>
      <c r="S14" s="25"/>
      <c r="T14" s="21"/>
      <c r="U14" s="26"/>
      <c r="V14" s="26"/>
      <c r="W14" s="26"/>
      <c r="X14" s="23" t="str">
        <f>IFERROR(VLOOKUP(T14,ANNEXES!$B$4:$H$20,2,FALSE),"-")</f>
        <v>-</v>
      </c>
      <c r="Y14" s="23" t="str">
        <f>IFERROR(VLOOKUP(T14,ANNEXES!$B$4:$H$20,4,FALSE),"-")</f>
        <v>-</v>
      </c>
      <c r="Z14" s="24" t="str">
        <f>IFERROR(VLOOKUP(T14,ANNEXES!$B$4:$H$20,6,FALSE),"-")</f>
        <v>-</v>
      </c>
      <c r="AA14" s="25"/>
      <c r="AB14" s="21"/>
      <c r="AC14" s="26"/>
      <c r="AD14" s="26"/>
      <c r="AE14" s="26"/>
      <c r="AF14" s="23" t="str">
        <f>IFERROR(VLOOKUP(AB14,ANNEXES!$B$4:$H$20,2,FALSE),"-")</f>
        <v>-</v>
      </c>
      <c r="AG14" s="23" t="str">
        <f>IFERROR(VLOOKUP(AB14,ANNEXES!$B$4:$H$20,4,FALSE),"-")</f>
        <v>-</v>
      </c>
      <c r="AH14" s="24" t="str">
        <f>IFERROR(VLOOKUP(AB14,ANNEXES!$B$4:$H$20,6,FALSE),"-")</f>
        <v>-</v>
      </c>
      <c r="AI14" s="25"/>
      <c r="AJ14" s="21"/>
      <c r="AK14" s="26"/>
      <c r="AL14" s="26"/>
      <c r="AM14" s="26"/>
      <c r="AN14" s="23" t="str">
        <f>IFERROR(VLOOKUP(AJ14,ANNEXES!$B$4:$H$20,2,FALSE),"-")</f>
        <v>-</v>
      </c>
      <c r="AO14" s="23" t="str">
        <f>IFERROR(VLOOKUP(AJ14,ANNEXES!$B$4:$H$20,4,FALSE),"-")</f>
        <v>-</v>
      </c>
      <c r="AP14" s="24" t="str">
        <f>IFERROR(VLOOKUP(AJ14,ANNEXES!$B$4:$H$20,6,FALSE),"-")</f>
        <v>-</v>
      </c>
      <c r="AQ14" s="4"/>
    </row>
    <row r="15">
      <c r="A15" s="4"/>
      <c r="B15" s="27"/>
      <c r="C15" s="4"/>
      <c r="D15" s="21"/>
      <c r="E15" s="26"/>
      <c r="F15" s="26"/>
      <c r="G15" s="26"/>
      <c r="H15" s="23" t="str">
        <f>IFERROR(VLOOKUP(D15,ANNEXES!$B$4:$H$20,2,FALSE),"-")</f>
        <v>-</v>
      </c>
      <c r="I15" s="23" t="str">
        <f>IFERROR(VLOOKUP(D15,ANNEXES!$B$4:$H$20,4,FALSE),"-")</f>
        <v>-</v>
      </c>
      <c r="J15" s="24" t="str">
        <f>IFERROR(VLOOKUP(D15,ANNEXES!$B$4:$H$20,6,FALSE),"-")</f>
        <v>-</v>
      </c>
      <c r="K15" s="25"/>
      <c r="L15" s="21"/>
      <c r="M15" s="26"/>
      <c r="N15" s="26"/>
      <c r="O15" s="26"/>
      <c r="P15" s="23" t="str">
        <f>IFERROR(VLOOKUP(L15,ANNEXES!$B$4:$H$20,2,FALSE),"-")</f>
        <v>-</v>
      </c>
      <c r="Q15" s="23" t="str">
        <f>IFERROR(VLOOKUP(L15,ANNEXES!$B$4:$H$20,4,FALSE),"-")</f>
        <v>-</v>
      </c>
      <c r="R15" s="24" t="str">
        <f>IFERROR(VLOOKUP(L15,ANNEXES!$B$4:$H$20,6,FALSE),"-")</f>
        <v>-</v>
      </c>
      <c r="S15" s="25"/>
      <c r="T15" s="21"/>
      <c r="U15" s="26"/>
      <c r="V15" s="26"/>
      <c r="W15" s="26"/>
      <c r="X15" s="23" t="str">
        <f>IFERROR(VLOOKUP(T15,ANNEXES!$B$4:$H$20,2,FALSE),"-")</f>
        <v>-</v>
      </c>
      <c r="Y15" s="23" t="str">
        <f>IFERROR(VLOOKUP(T15,ANNEXES!$B$4:$H$20,4,FALSE),"-")</f>
        <v>-</v>
      </c>
      <c r="Z15" s="24" t="str">
        <f>IFERROR(VLOOKUP(T15,ANNEXES!$B$4:$H$20,6,FALSE),"-")</f>
        <v>-</v>
      </c>
      <c r="AA15" s="25"/>
      <c r="AB15" s="21"/>
      <c r="AC15" s="26"/>
      <c r="AD15" s="26"/>
      <c r="AE15" s="26"/>
      <c r="AF15" s="23" t="str">
        <f>IFERROR(VLOOKUP(AB15,ANNEXES!$B$4:$H$20,2,FALSE),"-")</f>
        <v>-</v>
      </c>
      <c r="AG15" s="23" t="str">
        <f>IFERROR(VLOOKUP(AB15,ANNEXES!$B$4:$H$20,4,FALSE),"-")</f>
        <v>-</v>
      </c>
      <c r="AH15" s="24" t="str">
        <f>IFERROR(VLOOKUP(AB15,ANNEXES!$B$4:$H$20,6,FALSE),"-")</f>
        <v>-</v>
      </c>
      <c r="AI15" s="25"/>
      <c r="AJ15" s="21"/>
      <c r="AK15" s="26"/>
      <c r="AL15" s="26"/>
      <c r="AM15" s="26"/>
      <c r="AN15" s="23" t="str">
        <f>IFERROR(VLOOKUP(AJ15,ANNEXES!$B$4:$H$20,2,FALSE),"-")</f>
        <v>-</v>
      </c>
      <c r="AO15" s="23" t="str">
        <f>IFERROR(VLOOKUP(AJ15,ANNEXES!$B$4:$H$20,4,FALSE),"-")</f>
        <v>-</v>
      </c>
      <c r="AP15" s="24" t="str">
        <f>IFERROR(VLOOKUP(AJ15,ANNEXES!$B$4:$H$20,6,FALSE),"-")</f>
        <v>-</v>
      </c>
      <c r="AQ15" s="4"/>
    </row>
    <row r="16">
      <c r="A16" s="4"/>
      <c r="B16" s="15"/>
      <c r="C16" s="4"/>
      <c r="D16" s="28" t="s">
        <v>6</v>
      </c>
      <c r="E16" s="29" t="s">
        <v>7</v>
      </c>
      <c r="G16" s="29" t="s">
        <v>8</v>
      </c>
      <c r="I16" s="29" t="s">
        <v>9</v>
      </c>
      <c r="J16" s="30"/>
      <c r="K16" s="25"/>
      <c r="L16" s="28" t="s">
        <v>6</v>
      </c>
      <c r="M16" s="29" t="s">
        <v>7</v>
      </c>
      <c r="O16" s="29" t="s">
        <v>8</v>
      </c>
      <c r="Q16" s="29" t="s">
        <v>9</v>
      </c>
      <c r="R16" s="30"/>
      <c r="S16" s="25"/>
      <c r="T16" s="28" t="s">
        <v>6</v>
      </c>
      <c r="U16" s="29" t="s">
        <v>7</v>
      </c>
      <c r="W16" s="29" t="s">
        <v>8</v>
      </c>
      <c r="Y16" s="29" t="s">
        <v>9</v>
      </c>
      <c r="Z16" s="30"/>
      <c r="AA16" s="25"/>
      <c r="AB16" s="28" t="s">
        <v>6</v>
      </c>
      <c r="AC16" s="29" t="s">
        <v>7</v>
      </c>
      <c r="AE16" s="29" t="s">
        <v>8</v>
      </c>
      <c r="AG16" s="29" t="s">
        <v>9</v>
      </c>
      <c r="AH16" s="30"/>
      <c r="AI16" s="25"/>
      <c r="AJ16" s="28" t="s">
        <v>6</v>
      </c>
      <c r="AK16" s="29" t="s">
        <v>7</v>
      </c>
      <c r="AM16" s="29" t="s">
        <v>8</v>
      </c>
      <c r="AO16" s="29" t="s">
        <v>9</v>
      </c>
      <c r="AP16" s="30"/>
      <c r="AQ16" s="4"/>
    </row>
    <row r="17">
      <c r="A17" s="4"/>
      <c r="B17" s="20" t="s">
        <v>18</v>
      </c>
      <c r="C17" s="4"/>
      <c r="D17" s="31" t="s">
        <v>19</v>
      </c>
      <c r="E17" s="22">
        <v>1634.0</v>
      </c>
      <c r="G17" s="22">
        <v>0.0</v>
      </c>
      <c r="I17" s="22">
        <v>0.0</v>
      </c>
      <c r="J17" s="30"/>
      <c r="K17" s="32"/>
      <c r="L17" s="31" t="s">
        <v>19</v>
      </c>
      <c r="M17" s="22">
        <v>1496.0</v>
      </c>
      <c r="O17" s="22">
        <v>0.0</v>
      </c>
      <c r="Q17" s="22">
        <v>0.0</v>
      </c>
      <c r="R17" s="30"/>
      <c r="S17" s="32"/>
      <c r="T17" s="31" t="s">
        <v>19</v>
      </c>
      <c r="U17" s="22">
        <v>1370.0</v>
      </c>
      <c r="W17" s="22">
        <v>0.0</v>
      </c>
      <c r="Y17" s="22">
        <v>0.0</v>
      </c>
      <c r="Z17" s="30"/>
      <c r="AA17" s="32"/>
      <c r="AB17" s="31" t="s">
        <v>19</v>
      </c>
      <c r="AC17" s="22">
        <v>1209.0</v>
      </c>
      <c r="AE17" s="22">
        <v>0.0</v>
      </c>
      <c r="AG17" s="22">
        <v>0.0</v>
      </c>
      <c r="AH17" s="30"/>
      <c r="AI17" s="25"/>
      <c r="AJ17" s="21"/>
      <c r="AK17" s="33"/>
      <c r="AM17" s="33"/>
      <c r="AO17" s="33"/>
      <c r="AP17" s="30"/>
      <c r="AQ17" s="4"/>
    </row>
    <row r="18">
      <c r="A18" s="4"/>
      <c r="B18" s="20" t="s">
        <v>20</v>
      </c>
      <c r="C18" s="4"/>
      <c r="D18" s="21"/>
      <c r="E18" s="33"/>
      <c r="G18" s="33"/>
      <c r="I18" s="33"/>
      <c r="J18" s="30"/>
      <c r="K18" s="25"/>
      <c r="L18" s="21"/>
      <c r="M18" s="33"/>
      <c r="O18" s="33"/>
      <c r="Q18" s="33"/>
      <c r="R18" s="30"/>
      <c r="S18" s="25"/>
      <c r="T18" s="21"/>
      <c r="U18" s="33"/>
      <c r="W18" s="33"/>
      <c r="Y18" s="33"/>
      <c r="Z18" s="30"/>
      <c r="AA18" s="25"/>
      <c r="AB18" s="21"/>
      <c r="AC18" s="33"/>
      <c r="AE18" s="33"/>
      <c r="AG18" s="33"/>
      <c r="AH18" s="30"/>
      <c r="AI18" s="25"/>
      <c r="AJ18" s="21"/>
      <c r="AK18" s="33"/>
      <c r="AM18" s="33"/>
      <c r="AO18" s="33"/>
      <c r="AP18" s="30"/>
      <c r="AQ18" s="4"/>
    </row>
    <row r="19">
      <c r="A19" s="4"/>
      <c r="B19" s="27"/>
      <c r="C19" s="4"/>
      <c r="D19" s="21"/>
      <c r="E19" s="33"/>
      <c r="G19" s="33"/>
      <c r="I19" s="33"/>
      <c r="J19" s="30"/>
      <c r="K19" s="25"/>
      <c r="L19" s="21"/>
      <c r="M19" s="33"/>
      <c r="O19" s="33"/>
      <c r="Q19" s="33"/>
      <c r="R19" s="30"/>
      <c r="S19" s="25"/>
      <c r="T19" s="21"/>
      <c r="U19" s="33"/>
      <c r="W19" s="33"/>
      <c r="Y19" s="33"/>
      <c r="Z19" s="30"/>
      <c r="AA19" s="25"/>
      <c r="AB19" s="21"/>
      <c r="AC19" s="33"/>
      <c r="AE19" s="33"/>
      <c r="AG19" s="33"/>
      <c r="AH19" s="30"/>
      <c r="AI19" s="25"/>
      <c r="AJ19" s="21"/>
      <c r="AK19" s="33"/>
      <c r="AM19" s="33"/>
      <c r="AO19" s="33"/>
      <c r="AP19" s="30"/>
      <c r="AQ19" s="4"/>
    </row>
    <row r="20">
      <c r="A20" s="4"/>
      <c r="B20" s="20" t="s">
        <v>21</v>
      </c>
      <c r="C20" s="4"/>
      <c r="D20" s="21"/>
      <c r="E20" s="34"/>
      <c r="G20" s="33"/>
      <c r="I20" s="33"/>
      <c r="J20" s="30"/>
      <c r="K20" s="25"/>
      <c r="L20" s="21" t="s">
        <v>22</v>
      </c>
      <c r="M20" s="34">
        <v>150.0</v>
      </c>
      <c r="O20" s="22">
        <v>0.0</v>
      </c>
      <c r="Q20" s="22">
        <v>0.0</v>
      </c>
      <c r="R20" s="30"/>
      <c r="S20" s="25"/>
      <c r="T20" s="21" t="s">
        <v>22</v>
      </c>
      <c r="U20" s="34">
        <v>145.0</v>
      </c>
      <c r="W20" s="22">
        <v>0.0</v>
      </c>
      <c r="Y20" s="22">
        <v>0.0</v>
      </c>
      <c r="Z20" s="30"/>
      <c r="AA20" s="25"/>
      <c r="AB20" s="21"/>
      <c r="AC20" s="34"/>
      <c r="AE20" s="33"/>
      <c r="AG20" s="33"/>
      <c r="AH20" s="30"/>
      <c r="AI20" s="25"/>
      <c r="AJ20" s="21"/>
      <c r="AK20" s="34"/>
      <c r="AM20" s="33"/>
      <c r="AO20" s="33"/>
      <c r="AP20" s="30"/>
      <c r="AQ20" s="4"/>
    </row>
    <row r="21">
      <c r="A21" s="4"/>
      <c r="B21" s="27"/>
      <c r="C21" s="4"/>
      <c r="D21" s="21"/>
      <c r="E21" s="33"/>
      <c r="G21" s="33"/>
      <c r="I21" s="33"/>
      <c r="J21" s="30"/>
      <c r="K21" s="25"/>
      <c r="L21" s="21"/>
      <c r="M21" s="33"/>
      <c r="O21" s="33"/>
      <c r="Q21" s="33"/>
      <c r="R21" s="30"/>
      <c r="S21" s="25"/>
      <c r="T21" s="21"/>
      <c r="U21" s="33"/>
      <c r="W21" s="33"/>
      <c r="Y21" s="33"/>
      <c r="Z21" s="30"/>
      <c r="AA21" s="25"/>
      <c r="AB21" s="21"/>
      <c r="AC21" s="33"/>
      <c r="AE21" s="33"/>
      <c r="AG21" s="33"/>
      <c r="AH21" s="30"/>
      <c r="AI21" s="25"/>
      <c r="AJ21" s="21"/>
      <c r="AK21" s="33"/>
      <c r="AM21" s="33"/>
      <c r="AO21" s="33"/>
      <c r="AP21" s="30"/>
      <c r="AQ21" s="4"/>
    </row>
    <row r="22">
      <c r="A22" s="4"/>
      <c r="B22" s="27"/>
      <c r="C22" s="4"/>
      <c r="D22" s="21"/>
      <c r="E22" s="33"/>
      <c r="G22" s="33"/>
      <c r="I22" s="33"/>
      <c r="J22" s="30"/>
      <c r="K22" s="25"/>
      <c r="L22" s="21"/>
      <c r="M22" s="33"/>
      <c r="O22" s="33"/>
      <c r="Q22" s="33"/>
      <c r="R22" s="30"/>
      <c r="S22" s="25"/>
      <c r="T22" s="21"/>
      <c r="U22" s="33"/>
      <c r="W22" s="33"/>
      <c r="Y22" s="33"/>
      <c r="Z22" s="30"/>
      <c r="AA22" s="25"/>
      <c r="AB22" s="21"/>
      <c r="AC22" s="33"/>
      <c r="AE22" s="33"/>
      <c r="AG22" s="33"/>
      <c r="AH22" s="30"/>
      <c r="AI22" s="25"/>
      <c r="AJ22" s="21"/>
      <c r="AK22" s="33"/>
      <c r="AM22" s="33"/>
      <c r="AO22" s="33"/>
      <c r="AP22" s="30"/>
      <c r="AQ22" s="4"/>
    </row>
    <row r="23">
      <c r="A23" s="4"/>
      <c r="B23" s="20" t="s">
        <v>23</v>
      </c>
      <c r="C23" s="4"/>
      <c r="D23" s="21"/>
      <c r="E23" s="33"/>
      <c r="G23" s="33"/>
      <c r="I23" s="33"/>
      <c r="J23" s="30"/>
      <c r="K23" s="25"/>
      <c r="L23" s="21"/>
      <c r="M23" s="33"/>
      <c r="O23" s="33"/>
      <c r="Q23" s="33"/>
      <c r="R23" s="30"/>
      <c r="S23" s="25"/>
      <c r="T23" s="21"/>
      <c r="U23" s="33"/>
      <c r="W23" s="33"/>
      <c r="Y23" s="33"/>
      <c r="Z23" s="30"/>
      <c r="AA23" s="25"/>
      <c r="AB23" s="21"/>
      <c r="AC23" s="33"/>
      <c r="AE23" s="33"/>
      <c r="AG23" s="33"/>
      <c r="AH23" s="30"/>
      <c r="AI23" s="25"/>
      <c r="AJ23" s="21"/>
      <c r="AK23" s="33"/>
      <c r="AM23" s="33"/>
      <c r="AO23" s="33"/>
      <c r="AP23" s="30"/>
      <c r="AQ23" s="4"/>
    </row>
    <row r="24">
      <c r="A24" s="4"/>
      <c r="B24" s="27"/>
      <c r="C24" s="4"/>
      <c r="D24" s="21"/>
      <c r="E24" s="33"/>
      <c r="G24" s="33"/>
      <c r="I24" s="33"/>
      <c r="J24" s="30"/>
      <c r="K24" s="25"/>
      <c r="L24" s="21"/>
      <c r="M24" s="33"/>
      <c r="O24" s="33"/>
      <c r="Q24" s="33"/>
      <c r="R24" s="30"/>
      <c r="S24" s="25"/>
      <c r="T24" s="21"/>
      <c r="U24" s="33"/>
      <c r="W24" s="33"/>
      <c r="Y24" s="33"/>
      <c r="Z24" s="30"/>
      <c r="AA24" s="25"/>
      <c r="AB24" s="21"/>
      <c r="AC24" s="33"/>
      <c r="AE24" s="33"/>
      <c r="AG24" s="33"/>
      <c r="AH24" s="30"/>
      <c r="AI24" s="25"/>
      <c r="AJ24" s="21"/>
      <c r="AK24" s="33"/>
      <c r="AM24" s="33"/>
      <c r="AO24" s="33"/>
      <c r="AP24" s="30"/>
      <c r="AQ24" s="4"/>
    </row>
    <row r="25">
      <c r="A25" s="4"/>
      <c r="B25" s="35"/>
      <c r="C25" s="4"/>
      <c r="D25" s="36"/>
      <c r="E25" s="37"/>
      <c r="F25" s="38"/>
      <c r="G25" s="37"/>
      <c r="H25" s="38"/>
      <c r="I25" s="37"/>
      <c r="J25" s="39"/>
      <c r="K25" s="25"/>
      <c r="L25" s="36"/>
      <c r="M25" s="37"/>
      <c r="N25" s="38"/>
      <c r="O25" s="37"/>
      <c r="P25" s="38"/>
      <c r="Q25" s="37"/>
      <c r="R25" s="39"/>
      <c r="S25" s="25"/>
      <c r="T25" s="36"/>
      <c r="U25" s="37"/>
      <c r="V25" s="38"/>
      <c r="W25" s="37"/>
      <c r="X25" s="38"/>
      <c r="Y25" s="37"/>
      <c r="Z25" s="39"/>
      <c r="AA25" s="25"/>
      <c r="AB25" s="36"/>
      <c r="AC25" s="37"/>
      <c r="AD25" s="38"/>
      <c r="AE25" s="37"/>
      <c r="AF25" s="38"/>
      <c r="AG25" s="37"/>
      <c r="AH25" s="39"/>
      <c r="AI25" s="25"/>
      <c r="AJ25" s="36"/>
      <c r="AK25" s="37"/>
      <c r="AL25" s="38"/>
      <c r="AM25" s="37"/>
      <c r="AN25" s="38"/>
      <c r="AO25" s="37"/>
      <c r="AP25" s="39"/>
      <c r="AQ25" s="4"/>
    </row>
    <row r="26">
      <c r="A26" s="40"/>
      <c r="B26" s="41"/>
      <c r="C26" s="42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3"/>
    </row>
    <row r="27">
      <c r="A27" s="4"/>
      <c r="B27" s="5" t="s">
        <v>24</v>
      </c>
      <c r="C27" s="6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4"/>
    </row>
    <row r="28">
      <c r="A28" s="7"/>
      <c r="B28" s="2"/>
      <c r="C28" s="8"/>
      <c r="D28" s="2"/>
      <c r="E28" s="2"/>
      <c r="F28" s="2"/>
      <c r="G28" s="2"/>
      <c r="H28" s="2"/>
      <c r="I28" s="2"/>
      <c r="J28" s="2"/>
      <c r="K28" s="8"/>
      <c r="L28" s="2"/>
      <c r="M28" s="2"/>
      <c r="N28" s="2"/>
      <c r="O28" s="2"/>
      <c r="P28" s="2"/>
      <c r="Q28" s="2"/>
      <c r="R28" s="2"/>
      <c r="S28" s="8"/>
      <c r="T28" s="2"/>
      <c r="U28" s="2"/>
      <c r="V28" s="2"/>
      <c r="W28" s="2"/>
      <c r="X28" s="2"/>
      <c r="Y28" s="2"/>
      <c r="Z28" s="2"/>
      <c r="AA28" s="8"/>
      <c r="AB28" s="2"/>
      <c r="AC28" s="2"/>
      <c r="AD28" s="2"/>
      <c r="AE28" s="2"/>
      <c r="AF28" s="2"/>
      <c r="AG28" s="2"/>
      <c r="AH28" s="2"/>
      <c r="AI28" s="8"/>
      <c r="AJ28" s="2"/>
      <c r="AK28" s="2"/>
      <c r="AL28" s="2"/>
      <c r="AM28" s="2"/>
      <c r="AN28" s="2"/>
      <c r="AO28" s="2"/>
      <c r="AP28" s="2"/>
      <c r="AQ28" s="9"/>
    </row>
    <row r="29" ht="21.75" customHeight="1">
      <c r="A29" s="4"/>
      <c r="B29" s="10"/>
      <c r="C29" s="4"/>
      <c r="D29" s="14" t="s">
        <v>25</v>
      </c>
      <c r="E29" s="12"/>
      <c r="F29" s="12"/>
      <c r="G29" s="12"/>
      <c r="H29" s="12"/>
      <c r="I29" s="12"/>
      <c r="J29" s="13"/>
      <c r="K29" s="4"/>
      <c r="L29" s="14" t="s">
        <v>26</v>
      </c>
      <c r="M29" s="12"/>
      <c r="N29" s="12"/>
      <c r="O29" s="12"/>
      <c r="P29" s="12"/>
      <c r="Q29" s="12"/>
      <c r="R29" s="13"/>
      <c r="S29" s="4"/>
      <c r="T29" s="14" t="s">
        <v>27</v>
      </c>
      <c r="U29" s="12"/>
      <c r="V29" s="12"/>
      <c r="W29" s="12"/>
      <c r="X29" s="12"/>
      <c r="Y29" s="12"/>
      <c r="Z29" s="13"/>
      <c r="AA29" s="4"/>
      <c r="AB29" s="14" t="s">
        <v>28</v>
      </c>
      <c r="AC29" s="12"/>
      <c r="AD29" s="12"/>
      <c r="AE29" s="12"/>
      <c r="AF29" s="12"/>
      <c r="AG29" s="12"/>
      <c r="AH29" s="13"/>
      <c r="AI29" s="4"/>
      <c r="AJ29" s="14" t="s">
        <v>29</v>
      </c>
      <c r="AK29" s="12"/>
      <c r="AL29" s="12"/>
      <c r="AM29" s="12"/>
      <c r="AN29" s="12"/>
      <c r="AO29" s="12"/>
      <c r="AP29" s="13"/>
      <c r="AQ29" s="4"/>
    </row>
    <row r="30">
      <c r="A30" s="4"/>
      <c r="B30" s="15"/>
      <c r="C30" s="4"/>
      <c r="D30" s="16" t="s">
        <v>6</v>
      </c>
      <c r="E30" s="17" t="s">
        <v>7</v>
      </c>
      <c r="F30" s="17" t="s">
        <v>8</v>
      </c>
      <c r="G30" s="17" t="s">
        <v>9</v>
      </c>
      <c r="H30" s="17" t="s">
        <v>10</v>
      </c>
      <c r="I30" s="17" t="s">
        <v>11</v>
      </c>
      <c r="J30" s="18" t="s">
        <v>12</v>
      </c>
      <c r="K30" s="4"/>
      <c r="L30" s="16" t="s">
        <v>6</v>
      </c>
      <c r="M30" s="17" t="s">
        <v>7</v>
      </c>
      <c r="N30" s="17" t="s">
        <v>8</v>
      </c>
      <c r="O30" s="17" t="s">
        <v>9</v>
      </c>
      <c r="P30" s="17" t="s">
        <v>10</v>
      </c>
      <c r="Q30" s="17" t="s">
        <v>11</v>
      </c>
      <c r="R30" s="18" t="s">
        <v>12</v>
      </c>
      <c r="S30" s="4"/>
      <c r="T30" s="16" t="s">
        <v>6</v>
      </c>
      <c r="U30" s="17" t="s">
        <v>7</v>
      </c>
      <c r="V30" s="17" t="s">
        <v>8</v>
      </c>
      <c r="W30" s="17" t="s">
        <v>9</v>
      </c>
      <c r="X30" s="17" t="s">
        <v>10</v>
      </c>
      <c r="Y30" s="17" t="s">
        <v>11</v>
      </c>
      <c r="Z30" s="18" t="s">
        <v>12</v>
      </c>
      <c r="AA30" s="4"/>
      <c r="AB30" s="16" t="s">
        <v>6</v>
      </c>
      <c r="AC30" s="17" t="s">
        <v>7</v>
      </c>
      <c r="AD30" s="17" t="s">
        <v>8</v>
      </c>
      <c r="AE30" s="17" t="s">
        <v>9</v>
      </c>
      <c r="AF30" s="17" t="s">
        <v>10</v>
      </c>
      <c r="AG30" s="17" t="s">
        <v>11</v>
      </c>
      <c r="AH30" s="18" t="s">
        <v>12</v>
      </c>
      <c r="AI30" s="4"/>
      <c r="AJ30" s="16" t="s">
        <v>6</v>
      </c>
      <c r="AK30" s="17" t="s">
        <v>7</v>
      </c>
      <c r="AL30" s="17" t="s">
        <v>8</v>
      </c>
      <c r="AM30" s="17" t="s">
        <v>9</v>
      </c>
      <c r="AN30" s="17" t="s">
        <v>10</v>
      </c>
      <c r="AO30" s="17" t="s">
        <v>11</v>
      </c>
      <c r="AP30" s="18" t="s">
        <v>12</v>
      </c>
      <c r="AQ30" s="4"/>
    </row>
    <row r="31">
      <c r="A31" s="4"/>
      <c r="B31" s="20" t="s">
        <v>30</v>
      </c>
      <c r="C31" s="4"/>
      <c r="D31" s="21" t="s">
        <v>31</v>
      </c>
      <c r="E31" s="22">
        <v>12000.0</v>
      </c>
      <c r="F31" s="26">
        <v>0.0</v>
      </c>
      <c r="G31" s="26">
        <v>0.0</v>
      </c>
      <c r="H31" s="23" t="s">
        <v>32</v>
      </c>
      <c r="I31" s="23">
        <v>5.0</v>
      </c>
      <c r="J31" s="24">
        <v>0.0</v>
      </c>
      <c r="K31" s="4"/>
      <c r="L31" s="21" t="s">
        <v>31</v>
      </c>
      <c r="M31" s="22">
        <v>15000.0</v>
      </c>
      <c r="N31" s="26">
        <v>0.0</v>
      </c>
      <c r="O31" s="26">
        <v>0.0</v>
      </c>
      <c r="P31" s="23" t="s">
        <v>32</v>
      </c>
      <c r="Q31" s="23">
        <v>5.0</v>
      </c>
      <c r="R31" s="24">
        <v>0.0</v>
      </c>
      <c r="S31" s="4"/>
      <c r="T31" s="21" t="s">
        <v>31</v>
      </c>
      <c r="U31" s="22">
        <v>15000.0</v>
      </c>
      <c r="V31" s="26">
        <v>0.0</v>
      </c>
      <c r="W31" s="26">
        <v>0.0</v>
      </c>
      <c r="X31" s="23" t="s">
        <v>32</v>
      </c>
      <c r="Y31" s="23">
        <v>5.0</v>
      </c>
      <c r="Z31" s="24">
        <v>0.0</v>
      </c>
      <c r="AA31" s="4"/>
      <c r="AB31" s="21" t="s">
        <v>31</v>
      </c>
      <c r="AC31" s="22">
        <v>15000.0</v>
      </c>
      <c r="AD31" s="26">
        <v>0.0</v>
      </c>
      <c r="AE31" s="26">
        <v>0.0</v>
      </c>
      <c r="AF31" s="23" t="s">
        <v>32</v>
      </c>
      <c r="AG31" s="23">
        <v>5.0</v>
      </c>
      <c r="AH31" s="24">
        <v>0.0</v>
      </c>
      <c r="AI31" s="4"/>
      <c r="AJ31" s="21" t="s">
        <v>31</v>
      </c>
      <c r="AK31" s="22">
        <v>15000.0</v>
      </c>
      <c r="AL31" s="26">
        <v>0.0</v>
      </c>
      <c r="AM31" s="26">
        <v>0.0</v>
      </c>
      <c r="AN31" s="23" t="s">
        <v>32</v>
      </c>
      <c r="AO31" s="23">
        <v>5.0</v>
      </c>
      <c r="AP31" s="24">
        <v>0.0</v>
      </c>
      <c r="AQ31" s="4"/>
    </row>
    <row r="32">
      <c r="A32" s="4"/>
      <c r="B32" s="27"/>
      <c r="C32" s="4"/>
      <c r="D32" s="21" t="s">
        <v>33</v>
      </c>
      <c r="E32" s="22">
        <v>57000.0</v>
      </c>
      <c r="F32" s="26">
        <v>0.0</v>
      </c>
      <c r="G32" s="26">
        <v>0.0</v>
      </c>
      <c r="H32" s="23">
        <v>3.0</v>
      </c>
      <c r="I32" s="23" t="s">
        <v>34</v>
      </c>
      <c r="J32" s="24" t="s">
        <v>34</v>
      </c>
      <c r="K32" s="4"/>
      <c r="L32" s="21" t="s">
        <v>33</v>
      </c>
      <c r="M32" s="22">
        <v>300000.0</v>
      </c>
      <c r="N32" s="26">
        <v>0.0</v>
      </c>
      <c r="O32" s="26">
        <v>0.0</v>
      </c>
      <c r="P32" s="23">
        <v>3.0</v>
      </c>
      <c r="Q32" s="23" t="s">
        <v>34</v>
      </c>
      <c r="R32" s="24" t="s">
        <v>34</v>
      </c>
      <c r="S32" s="4"/>
      <c r="T32" s="21" t="s">
        <v>33</v>
      </c>
      <c r="U32" s="22">
        <v>300000.0</v>
      </c>
      <c r="V32" s="26">
        <v>0.0</v>
      </c>
      <c r="W32" s="26">
        <v>0.0</v>
      </c>
      <c r="X32" s="23">
        <v>3.0</v>
      </c>
      <c r="Y32" s="23" t="s">
        <v>34</v>
      </c>
      <c r="Z32" s="24" t="s">
        <v>34</v>
      </c>
      <c r="AA32" s="4"/>
      <c r="AB32" s="21" t="s">
        <v>33</v>
      </c>
      <c r="AC32" s="22">
        <v>300000.0</v>
      </c>
      <c r="AD32" s="26">
        <v>0.0</v>
      </c>
      <c r="AE32" s="26">
        <v>0.0</v>
      </c>
      <c r="AF32" s="23">
        <v>3.0</v>
      </c>
      <c r="AG32" s="23" t="s">
        <v>34</v>
      </c>
      <c r="AH32" s="24" t="s">
        <v>34</v>
      </c>
      <c r="AI32" s="4"/>
      <c r="AJ32" s="21" t="s">
        <v>33</v>
      </c>
      <c r="AK32" s="22">
        <v>300000.0</v>
      </c>
      <c r="AL32" s="26">
        <v>0.0</v>
      </c>
      <c r="AM32" s="26">
        <v>0.0</v>
      </c>
      <c r="AN32" s="23">
        <v>3.0</v>
      </c>
      <c r="AO32" s="23" t="s">
        <v>34</v>
      </c>
      <c r="AP32" s="24" t="s">
        <v>34</v>
      </c>
      <c r="AQ32" s="4"/>
    </row>
    <row r="33">
      <c r="A33" s="4"/>
      <c r="B33" s="27"/>
      <c r="C33" s="4"/>
      <c r="D33" s="21"/>
      <c r="E33" s="26"/>
      <c r="F33" s="26"/>
      <c r="G33" s="26"/>
      <c r="H33" s="23" t="str">
        <f>IFERROR(VLOOKUP(D33,ANNEXES!$B$4:$H$20,2,FALSE),"-")</f>
        <v>-</v>
      </c>
      <c r="I33" s="23" t="str">
        <f>IFERROR(VLOOKUP(D33,ANNEXES!$B$4:$H$20,4,FALSE),"-")</f>
        <v>-</v>
      </c>
      <c r="J33" s="24" t="str">
        <f>IFERROR(VLOOKUP(D33,ANNEXES!$B$4:$H$20,6,FALSE),"-")</f>
        <v>-</v>
      </c>
      <c r="K33" s="4"/>
      <c r="L33" s="21"/>
      <c r="M33" s="26"/>
      <c r="N33" s="26"/>
      <c r="O33" s="26"/>
      <c r="P33" s="23" t="str">
        <f>IFERROR(VLOOKUP(L33,ANNEXES!$B$4:$H$20,2,FALSE),"-")</f>
        <v>-</v>
      </c>
      <c r="Q33" s="23" t="str">
        <f>IFERROR(VLOOKUP(L33,ANNEXES!$B$4:$H$20,4,FALSE),"-")</f>
        <v>-</v>
      </c>
      <c r="R33" s="24" t="str">
        <f>IFERROR(VLOOKUP(L33,ANNEXES!$B$4:$H$20,6,FALSE),"-")</f>
        <v>-</v>
      </c>
      <c r="S33" s="4"/>
      <c r="T33" s="21"/>
      <c r="U33" s="26"/>
      <c r="V33" s="26"/>
      <c r="W33" s="26"/>
      <c r="X33" s="23" t="str">
        <f>IFERROR(VLOOKUP(T33,ANNEXES!$B$4:$H$20,2,FALSE),"-")</f>
        <v>-</v>
      </c>
      <c r="Y33" s="23" t="str">
        <f>IFERROR(VLOOKUP(T33,ANNEXES!$B$4:$H$20,4,FALSE),"-")</f>
        <v>-</v>
      </c>
      <c r="Z33" s="24" t="str">
        <f>IFERROR(VLOOKUP(T33,ANNEXES!$B$4:$H$20,6,FALSE),"-")</f>
        <v>-</v>
      </c>
      <c r="AA33" s="4"/>
      <c r="AB33" s="21"/>
      <c r="AC33" s="26"/>
      <c r="AD33" s="26"/>
      <c r="AE33" s="26"/>
      <c r="AF33" s="23" t="str">
        <f>IFERROR(VLOOKUP(AB33,ANNEXES!$B$4:$H$20,2,FALSE),"-")</f>
        <v>-</v>
      </c>
      <c r="AG33" s="23" t="str">
        <f>IFERROR(VLOOKUP(AB33,ANNEXES!$B$4:$H$20,4,FALSE),"-")</f>
        <v>-</v>
      </c>
      <c r="AH33" s="24" t="str">
        <f>IFERROR(VLOOKUP(AB33,ANNEXES!$B$4:$H$20,6,FALSE),"-")</f>
        <v>-</v>
      </c>
      <c r="AI33" s="4"/>
      <c r="AJ33" s="21"/>
      <c r="AK33" s="26"/>
      <c r="AL33" s="26"/>
      <c r="AM33" s="26"/>
      <c r="AN33" s="23" t="str">
        <f>IFERROR(VLOOKUP(AJ33,ANNEXES!$B$4:$H$20,2,FALSE),"-")</f>
        <v>-</v>
      </c>
      <c r="AO33" s="23" t="str">
        <f>IFERROR(VLOOKUP(AJ33,ANNEXES!$B$4:$H$20,4,FALSE),"-")</f>
        <v>-</v>
      </c>
      <c r="AP33" s="24" t="str">
        <f>IFERROR(VLOOKUP(AJ33,ANNEXES!$B$4:$H$20,6,FALSE),"-")</f>
        <v>-</v>
      </c>
      <c r="AQ33" s="4"/>
    </row>
    <row r="34">
      <c r="A34" s="4"/>
      <c r="B34" s="27"/>
      <c r="C34" s="4"/>
      <c r="D34" s="21"/>
      <c r="E34" s="26"/>
      <c r="F34" s="26"/>
      <c r="G34" s="26"/>
      <c r="H34" s="23" t="str">
        <f>IFERROR(VLOOKUP(D34,ANNEXES!$B$4:$H$20,2,FALSE),"-")</f>
        <v>-</v>
      </c>
      <c r="I34" s="23" t="str">
        <f>IFERROR(VLOOKUP(D34,ANNEXES!$B$4:$H$20,4,FALSE),"-")</f>
        <v>-</v>
      </c>
      <c r="J34" s="24" t="str">
        <f>IFERROR(VLOOKUP(D34,ANNEXES!$B$4:$H$20,6,FALSE),"-")</f>
        <v>-</v>
      </c>
      <c r="K34" s="4"/>
      <c r="L34" s="21"/>
      <c r="M34" s="26"/>
      <c r="N34" s="26"/>
      <c r="O34" s="26"/>
      <c r="P34" s="23" t="str">
        <f>IFERROR(VLOOKUP(L34,ANNEXES!$B$4:$H$20,2,FALSE),"-")</f>
        <v>-</v>
      </c>
      <c r="Q34" s="23" t="str">
        <f>IFERROR(VLOOKUP(L34,ANNEXES!$B$4:$H$20,4,FALSE),"-")</f>
        <v>-</v>
      </c>
      <c r="R34" s="24" t="str">
        <f>IFERROR(VLOOKUP(L34,ANNEXES!$B$4:$H$20,6,FALSE),"-")</f>
        <v>-</v>
      </c>
      <c r="S34" s="4"/>
      <c r="T34" s="21"/>
      <c r="U34" s="26"/>
      <c r="V34" s="26"/>
      <c r="W34" s="26"/>
      <c r="X34" s="23" t="str">
        <f>IFERROR(VLOOKUP(T34,ANNEXES!$B$4:$H$20,2,FALSE),"-")</f>
        <v>-</v>
      </c>
      <c r="Y34" s="23" t="str">
        <f>IFERROR(VLOOKUP(T34,ANNEXES!$B$4:$H$20,4,FALSE),"-")</f>
        <v>-</v>
      </c>
      <c r="Z34" s="24" t="str">
        <f>IFERROR(VLOOKUP(T34,ANNEXES!$B$4:$H$20,6,FALSE),"-")</f>
        <v>-</v>
      </c>
      <c r="AA34" s="4"/>
      <c r="AB34" s="21"/>
      <c r="AC34" s="26"/>
      <c r="AD34" s="26"/>
      <c r="AE34" s="26"/>
      <c r="AF34" s="23" t="str">
        <f>IFERROR(VLOOKUP(AB34,ANNEXES!$B$4:$H$20,2,FALSE),"-")</f>
        <v>-</v>
      </c>
      <c r="AG34" s="23" t="str">
        <f>IFERROR(VLOOKUP(AB34,ANNEXES!$B$4:$H$20,4,FALSE),"-")</f>
        <v>-</v>
      </c>
      <c r="AH34" s="24" t="str">
        <f>IFERROR(VLOOKUP(AB34,ANNEXES!$B$4:$H$20,6,FALSE),"-")</f>
        <v>-</v>
      </c>
      <c r="AI34" s="4"/>
      <c r="AJ34" s="21"/>
      <c r="AK34" s="26"/>
      <c r="AL34" s="26"/>
      <c r="AM34" s="26"/>
      <c r="AN34" s="23" t="str">
        <f>IFERROR(VLOOKUP(AJ34,ANNEXES!$B$4:$H$20,2,FALSE),"-")</f>
        <v>-</v>
      </c>
      <c r="AO34" s="23" t="str">
        <f>IFERROR(VLOOKUP(AJ34,ANNEXES!$B$4:$H$20,4,FALSE),"-")</f>
        <v>-</v>
      </c>
      <c r="AP34" s="24" t="str">
        <f>IFERROR(VLOOKUP(AJ34,ANNEXES!$B$4:$H$20,6,FALSE),"-")</f>
        <v>-</v>
      </c>
      <c r="AQ34" s="4"/>
    </row>
    <row r="35">
      <c r="A35" s="4"/>
      <c r="B35" s="27"/>
      <c r="C35" s="4"/>
      <c r="D35" s="21"/>
      <c r="E35" s="26"/>
      <c r="F35" s="26"/>
      <c r="G35" s="26"/>
      <c r="H35" s="23" t="str">
        <f>IFERROR(VLOOKUP(D35,ANNEXES!$B$4:$H$20,2,FALSE),"-")</f>
        <v>-</v>
      </c>
      <c r="I35" s="23" t="str">
        <f>IFERROR(VLOOKUP(D35,ANNEXES!$B$4:$H$20,4,FALSE),"-")</f>
        <v>-</v>
      </c>
      <c r="J35" s="24" t="str">
        <f>IFERROR(VLOOKUP(D35,ANNEXES!$B$4:$H$20,6,FALSE),"-")</f>
        <v>-</v>
      </c>
      <c r="K35" s="4"/>
      <c r="L35" s="21"/>
      <c r="M35" s="26"/>
      <c r="N35" s="26"/>
      <c r="O35" s="26"/>
      <c r="P35" s="23" t="str">
        <f>IFERROR(VLOOKUP(L35,ANNEXES!$B$4:$H$20,2,FALSE),"-")</f>
        <v>-</v>
      </c>
      <c r="Q35" s="23" t="str">
        <f>IFERROR(VLOOKUP(L35,ANNEXES!$B$4:$H$20,4,FALSE),"-")</f>
        <v>-</v>
      </c>
      <c r="R35" s="24" t="str">
        <f>IFERROR(VLOOKUP(L35,ANNEXES!$B$4:$H$20,6,FALSE),"-")</f>
        <v>-</v>
      </c>
      <c r="S35" s="4"/>
      <c r="T35" s="21"/>
      <c r="U35" s="26"/>
      <c r="V35" s="26"/>
      <c r="W35" s="26"/>
      <c r="X35" s="23" t="str">
        <f>IFERROR(VLOOKUP(T35,ANNEXES!$B$4:$H$20,2,FALSE),"-")</f>
        <v>-</v>
      </c>
      <c r="Y35" s="23" t="str">
        <f>IFERROR(VLOOKUP(T35,ANNEXES!$B$4:$H$20,4,FALSE),"-")</f>
        <v>-</v>
      </c>
      <c r="Z35" s="24" t="str">
        <f>IFERROR(VLOOKUP(T35,ANNEXES!$B$4:$H$20,6,FALSE),"-")</f>
        <v>-</v>
      </c>
      <c r="AA35" s="4"/>
      <c r="AB35" s="21"/>
      <c r="AC35" s="26"/>
      <c r="AD35" s="26"/>
      <c r="AE35" s="26"/>
      <c r="AF35" s="23" t="str">
        <f>IFERROR(VLOOKUP(AB35,ANNEXES!$B$4:$H$20,2,FALSE),"-")</f>
        <v>-</v>
      </c>
      <c r="AG35" s="23" t="str">
        <f>IFERROR(VLOOKUP(AB35,ANNEXES!$B$4:$H$20,4,FALSE),"-")</f>
        <v>-</v>
      </c>
      <c r="AH35" s="24" t="str">
        <f>IFERROR(VLOOKUP(AB35,ANNEXES!$B$4:$H$20,6,FALSE),"-")</f>
        <v>-</v>
      </c>
      <c r="AI35" s="4"/>
      <c r="AJ35" s="21"/>
      <c r="AK35" s="26"/>
      <c r="AL35" s="26"/>
      <c r="AM35" s="26"/>
      <c r="AN35" s="23" t="str">
        <f>IFERROR(VLOOKUP(AJ35,ANNEXES!$B$4:$H$20,2,FALSE),"-")</f>
        <v>-</v>
      </c>
      <c r="AO35" s="23" t="str">
        <f>IFERROR(VLOOKUP(AJ35,ANNEXES!$B$4:$H$20,4,FALSE),"-")</f>
        <v>-</v>
      </c>
      <c r="AP35" s="24" t="str">
        <f>IFERROR(VLOOKUP(AJ35,ANNEXES!$B$4:$H$20,6,FALSE),"-")</f>
        <v>-</v>
      </c>
      <c r="AQ35" s="4"/>
    </row>
    <row r="36">
      <c r="A36" s="4"/>
      <c r="B36" s="27"/>
      <c r="C36" s="4"/>
      <c r="D36" s="21"/>
      <c r="E36" s="26"/>
      <c r="F36" s="26"/>
      <c r="G36" s="26"/>
      <c r="H36" s="23" t="str">
        <f>IFERROR(VLOOKUP(D36,ANNEXES!$B$4:$H$20,2,FALSE),"-")</f>
        <v>-</v>
      </c>
      <c r="I36" s="23" t="str">
        <f>IFERROR(VLOOKUP(D36,ANNEXES!$B$4:$H$20,4,FALSE),"-")</f>
        <v>-</v>
      </c>
      <c r="J36" s="24" t="str">
        <f>IFERROR(VLOOKUP(D36,ANNEXES!$B$4:$H$20,6,FALSE),"-")</f>
        <v>-</v>
      </c>
      <c r="K36" s="4"/>
      <c r="L36" s="21"/>
      <c r="M36" s="26"/>
      <c r="N36" s="26"/>
      <c r="O36" s="26"/>
      <c r="P36" s="23" t="str">
        <f>IFERROR(VLOOKUP(L36,ANNEXES!$B$4:$H$20,2,FALSE),"-")</f>
        <v>-</v>
      </c>
      <c r="Q36" s="23" t="str">
        <f>IFERROR(VLOOKUP(L36,ANNEXES!$B$4:$H$20,4,FALSE),"-")</f>
        <v>-</v>
      </c>
      <c r="R36" s="24" t="str">
        <f>IFERROR(VLOOKUP(L36,ANNEXES!$B$4:$H$20,6,FALSE),"-")</f>
        <v>-</v>
      </c>
      <c r="S36" s="4"/>
      <c r="T36" s="21"/>
      <c r="U36" s="26"/>
      <c r="V36" s="26"/>
      <c r="W36" s="26"/>
      <c r="X36" s="23" t="str">
        <f>IFERROR(VLOOKUP(T36,ANNEXES!$B$4:$H$20,2,FALSE),"-")</f>
        <v>-</v>
      </c>
      <c r="Y36" s="23" t="str">
        <f>IFERROR(VLOOKUP(T36,ANNEXES!$B$4:$H$20,4,FALSE),"-")</f>
        <v>-</v>
      </c>
      <c r="Z36" s="24" t="str">
        <f>IFERROR(VLOOKUP(T36,ANNEXES!$B$4:$H$20,6,FALSE),"-")</f>
        <v>-</v>
      </c>
      <c r="AA36" s="4"/>
      <c r="AB36" s="21"/>
      <c r="AC36" s="26"/>
      <c r="AD36" s="26"/>
      <c r="AE36" s="26"/>
      <c r="AF36" s="23" t="str">
        <f>IFERROR(VLOOKUP(AB36,ANNEXES!$B$4:$H$20,2,FALSE),"-")</f>
        <v>-</v>
      </c>
      <c r="AG36" s="23" t="str">
        <f>IFERROR(VLOOKUP(AB36,ANNEXES!$B$4:$H$20,4,FALSE),"-")</f>
        <v>-</v>
      </c>
      <c r="AH36" s="24" t="str">
        <f>IFERROR(VLOOKUP(AB36,ANNEXES!$B$4:$H$20,6,FALSE),"-")</f>
        <v>-</v>
      </c>
      <c r="AI36" s="4"/>
      <c r="AJ36" s="21"/>
      <c r="AK36" s="26"/>
      <c r="AL36" s="26"/>
      <c r="AM36" s="26"/>
      <c r="AN36" s="23" t="str">
        <f>IFERROR(VLOOKUP(AJ36,ANNEXES!$B$4:$H$20,2,FALSE),"-")</f>
        <v>-</v>
      </c>
      <c r="AO36" s="23" t="str">
        <f>IFERROR(VLOOKUP(AJ36,ANNEXES!$B$4:$H$20,4,FALSE),"-")</f>
        <v>-</v>
      </c>
      <c r="AP36" s="24" t="str">
        <f>IFERROR(VLOOKUP(AJ36,ANNEXES!$B$4:$H$20,6,FALSE),"-")</f>
        <v>-</v>
      </c>
      <c r="AQ36" s="4"/>
    </row>
    <row r="37">
      <c r="A37" s="4"/>
      <c r="B37" s="27"/>
      <c r="C37" s="4"/>
      <c r="D37" s="21"/>
      <c r="E37" s="26"/>
      <c r="F37" s="26"/>
      <c r="G37" s="26"/>
      <c r="H37" s="23" t="str">
        <f>IFERROR(VLOOKUP(D37,ANNEXES!$B$4:$H$20,2,FALSE),"-")</f>
        <v>-</v>
      </c>
      <c r="I37" s="23" t="str">
        <f>IFERROR(VLOOKUP(D37,ANNEXES!$B$4:$H$20,4,FALSE),"-")</f>
        <v>-</v>
      </c>
      <c r="J37" s="24" t="str">
        <f>IFERROR(VLOOKUP(D37,ANNEXES!$B$4:$H$20,6,FALSE),"-")</f>
        <v>-</v>
      </c>
      <c r="K37" s="4"/>
      <c r="L37" s="21"/>
      <c r="M37" s="26"/>
      <c r="N37" s="26"/>
      <c r="O37" s="26"/>
      <c r="P37" s="23" t="str">
        <f>IFERROR(VLOOKUP(L37,ANNEXES!$B$4:$H$20,2,FALSE),"-")</f>
        <v>-</v>
      </c>
      <c r="Q37" s="23" t="str">
        <f>IFERROR(VLOOKUP(L37,ANNEXES!$B$4:$H$20,4,FALSE),"-")</f>
        <v>-</v>
      </c>
      <c r="R37" s="24" t="str">
        <f>IFERROR(VLOOKUP(L37,ANNEXES!$B$4:$H$20,6,FALSE),"-")</f>
        <v>-</v>
      </c>
      <c r="S37" s="4"/>
      <c r="T37" s="21"/>
      <c r="U37" s="26"/>
      <c r="V37" s="26"/>
      <c r="W37" s="26"/>
      <c r="X37" s="23" t="str">
        <f>IFERROR(VLOOKUP(T37,ANNEXES!$B$4:$H$20,2,FALSE),"-")</f>
        <v>-</v>
      </c>
      <c r="Y37" s="23" t="str">
        <f>IFERROR(VLOOKUP(T37,ANNEXES!$B$4:$H$20,4,FALSE),"-")</f>
        <v>-</v>
      </c>
      <c r="Z37" s="24" t="str">
        <f>IFERROR(VLOOKUP(T37,ANNEXES!$B$4:$H$20,6,FALSE),"-")</f>
        <v>-</v>
      </c>
      <c r="AA37" s="4"/>
      <c r="AB37" s="21"/>
      <c r="AC37" s="26"/>
      <c r="AD37" s="26"/>
      <c r="AE37" s="26"/>
      <c r="AF37" s="23" t="str">
        <f>IFERROR(VLOOKUP(AB37,ANNEXES!$B$4:$H$20,2,FALSE),"-")</f>
        <v>-</v>
      </c>
      <c r="AG37" s="23" t="str">
        <f>IFERROR(VLOOKUP(AB37,ANNEXES!$B$4:$H$20,4,FALSE),"-")</f>
        <v>-</v>
      </c>
      <c r="AH37" s="24" t="str">
        <f>IFERROR(VLOOKUP(AB37,ANNEXES!$B$4:$H$20,6,FALSE),"-")</f>
        <v>-</v>
      </c>
      <c r="AI37" s="4"/>
      <c r="AJ37" s="21"/>
      <c r="AK37" s="26"/>
      <c r="AL37" s="26"/>
      <c r="AM37" s="26"/>
      <c r="AN37" s="23" t="str">
        <f>IFERROR(VLOOKUP(AJ37,ANNEXES!$B$4:$H$20,2,FALSE),"-")</f>
        <v>-</v>
      </c>
      <c r="AO37" s="23" t="str">
        <f>IFERROR(VLOOKUP(AJ37,ANNEXES!$B$4:$H$20,4,FALSE),"-")</f>
        <v>-</v>
      </c>
      <c r="AP37" s="24" t="str">
        <f>IFERROR(VLOOKUP(AJ37,ANNEXES!$B$4:$H$20,6,FALSE),"-")</f>
        <v>-</v>
      </c>
      <c r="AQ37" s="4"/>
    </row>
    <row r="38">
      <c r="A38" s="4"/>
      <c r="B38" s="27"/>
      <c r="C38" s="4"/>
      <c r="D38" s="21"/>
      <c r="E38" s="26"/>
      <c r="F38" s="26"/>
      <c r="G38" s="26"/>
      <c r="H38" s="23" t="str">
        <f>IFERROR(VLOOKUP(D38,ANNEXES!$B$4:$H$20,2,FALSE),"-")</f>
        <v>-</v>
      </c>
      <c r="I38" s="23" t="str">
        <f>IFERROR(VLOOKUP(D38,ANNEXES!$B$4:$H$20,4,FALSE),"-")</f>
        <v>-</v>
      </c>
      <c r="J38" s="24" t="str">
        <f>IFERROR(VLOOKUP(D38,ANNEXES!$B$4:$H$20,6,FALSE),"-")</f>
        <v>-</v>
      </c>
      <c r="K38" s="4"/>
      <c r="L38" s="21"/>
      <c r="M38" s="26"/>
      <c r="N38" s="26"/>
      <c r="O38" s="26"/>
      <c r="P38" s="23" t="str">
        <f>IFERROR(VLOOKUP(L38,ANNEXES!$B$4:$H$20,2,FALSE),"-")</f>
        <v>-</v>
      </c>
      <c r="Q38" s="23" t="str">
        <f>IFERROR(VLOOKUP(L38,ANNEXES!$B$4:$H$20,4,FALSE),"-")</f>
        <v>-</v>
      </c>
      <c r="R38" s="24" t="str">
        <f>IFERROR(VLOOKUP(L38,ANNEXES!$B$4:$H$20,6,FALSE),"-")</f>
        <v>-</v>
      </c>
      <c r="S38" s="4"/>
      <c r="T38" s="21"/>
      <c r="U38" s="26"/>
      <c r="V38" s="26"/>
      <c r="W38" s="26"/>
      <c r="X38" s="23" t="str">
        <f>IFERROR(VLOOKUP(T38,ANNEXES!$B$4:$H$20,2,FALSE),"-")</f>
        <v>-</v>
      </c>
      <c r="Y38" s="23" t="str">
        <f>IFERROR(VLOOKUP(T38,ANNEXES!$B$4:$H$20,4,FALSE),"-")</f>
        <v>-</v>
      </c>
      <c r="Z38" s="24" t="str">
        <f>IFERROR(VLOOKUP(T38,ANNEXES!$B$4:$H$20,6,FALSE),"-")</f>
        <v>-</v>
      </c>
      <c r="AA38" s="4"/>
      <c r="AB38" s="21"/>
      <c r="AC38" s="26"/>
      <c r="AD38" s="26"/>
      <c r="AE38" s="26"/>
      <c r="AF38" s="23" t="str">
        <f>IFERROR(VLOOKUP(AB38,ANNEXES!$B$4:$H$20,2,FALSE),"-")</f>
        <v>-</v>
      </c>
      <c r="AG38" s="23" t="str">
        <f>IFERROR(VLOOKUP(AB38,ANNEXES!$B$4:$H$20,4,FALSE),"-")</f>
        <v>-</v>
      </c>
      <c r="AH38" s="24" t="str">
        <f>IFERROR(VLOOKUP(AB38,ANNEXES!$B$4:$H$20,6,FALSE),"-")</f>
        <v>-</v>
      </c>
      <c r="AI38" s="4"/>
      <c r="AJ38" s="21"/>
      <c r="AK38" s="26"/>
      <c r="AL38" s="26"/>
      <c r="AM38" s="26"/>
      <c r="AN38" s="23" t="str">
        <f>IFERROR(VLOOKUP(AJ38,ANNEXES!$B$4:$H$20,2,FALSE),"-")</f>
        <v>-</v>
      </c>
      <c r="AO38" s="23" t="str">
        <f>IFERROR(VLOOKUP(AJ38,ANNEXES!$B$4:$H$20,4,FALSE),"-")</f>
        <v>-</v>
      </c>
      <c r="AP38" s="24" t="str">
        <f>IFERROR(VLOOKUP(AJ38,ANNEXES!$B$4:$H$20,6,FALSE),"-")</f>
        <v>-</v>
      </c>
      <c r="AQ38" s="4"/>
    </row>
    <row r="39">
      <c r="A39" s="4"/>
      <c r="B39" s="27"/>
      <c r="C39" s="4"/>
      <c r="D39" s="21"/>
      <c r="E39" s="26"/>
      <c r="F39" s="26"/>
      <c r="G39" s="26"/>
      <c r="H39" s="23" t="str">
        <f>IFERROR(VLOOKUP(D39,ANNEXES!$B$4:$H$20,2,FALSE),"-")</f>
        <v>-</v>
      </c>
      <c r="I39" s="23" t="str">
        <f>IFERROR(VLOOKUP(D39,ANNEXES!$B$4:$H$20,4,FALSE),"-")</f>
        <v>-</v>
      </c>
      <c r="J39" s="24" t="str">
        <f>IFERROR(VLOOKUP(D39,ANNEXES!$B$4:$H$20,6,FALSE),"-")</f>
        <v>-</v>
      </c>
      <c r="K39" s="4"/>
      <c r="L39" s="21"/>
      <c r="M39" s="26"/>
      <c r="N39" s="26"/>
      <c r="O39" s="26"/>
      <c r="P39" s="23" t="str">
        <f>IFERROR(VLOOKUP(L39,ANNEXES!$B$4:$H$20,2,FALSE),"-")</f>
        <v>-</v>
      </c>
      <c r="Q39" s="23" t="str">
        <f>IFERROR(VLOOKUP(L39,ANNEXES!$B$4:$H$20,4,FALSE),"-")</f>
        <v>-</v>
      </c>
      <c r="R39" s="24" t="str">
        <f>IFERROR(VLOOKUP(L39,ANNEXES!$B$4:$H$20,6,FALSE),"-")</f>
        <v>-</v>
      </c>
      <c r="S39" s="4"/>
      <c r="T39" s="21"/>
      <c r="U39" s="26"/>
      <c r="V39" s="26"/>
      <c r="W39" s="26"/>
      <c r="X39" s="23" t="str">
        <f>IFERROR(VLOOKUP(T39,ANNEXES!$B$4:$H$20,2,FALSE),"-")</f>
        <v>-</v>
      </c>
      <c r="Y39" s="23" t="str">
        <f>IFERROR(VLOOKUP(T39,ANNEXES!$B$4:$H$20,4,FALSE),"-")</f>
        <v>-</v>
      </c>
      <c r="Z39" s="24" t="str">
        <f>IFERROR(VLOOKUP(T39,ANNEXES!$B$4:$H$20,6,FALSE),"-")</f>
        <v>-</v>
      </c>
      <c r="AA39" s="4"/>
      <c r="AB39" s="21"/>
      <c r="AC39" s="26"/>
      <c r="AD39" s="26"/>
      <c r="AE39" s="26"/>
      <c r="AF39" s="23" t="str">
        <f>IFERROR(VLOOKUP(AB39,ANNEXES!$B$4:$H$20,2,FALSE),"-")</f>
        <v>-</v>
      </c>
      <c r="AG39" s="23" t="str">
        <f>IFERROR(VLOOKUP(AB39,ANNEXES!$B$4:$H$20,4,FALSE),"-")</f>
        <v>-</v>
      </c>
      <c r="AH39" s="24" t="str">
        <f>IFERROR(VLOOKUP(AB39,ANNEXES!$B$4:$H$20,6,FALSE),"-")</f>
        <v>-</v>
      </c>
      <c r="AI39" s="4"/>
      <c r="AJ39" s="21"/>
      <c r="AK39" s="26"/>
      <c r="AL39" s="26"/>
      <c r="AM39" s="26"/>
      <c r="AN39" s="23" t="str">
        <f>IFERROR(VLOOKUP(AJ39,ANNEXES!$B$4:$H$20,2,FALSE),"-")</f>
        <v>-</v>
      </c>
      <c r="AO39" s="23" t="str">
        <f>IFERROR(VLOOKUP(AJ39,ANNEXES!$B$4:$H$20,4,FALSE),"-")</f>
        <v>-</v>
      </c>
      <c r="AP39" s="24" t="str">
        <f>IFERROR(VLOOKUP(AJ39,ANNEXES!$B$4:$H$20,6,FALSE),"-")</f>
        <v>-</v>
      </c>
      <c r="AQ39" s="4"/>
    </row>
    <row r="40">
      <c r="A40" s="4"/>
      <c r="B40" s="27"/>
      <c r="C40" s="4"/>
      <c r="D40" s="21"/>
      <c r="E40" s="26"/>
      <c r="F40" s="26"/>
      <c r="G40" s="26"/>
      <c r="H40" s="23" t="str">
        <f>IFERROR(VLOOKUP(D40,ANNEXES!$B$4:$H$20,2,FALSE),"-")</f>
        <v>-</v>
      </c>
      <c r="I40" s="23" t="str">
        <f>IFERROR(VLOOKUP(D40,ANNEXES!$B$4:$H$20,4,FALSE),"-")</f>
        <v>-</v>
      </c>
      <c r="J40" s="24" t="str">
        <f>IFERROR(VLOOKUP(D40,ANNEXES!$B$4:$H$20,6,FALSE),"-")</f>
        <v>-</v>
      </c>
      <c r="K40" s="4"/>
      <c r="L40" s="21"/>
      <c r="M40" s="26"/>
      <c r="N40" s="26"/>
      <c r="O40" s="26"/>
      <c r="P40" s="23" t="str">
        <f>IFERROR(VLOOKUP(L40,ANNEXES!$B$4:$H$20,2,FALSE),"-")</f>
        <v>-</v>
      </c>
      <c r="Q40" s="23" t="str">
        <f>IFERROR(VLOOKUP(L40,ANNEXES!$B$4:$H$20,4,FALSE),"-")</f>
        <v>-</v>
      </c>
      <c r="R40" s="24" t="str">
        <f>IFERROR(VLOOKUP(L40,ANNEXES!$B$4:$H$20,6,FALSE),"-")</f>
        <v>-</v>
      </c>
      <c r="S40" s="4"/>
      <c r="T40" s="21"/>
      <c r="U40" s="26"/>
      <c r="V40" s="26"/>
      <c r="W40" s="26"/>
      <c r="X40" s="23" t="str">
        <f>IFERROR(VLOOKUP(T40,ANNEXES!$B$4:$H$20,2,FALSE),"-")</f>
        <v>-</v>
      </c>
      <c r="Y40" s="23" t="str">
        <f>IFERROR(VLOOKUP(T40,ANNEXES!$B$4:$H$20,4,FALSE),"-")</f>
        <v>-</v>
      </c>
      <c r="Z40" s="24" t="str">
        <f>IFERROR(VLOOKUP(T40,ANNEXES!$B$4:$H$20,6,FALSE),"-")</f>
        <v>-</v>
      </c>
      <c r="AA40" s="4"/>
      <c r="AB40" s="21"/>
      <c r="AC40" s="26"/>
      <c r="AD40" s="26"/>
      <c r="AE40" s="26"/>
      <c r="AF40" s="23" t="str">
        <f>IFERROR(VLOOKUP(AB40,ANNEXES!$B$4:$H$20,2,FALSE),"-")</f>
        <v>-</v>
      </c>
      <c r="AG40" s="23" t="str">
        <f>IFERROR(VLOOKUP(AB40,ANNEXES!$B$4:$H$20,4,FALSE),"-")</f>
        <v>-</v>
      </c>
      <c r="AH40" s="24" t="str">
        <f>IFERROR(VLOOKUP(AB40,ANNEXES!$B$4:$H$20,6,FALSE),"-")</f>
        <v>-</v>
      </c>
      <c r="AI40" s="4"/>
      <c r="AJ40" s="21"/>
      <c r="AK40" s="26"/>
      <c r="AL40" s="26"/>
      <c r="AM40" s="26"/>
      <c r="AN40" s="23" t="str">
        <f>IFERROR(VLOOKUP(AJ40,ANNEXES!$B$4:$H$20,2,FALSE),"-")</f>
        <v>-</v>
      </c>
      <c r="AO40" s="23" t="str">
        <f>IFERROR(VLOOKUP(AJ40,ANNEXES!$B$4:$H$20,4,FALSE),"-")</f>
        <v>-</v>
      </c>
      <c r="AP40" s="24" t="str">
        <f>IFERROR(VLOOKUP(AJ40,ANNEXES!$B$4:$H$20,6,FALSE),"-")</f>
        <v>-</v>
      </c>
      <c r="AQ40" s="4"/>
    </row>
    <row r="41">
      <c r="A41" s="4"/>
      <c r="B41" s="15"/>
      <c r="C41" s="4"/>
      <c r="D41" s="44" t="s">
        <v>6</v>
      </c>
      <c r="E41" s="45" t="s">
        <v>7</v>
      </c>
      <c r="G41" s="45" t="s">
        <v>8</v>
      </c>
      <c r="I41" s="45" t="s">
        <v>9</v>
      </c>
      <c r="J41" s="30"/>
      <c r="K41" s="19"/>
      <c r="L41" s="44" t="s">
        <v>6</v>
      </c>
      <c r="M41" s="45" t="s">
        <v>7</v>
      </c>
      <c r="O41" s="45" t="s">
        <v>8</v>
      </c>
      <c r="Q41" s="45" t="s">
        <v>9</v>
      </c>
      <c r="R41" s="30"/>
      <c r="S41" s="19"/>
      <c r="T41" s="44" t="s">
        <v>6</v>
      </c>
      <c r="U41" s="45" t="s">
        <v>7</v>
      </c>
      <c r="W41" s="45" t="s">
        <v>8</v>
      </c>
      <c r="Y41" s="45" t="s">
        <v>9</v>
      </c>
      <c r="Z41" s="30"/>
      <c r="AA41" s="19"/>
      <c r="AB41" s="44" t="s">
        <v>6</v>
      </c>
      <c r="AC41" s="45" t="s">
        <v>7</v>
      </c>
      <c r="AE41" s="45" t="s">
        <v>8</v>
      </c>
      <c r="AG41" s="45" t="s">
        <v>9</v>
      </c>
      <c r="AH41" s="30"/>
      <c r="AI41" s="19"/>
      <c r="AJ41" s="44" t="s">
        <v>6</v>
      </c>
      <c r="AK41" s="45" t="s">
        <v>7</v>
      </c>
      <c r="AM41" s="45" t="s">
        <v>8</v>
      </c>
      <c r="AO41" s="45" t="s">
        <v>9</v>
      </c>
      <c r="AP41" s="30"/>
      <c r="AQ41" s="4"/>
    </row>
    <row r="42">
      <c r="A42" s="4"/>
      <c r="B42" s="20" t="s">
        <v>18</v>
      </c>
      <c r="C42" s="4"/>
      <c r="D42" s="21"/>
      <c r="E42" s="33"/>
      <c r="G42" s="33"/>
      <c r="I42" s="33"/>
      <c r="J42" s="30"/>
      <c r="K42" s="25"/>
      <c r="L42" s="21"/>
      <c r="M42" s="33"/>
      <c r="O42" s="33"/>
      <c r="Q42" s="33"/>
      <c r="R42" s="30"/>
      <c r="S42" s="25"/>
      <c r="T42" s="21"/>
      <c r="U42" s="33"/>
      <c r="W42" s="33"/>
      <c r="Y42" s="33"/>
      <c r="Z42" s="30"/>
      <c r="AA42" s="25"/>
      <c r="AB42" s="21"/>
      <c r="AC42" s="33"/>
      <c r="AE42" s="33"/>
      <c r="AG42" s="33"/>
      <c r="AH42" s="30"/>
      <c r="AI42" s="25"/>
      <c r="AJ42" s="21"/>
      <c r="AK42" s="33"/>
      <c r="AM42" s="33"/>
      <c r="AO42" s="33"/>
      <c r="AP42" s="30"/>
      <c r="AQ42" s="4"/>
    </row>
    <row r="43">
      <c r="A43" s="4"/>
      <c r="B43" s="20" t="s">
        <v>20</v>
      </c>
      <c r="C43" s="4"/>
      <c r="D43" s="21"/>
      <c r="E43" s="33"/>
      <c r="G43" s="33"/>
      <c r="I43" s="33"/>
      <c r="J43" s="30"/>
      <c r="K43" s="25"/>
      <c r="L43" s="21"/>
      <c r="M43" s="33"/>
      <c r="O43" s="33"/>
      <c r="Q43" s="33"/>
      <c r="R43" s="30"/>
      <c r="S43" s="25"/>
      <c r="T43" s="21"/>
      <c r="U43" s="33"/>
      <c r="W43" s="33"/>
      <c r="Y43" s="33"/>
      <c r="Z43" s="30"/>
      <c r="AA43" s="25"/>
      <c r="AB43" s="21"/>
      <c r="AC43" s="33"/>
      <c r="AE43" s="33"/>
      <c r="AG43" s="33"/>
      <c r="AH43" s="30"/>
      <c r="AI43" s="25"/>
      <c r="AJ43" s="21"/>
      <c r="AK43" s="33"/>
      <c r="AM43" s="33"/>
      <c r="AO43" s="33"/>
      <c r="AP43" s="30"/>
      <c r="AQ43" s="4"/>
    </row>
    <row r="44">
      <c r="A44" s="4"/>
      <c r="B44" s="27"/>
      <c r="C44" s="4"/>
      <c r="D44" s="21"/>
      <c r="E44" s="33"/>
      <c r="G44" s="33"/>
      <c r="I44" s="33"/>
      <c r="J44" s="30"/>
      <c r="K44" s="25"/>
      <c r="L44" s="21"/>
      <c r="M44" s="33"/>
      <c r="O44" s="33"/>
      <c r="Q44" s="33"/>
      <c r="R44" s="30"/>
      <c r="S44" s="25"/>
      <c r="T44" s="21"/>
      <c r="U44" s="33"/>
      <c r="W44" s="33"/>
      <c r="Y44" s="33"/>
      <c r="Z44" s="30"/>
      <c r="AA44" s="25"/>
      <c r="AB44" s="21"/>
      <c r="AC44" s="33"/>
      <c r="AE44" s="33"/>
      <c r="AG44" s="33"/>
      <c r="AH44" s="30"/>
      <c r="AI44" s="25"/>
      <c r="AJ44" s="21"/>
      <c r="AK44" s="33"/>
      <c r="AM44" s="33"/>
      <c r="AO44" s="33"/>
      <c r="AP44" s="30"/>
      <c r="AQ44" s="4"/>
    </row>
    <row r="45">
      <c r="A45" s="4"/>
      <c r="B45" s="20" t="s">
        <v>21</v>
      </c>
      <c r="C45" s="4"/>
      <c r="D45" s="21"/>
      <c r="E45" s="34"/>
      <c r="G45" s="22"/>
      <c r="I45" s="22"/>
      <c r="J45" s="30"/>
      <c r="K45" s="25"/>
      <c r="L45" s="21"/>
      <c r="M45" s="34"/>
      <c r="O45" s="22"/>
      <c r="Q45" s="22"/>
      <c r="R45" s="30"/>
      <c r="S45" s="25"/>
      <c r="T45" s="21"/>
      <c r="U45" s="34"/>
      <c r="W45" s="22"/>
      <c r="Y45" s="22"/>
      <c r="Z45" s="30"/>
      <c r="AA45" s="25"/>
      <c r="AB45" s="21"/>
      <c r="AC45" s="34"/>
      <c r="AE45" s="22"/>
      <c r="AG45" s="22"/>
      <c r="AH45" s="30"/>
      <c r="AI45" s="25"/>
      <c r="AJ45" s="21"/>
      <c r="AK45" s="34"/>
      <c r="AM45" s="22"/>
      <c r="AO45" s="22"/>
      <c r="AP45" s="30"/>
      <c r="AQ45" s="4"/>
    </row>
    <row r="46">
      <c r="A46" s="4"/>
      <c r="B46" s="27"/>
      <c r="C46" s="4"/>
      <c r="D46" s="21"/>
      <c r="E46" s="22"/>
      <c r="G46" s="22"/>
      <c r="I46" s="22"/>
      <c r="J46" s="30"/>
      <c r="K46" s="25"/>
      <c r="L46" s="21"/>
      <c r="M46" s="22"/>
      <c r="O46" s="22"/>
      <c r="Q46" s="22"/>
      <c r="R46" s="30"/>
      <c r="S46" s="25"/>
      <c r="T46" s="21"/>
      <c r="U46" s="22"/>
      <c r="W46" s="22"/>
      <c r="Y46" s="22"/>
      <c r="Z46" s="30"/>
      <c r="AA46" s="25"/>
      <c r="AB46" s="21"/>
      <c r="AC46" s="22"/>
      <c r="AE46" s="22"/>
      <c r="AG46" s="22"/>
      <c r="AH46" s="30"/>
      <c r="AI46" s="25"/>
      <c r="AJ46" s="21"/>
      <c r="AK46" s="22"/>
      <c r="AM46" s="22"/>
      <c r="AO46" s="22"/>
      <c r="AP46" s="30"/>
      <c r="AQ46" s="4"/>
    </row>
    <row r="47">
      <c r="A47" s="4"/>
      <c r="B47" s="27"/>
      <c r="C47" s="4"/>
      <c r="D47" s="21"/>
      <c r="E47" s="33"/>
      <c r="G47" s="33"/>
      <c r="I47" s="33"/>
      <c r="J47" s="30"/>
      <c r="K47" s="25"/>
      <c r="L47" s="21"/>
      <c r="M47" s="33"/>
      <c r="O47" s="33"/>
      <c r="Q47" s="33"/>
      <c r="R47" s="30"/>
      <c r="S47" s="25"/>
      <c r="T47" s="21"/>
      <c r="U47" s="33"/>
      <c r="W47" s="33"/>
      <c r="Y47" s="33"/>
      <c r="Z47" s="30"/>
      <c r="AA47" s="25"/>
      <c r="AB47" s="21"/>
      <c r="AC47" s="33"/>
      <c r="AE47" s="33"/>
      <c r="AG47" s="33"/>
      <c r="AH47" s="30"/>
      <c r="AI47" s="25"/>
      <c r="AJ47" s="21"/>
      <c r="AK47" s="33"/>
      <c r="AM47" s="33"/>
      <c r="AO47" s="33"/>
      <c r="AP47" s="30"/>
      <c r="AQ47" s="4"/>
    </row>
    <row r="48">
      <c r="A48" s="4"/>
      <c r="B48" s="20" t="s">
        <v>23</v>
      </c>
      <c r="C48" s="4"/>
      <c r="D48" s="21" t="s">
        <v>35</v>
      </c>
      <c r="E48" s="22">
        <v>3.0</v>
      </c>
      <c r="G48" s="22">
        <v>0.0</v>
      </c>
      <c r="I48" s="22">
        <v>0.0</v>
      </c>
      <c r="J48" s="30"/>
      <c r="K48" s="25"/>
      <c r="L48" s="21" t="s">
        <v>35</v>
      </c>
      <c r="M48" s="22">
        <v>15.0</v>
      </c>
      <c r="O48" s="22">
        <v>0.0</v>
      </c>
      <c r="Q48" s="22">
        <v>0.0</v>
      </c>
      <c r="R48" s="30"/>
      <c r="S48" s="25"/>
      <c r="T48" s="21" t="s">
        <v>35</v>
      </c>
      <c r="U48" s="22">
        <v>15.0</v>
      </c>
      <c r="W48" s="22">
        <v>0.0</v>
      </c>
      <c r="Y48" s="22">
        <v>0.0</v>
      </c>
      <c r="Z48" s="30"/>
      <c r="AA48" s="25"/>
      <c r="AB48" s="21" t="s">
        <v>35</v>
      </c>
      <c r="AC48" s="22">
        <v>15.0</v>
      </c>
      <c r="AE48" s="22">
        <v>0.0</v>
      </c>
      <c r="AG48" s="22">
        <v>0.0</v>
      </c>
      <c r="AH48" s="30"/>
      <c r="AI48" s="25"/>
      <c r="AJ48" s="21" t="s">
        <v>35</v>
      </c>
      <c r="AK48" s="22">
        <v>15.0</v>
      </c>
      <c r="AM48" s="22">
        <v>0.0</v>
      </c>
      <c r="AO48" s="22">
        <v>0.0</v>
      </c>
      <c r="AP48" s="30"/>
      <c r="AQ48" s="4"/>
    </row>
    <row r="49">
      <c r="A49" s="4"/>
      <c r="B49" s="27"/>
      <c r="C49" s="4"/>
      <c r="D49" s="21"/>
      <c r="E49" s="33"/>
      <c r="G49" s="33"/>
      <c r="I49" s="33"/>
      <c r="J49" s="30"/>
      <c r="K49" s="25"/>
      <c r="L49" s="21"/>
      <c r="M49" s="33"/>
      <c r="O49" s="33"/>
      <c r="Q49" s="33"/>
      <c r="R49" s="30"/>
      <c r="S49" s="25"/>
      <c r="T49" s="21"/>
      <c r="U49" s="33"/>
      <c r="W49" s="33"/>
      <c r="Y49" s="33"/>
      <c r="Z49" s="30"/>
      <c r="AA49" s="25"/>
      <c r="AB49" s="21"/>
      <c r="AC49" s="33"/>
      <c r="AE49" s="33"/>
      <c r="AG49" s="33"/>
      <c r="AH49" s="30"/>
      <c r="AI49" s="25"/>
      <c r="AJ49" s="21"/>
      <c r="AK49" s="33"/>
      <c r="AM49" s="33"/>
      <c r="AO49" s="33"/>
      <c r="AP49" s="30"/>
      <c r="AQ49" s="4"/>
    </row>
    <row r="50">
      <c r="A50" s="4"/>
      <c r="B50" s="35"/>
      <c r="C50" s="4"/>
      <c r="D50" s="36"/>
      <c r="E50" s="37"/>
      <c r="F50" s="38"/>
      <c r="G50" s="37"/>
      <c r="H50" s="38"/>
      <c r="I50" s="37"/>
      <c r="J50" s="39"/>
      <c r="K50" s="25"/>
      <c r="L50" s="36"/>
      <c r="M50" s="37"/>
      <c r="N50" s="38"/>
      <c r="O50" s="37"/>
      <c r="P50" s="38"/>
      <c r="Q50" s="37"/>
      <c r="R50" s="39"/>
      <c r="S50" s="25"/>
      <c r="T50" s="36"/>
      <c r="U50" s="37"/>
      <c r="V50" s="38"/>
      <c r="W50" s="37"/>
      <c r="X50" s="38"/>
      <c r="Y50" s="37"/>
      <c r="Z50" s="39"/>
      <c r="AA50" s="25"/>
      <c r="AB50" s="36"/>
      <c r="AC50" s="37"/>
      <c r="AD50" s="38"/>
      <c r="AE50" s="37"/>
      <c r="AF50" s="38"/>
      <c r="AG50" s="37"/>
      <c r="AH50" s="39"/>
      <c r="AI50" s="25"/>
      <c r="AJ50" s="36"/>
      <c r="AK50" s="37"/>
      <c r="AL50" s="38"/>
      <c r="AM50" s="37"/>
      <c r="AN50" s="38"/>
      <c r="AO50" s="37"/>
      <c r="AP50" s="39"/>
      <c r="AQ50" s="4"/>
    </row>
    <row r="51">
      <c r="A51" s="7"/>
      <c r="B51" s="2"/>
      <c r="C51" s="46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9"/>
    </row>
    <row r="52">
      <c r="A52" s="4"/>
      <c r="B52" s="5" t="s">
        <v>36</v>
      </c>
      <c r="C52" s="6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4"/>
    </row>
    <row r="53">
      <c r="A53" s="7"/>
      <c r="B53" s="2"/>
      <c r="C53" s="8"/>
      <c r="D53" s="2"/>
      <c r="E53" s="2"/>
      <c r="F53" s="2"/>
      <c r="G53" s="2"/>
      <c r="H53" s="2"/>
      <c r="I53" s="2"/>
      <c r="J53" s="2"/>
      <c r="K53" s="2"/>
      <c r="L53" s="8"/>
      <c r="M53" s="47" t="s">
        <v>37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9"/>
    </row>
    <row r="54">
      <c r="A54" s="4"/>
      <c r="B54" s="10"/>
      <c r="C54" s="4"/>
      <c r="D54" s="14" t="s">
        <v>38</v>
      </c>
      <c r="E54" s="12"/>
      <c r="F54" s="12"/>
      <c r="G54" s="12"/>
      <c r="H54" s="12"/>
      <c r="I54" s="12"/>
      <c r="J54" s="12"/>
      <c r="K54" s="13"/>
      <c r="L54" s="48"/>
      <c r="M54" s="14" t="s">
        <v>39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4"/>
    </row>
    <row r="55">
      <c r="A55" s="49"/>
      <c r="B55" s="15"/>
      <c r="C55" s="49"/>
      <c r="D55" s="16" t="s">
        <v>40</v>
      </c>
      <c r="E55" s="17" t="s">
        <v>41</v>
      </c>
      <c r="F55" s="17" t="s">
        <v>42</v>
      </c>
      <c r="G55" s="17" t="s">
        <v>43</v>
      </c>
      <c r="H55" s="17" t="s">
        <v>44</v>
      </c>
      <c r="I55" s="17" t="s">
        <v>45</v>
      </c>
      <c r="J55" s="17" t="s">
        <v>46</v>
      </c>
      <c r="K55" s="18" t="s">
        <v>47</v>
      </c>
      <c r="L55" s="48"/>
      <c r="M55" s="50" t="s">
        <v>48</v>
      </c>
      <c r="N55" s="12"/>
      <c r="O55" s="50" t="s">
        <v>49</v>
      </c>
      <c r="P55" s="12"/>
      <c r="Q55" s="50" t="s">
        <v>50</v>
      </c>
      <c r="R55" s="12"/>
      <c r="S55" s="50" t="s">
        <v>51</v>
      </c>
      <c r="T55" s="12"/>
      <c r="U55" s="50" t="s">
        <v>52</v>
      </c>
      <c r="V55" s="12"/>
      <c r="W55" s="50" t="s">
        <v>53</v>
      </c>
      <c r="X55" s="12"/>
      <c r="Y55" s="50" t="s">
        <v>54</v>
      </c>
      <c r="Z55" s="12"/>
      <c r="AA55" s="50" t="s">
        <v>55</v>
      </c>
      <c r="AB55" s="12"/>
      <c r="AC55" s="50" t="s">
        <v>56</v>
      </c>
      <c r="AD55" s="12"/>
      <c r="AE55" s="50" t="s">
        <v>57</v>
      </c>
      <c r="AF55" s="12"/>
      <c r="AG55" s="50" t="s">
        <v>58</v>
      </c>
      <c r="AH55" s="12"/>
      <c r="AI55" s="50" t="s">
        <v>59</v>
      </c>
      <c r="AJ55" s="12"/>
      <c r="AK55" s="50" t="s">
        <v>60</v>
      </c>
      <c r="AL55" s="12"/>
      <c r="AM55" s="50"/>
      <c r="AN55" s="12"/>
      <c r="AO55" s="50"/>
      <c r="AP55" s="13"/>
      <c r="AQ55" s="49"/>
    </row>
    <row r="56">
      <c r="A56" s="49"/>
      <c r="B56" s="27"/>
      <c r="C56" s="49"/>
      <c r="D56" s="51"/>
      <c r="K56" s="30"/>
      <c r="L56" s="48"/>
      <c r="M56" s="52" t="s">
        <v>61</v>
      </c>
      <c r="N56" s="53" t="s">
        <v>62</v>
      </c>
      <c r="O56" s="52" t="s">
        <v>61</v>
      </c>
      <c r="P56" s="53" t="s">
        <v>62</v>
      </c>
      <c r="Q56" s="52" t="s">
        <v>61</v>
      </c>
      <c r="R56" s="53" t="s">
        <v>62</v>
      </c>
      <c r="S56" s="52" t="s">
        <v>61</v>
      </c>
      <c r="T56" s="53" t="s">
        <v>62</v>
      </c>
      <c r="U56" s="52" t="s">
        <v>61</v>
      </c>
      <c r="V56" s="53" t="s">
        <v>62</v>
      </c>
      <c r="W56" s="52" t="s">
        <v>61</v>
      </c>
      <c r="X56" s="53" t="s">
        <v>62</v>
      </c>
      <c r="Y56" s="52" t="s">
        <v>61</v>
      </c>
      <c r="Z56" s="53" t="s">
        <v>62</v>
      </c>
      <c r="AA56" s="52" t="s">
        <v>61</v>
      </c>
      <c r="AB56" s="53" t="s">
        <v>62</v>
      </c>
      <c r="AC56" s="52" t="s">
        <v>61</v>
      </c>
      <c r="AD56" s="53" t="s">
        <v>62</v>
      </c>
      <c r="AE56" s="52" t="s">
        <v>61</v>
      </c>
      <c r="AF56" s="53" t="s">
        <v>62</v>
      </c>
      <c r="AG56" s="52" t="s">
        <v>61</v>
      </c>
      <c r="AH56" s="53" t="s">
        <v>62</v>
      </c>
      <c r="AI56" s="52" t="s">
        <v>61</v>
      </c>
      <c r="AJ56" s="53" t="s">
        <v>62</v>
      </c>
      <c r="AK56" s="52" t="s">
        <v>61</v>
      </c>
      <c r="AL56" s="53" t="s">
        <v>62</v>
      </c>
      <c r="AM56" s="52" t="s">
        <v>61</v>
      </c>
      <c r="AN56" s="53" t="s">
        <v>62</v>
      </c>
      <c r="AO56" s="52" t="s">
        <v>61</v>
      </c>
      <c r="AP56" s="53" t="s">
        <v>62</v>
      </c>
      <c r="AQ56" s="49"/>
    </row>
    <row r="57">
      <c r="A57" s="4"/>
      <c r="B57" s="20">
        <v>2017.0</v>
      </c>
      <c r="C57" s="4"/>
      <c r="D57" s="54">
        <v>323.0</v>
      </c>
      <c r="E57" s="55"/>
      <c r="F57" s="55"/>
      <c r="G57" s="55"/>
      <c r="H57" s="33"/>
      <c r="I57" s="33"/>
      <c r="J57" s="33"/>
      <c r="K57" s="56"/>
      <c r="L57" s="48"/>
      <c r="M57" s="54">
        <v>6.0</v>
      </c>
      <c r="N57" s="56">
        <v>5.5</v>
      </c>
      <c r="O57" s="54">
        <v>96.0</v>
      </c>
      <c r="P57" s="56">
        <v>6.8</v>
      </c>
      <c r="Q57" s="54">
        <v>70.0</v>
      </c>
      <c r="R57" s="56">
        <v>3.0</v>
      </c>
      <c r="S57" s="54">
        <v>1.0</v>
      </c>
      <c r="T57" s="56">
        <v>2.0</v>
      </c>
      <c r="U57" s="54">
        <v>75.0</v>
      </c>
      <c r="V57" s="56">
        <v>5.5</v>
      </c>
      <c r="W57" s="54">
        <v>25.0</v>
      </c>
      <c r="X57" s="56">
        <v>5.5</v>
      </c>
      <c r="Y57" s="54">
        <v>12.0</v>
      </c>
      <c r="Z57" s="56">
        <v>3.6</v>
      </c>
      <c r="AA57" s="54">
        <v>0.0</v>
      </c>
      <c r="AB57" s="57">
        <v>1.5</v>
      </c>
      <c r="AC57" s="54">
        <v>0.0</v>
      </c>
      <c r="AD57" s="57">
        <v>1.3</v>
      </c>
      <c r="AE57" s="54">
        <v>0.0</v>
      </c>
      <c r="AF57" s="57">
        <v>2.5</v>
      </c>
      <c r="AG57" s="54">
        <v>0.0</v>
      </c>
      <c r="AH57" s="57">
        <v>4.3</v>
      </c>
      <c r="AI57" s="54">
        <v>0.0</v>
      </c>
      <c r="AJ57" s="56">
        <v>0.0</v>
      </c>
      <c r="AK57" s="54">
        <v>0.0</v>
      </c>
      <c r="AL57" s="56">
        <v>4.5</v>
      </c>
      <c r="AM57" s="54"/>
      <c r="AN57" s="56"/>
      <c r="AO57" s="54"/>
      <c r="AP57" s="56"/>
      <c r="AQ57" s="4"/>
    </row>
    <row r="58">
      <c r="A58" s="4"/>
      <c r="B58" s="20">
        <v>2018.0</v>
      </c>
      <c r="C58" s="4"/>
      <c r="D58" s="54">
        <v>323.0</v>
      </c>
      <c r="E58" s="55"/>
      <c r="F58" s="55"/>
      <c r="G58" s="55"/>
      <c r="H58" s="33"/>
      <c r="I58" s="33"/>
      <c r="J58" s="33"/>
      <c r="K58" s="56"/>
      <c r="L58" s="48"/>
      <c r="M58" s="54">
        <v>5.0</v>
      </c>
      <c r="N58" s="56">
        <v>6.0</v>
      </c>
      <c r="O58" s="54">
        <v>97.0</v>
      </c>
      <c r="P58" s="56">
        <v>8.0</v>
      </c>
      <c r="Q58" s="54">
        <v>57.0</v>
      </c>
      <c r="R58" s="56">
        <v>3.4</v>
      </c>
      <c r="S58" s="54">
        <v>0.0</v>
      </c>
      <c r="T58" s="57">
        <v>2.5</v>
      </c>
      <c r="U58" s="54">
        <v>67.0</v>
      </c>
      <c r="V58" s="56">
        <v>7.0</v>
      </c>
      <c r="W58" s="54">
        <v>20.0</v>
      </c>
      <c r="X58" s="56">
        <v>6.0</v>
      </c>
      <c r="Y58" s="54">
        <v>26.0</v>
      </c>
      <c r="Z58" s="56">
        <v>3.8</v>
      </c>
      <c r="AA58" s="54">
        <v>13.0</v>
      </c>
      <c r="AB58" s="56">
        <v>2.5</v>
      </c>
      <c r="AC58" s="54">
        <v>0.0</v>
      </c>
      <c r="AD58" s="57">
        <v>1.3</v>
      </c>
      <c r="AE58" s="54">
        <v>0.0</v>
      </c>
      <c r="AF58" s="57">
        <v>2.5</v>
      </c>
      <c r="AG58" s="54">
        <v>0.0</v>
      </c>
      <c r="AH58" s="57">
        <v>4.3</v>
      </c>
      <c r="AI58" s="54">
        <v>0.0</v>
      </c>
      <c r="AJ58" s="56">
        <v>0.0</v>
      </c>
      <c r="AK58" s="54">
        <v>0.0</v>
      </c>
      <c r="AL58" s="56">
        <v>4.5</v>
      </c>
      <c r="AM58" s="54"/>
      <c r="AN58" s="56"/>
      <c r="AO58" s="54"/>
      <c r="AP58" s="56"/>
      <c r="AQ58" s="4"/>
    </row>
    <row r="59">
      <c r="A59" s="4"/>
      <c r="B59" s="20">
        <v>2019.0</v>
      </c>
      <c r="C59" s="4"/>
      <c r="D59" s="54">
        <v>333.0</v>
      </c>
      <c r="E59" s="55"/>
      <c r="F59" s="55"/>
      <c r="G59" s="55"/>
      <c r="H59" s="33"/>
      <c r="I59" s="33"/>
      <c r="J59" s="33"/>
      <c r="K59" s="56"/>
      <c r="L59" s="48"/>
      <c r="M59" s="54">
        <v>3.0</v>
      </c>
      <c r="N59" s="56">
        <v>5.0</v>
      </c>
      <c r="O59" s="54">
        <v>102.0</v>
      </c>
      <c r="P59" s="56">
        <v>7.6</v>
      </c>
      <c r="Q59" s="54">
        <v>0.0</v>
      </c>
      <c r="R59" s="57">
        <v>2.55</v>
      </c>
      <c r="S59" s="54">
        <v>0.0</v>
      </c>
      <c r="T59" s="57">
        <v>2.5</v>
      </c>
      <c r="U59" s="54">
        <v>77.0</v>
      </c>
      <c r="V59" s="56">
        <v>6.6</v>
      </c>
      <c r="W59" s="54">
        <v>54.0</v>
      </c>
      <c r="X59" s="56">
        <v>6.5</v>
      </c>
      <c r="Y59" s="54">
        <v>37.0</v>
      </c>
      <c r="Z59" s="56">
        <v>3.4</v>
      </c>
      <c r="AA59" s="54">
        <v>13.0</v>
      </c>
      <c r="AB59" s="56">
        <v>2.1</v>
      </c>
      <c r="AC59" s="54">
        <v>9.0</v>
      </c>
      <c r="AD59" s="56">
        <v>1.5</v>
      </c>
      <c r="AE59" s="54">
        <v>0.0</v>
      </c>
      <c r="AF59" s="57">
        <v>2.5</v>
      </c>
      <c r="AG59" s="54">
        <v>0.0</v>
      </c>
      <c r="AH59" s="57">
        <v>4.3</v>
      </c>
      <c r="AI59" s="54">
        <v>0.0</v>
      </c>
      <c r="AJ59" s="56">
        <v>0.0</v>
      </c>
      <c r="AK59" s="54">
        <v>0.0</v>
      </c>
      <c r="AL59" s="56">
        <v>4.5</v>
      </c>
      <c r="AM59" s="54"/>
      <c r="AN59" s="56"/>
      <c r="AO59" s="54"/>
      <c r="AP59" s="56"/>
      <c r="AQ59" s="4"/>
    </row>
    <row r="60">
      <c r="A60" s="4"/>
      <c r="B60" s="20">
        <v>2020.0</v>
      </c>
      <c r="C60" s="4"/>
      <c r="D60" s="54">
        <v>333.0</v>
      </c>
      <c r="E60" s="55"/>
      <c r="F60" s="55"/>
      <c r="G60" s="55"/>
      <c r="H60" s="33"/>
      <c r="I60" s="33"/>
      <c r="J60" s="33"/>
      <c r="K60" s="56"/>
      <c r="L60" s="48"/>
      <c r="M60" s="54">
        <v>8.0</v>
      </c>
      <c r="N60" s="56">
        <v>5.0</v>
      </c>
      <c r="O60" s="54">
        <v>107.0</v>
      </c>
      <c r="P60" s="56">
        <v>7.0</v>
      </c>
      <c r="Q60" s="54">
        <v>38.0</v>
      </c>
      <c r="R60" s="56">
        <v>1.4</v>
      </c>
      <c r="S60" s="54">
        <v>0.0</v>
      </c>
      <c r="T60" s="57">
        <v>2.5</v>
      </c>
      <c r="U60" s="54">
        <v>65.0</v>
      </c>
      <c r="V60" s="56">
        <v>3.4</v>
      </c>
      <c r="W60" s="54">
        <v>20.0</v>
      </c>
      <c r="X60" s="56">
        <v>5.4</v>
      </c>
      <c r="Y60" s="54">
        <v>28.0</v>
      </c>
      <c r="Z60" s="56">
        <v>3.0</v>
      </c>
      <c r="AA60" s="54">
        <v>13.0</v>
      </c>
      <c r="AB60" s="56">
        <v>1.0</v>
      </c>
      <c r="AC60" s="54">
        <v>0.0</v>
      </c>
      <c r="AD60" s="57">
        <v>1.3</v>
      </c>
      <c r="AE60" s="54">
        <v>16.0</v>
      </c>
      <c r="AF60" s="56">
        <v>2.1</v>
      </c>
      <c r="AG60" s="54">
        <v>0.0</v>
      </c>
      <c r="AH60" s="57">
        <v>4.3</v>
      </c>
      <c r="AI60" s="54">
        <v>0.0</v>
      </c>
      <c r="AJ60" s="56">
        <v>0.0</v>
      </c>
      <c r="AK60" s="54">
        <v>0.0</v>
      </c>
      <c r="AL60" s="56">
        <v>4.5</v>
      </c>
      <c r="AM60" s="54"/>
      <c r="AN60" s="56"/>
      <c r="AO60" s="54"/>
      <c r="AP60" s="56"/>
      <c r="AQ60" s="4"/>
    </row>
    <row r="61">
      <c r="A61" s="4"/>
      <c r="B61" s="20">
        <v>2021.0</v>
      </c>
      <c r="C61" s="4"/>
      <c r="D61" s="54">
        <v>333.0</v>
      </c>
      <c r="E61" s="33">
        <v>15.0</v>
      </c>
      <c r="F61" s="33">
        <v>0.0</v>
      </c>
      <c r="G61" s="33">
        <v>0.0</v>
      </c>
      <c r="H61" s="33"/>
      <c r="I61" s="33"/>
      <c r="J61" s="33"/>
      <c r="K61" s="56"/>
      <c r="L61" s="48"/>
      <c r="M61" s="54">
        <v>16.0</v>
      </c>
      <c r="N61" s="56">
        <v>3.0</v>
      </c>
      <c r="O61" s="54">
        <v>130.0</v>
      </c>
      <c r="P61" s="56">
        <v>2.3</v>
      </c>
      <c r="Q61" s="54">
        <v>0.0</v>
      </c>
      <c r="R61" s="56">
        <v>0.0</v>
      </c>
      <c r="S61" s="54">
        <v>0.0</v>
      </c>
      <c r="T61" s="57">
        <v>2.5</v>
      </c>
      <c r="U61" s="54">
        <v>0.0</v>
      </c>
      <c r="V61" s="56">
        <v>0.0</v>
      </c>
      <c r="W61" s="54">
        <v>20.0</v>
      </c>
      <c r="X61" s="56">
        <v>2.5</v>
      </c>
      <c r="Y61" s="54">
        <v>44.0</v>
      </c>
      <c r="Z61" s="56">
        <v>1.5</v>
      </c>
      <c r="AA61" s="54">
        <v>13.0</v>
      </c>
      <c r="AB61" s="56">
        <v>1.7</v>
      </c>
      <c r="AC61" s="54">
        <v>0.0</v>
      </c>
      <c r="AD61" s="57">
        <v>1.3</v>
      </c>
      <c r="AE61" s="54">
        <v>21.0</v>
      </c>
      <c r="AF61" s="56">
        <v>1.9</v>
      </c>
      <c r="AG61" s="54">
        <v>48.0</v>
      </c>
      <c r="AH61" s="56">
        <v>3.0</v>
      </c>
      <c r="AI61" s="54">
        <v>3.0</v>
      </c>
      <c r="AJ61" s="56">
        <v>3.0</v>
      </c>
      <c r="AK61" s="54">
        <v>0.0</v>
      </c>
      <c r="AL61" s="56">
        <v>4.5</v>
      </c>
      <c r="AM61" s="54"/>
      <c r="AN61" s="56"/>
      <c r="AO61" s="54"/>
      <c r="AP61" s="56"/>
      <c r="AQ61" s="4"/>
    </row>
    <row r="62">
      <c r="A62" s="4"/>
      <c r="B62" s="20">
        <v>2022.0</v>
      </c>
      <c r="C62" s="4"/>
      <c r="D62" s="54">
        <v>333.0</v>
      </c>
      <c r="E62" s="55"/>
      <c r="F62" s="55"/>
      <c r="G62" s="55"/>
      <c r="H62" s="33"/>
      <c r="I62" s="33"/>
      <c r="J62" s="33"/>
      <c r="K62" s="56"/>
      <c r="L62" s="48"/>
      <c r="M62" s="54">
        <v>10.0</v>
      </c>
      <c r="N62" s="56">
        <v>2.5</v>
      </c>
      <c r="O62" s="54">
        <v>80.0</v>
      </c>
      <c r="P62" s="56">
        <v>2.5</v>
      </c>
      <c r="Q62" s="54">
        <v>0.0</v>
      </c>
      <c r="R62" s="56">
        <v>0.0</v>
      </c>
      <c r="S62" s="54">
        <v>3.0</v>
      </c>
      <c r="T62" s="56">
        <v>2.0</v>
      </c>
      <c r="U62" s="54">
        <v>0.0</v>
      </c>
      <c r="V62" s="56">
        <v>0.0</v>
      </c>
      <c r="W62" s="54">
        <v>8.0</v>
      </c>
      <c r="X62" s="56">
        <v>2.5</v>
      </c>
      <c r="Y62" s="54">
        <v>0.0</v>
      </c>
      <c r="Z62" s="56">
        <v>0.0</v>
      </c>
      <c r="AA62" s="54">
        <v>13.0</v>
      </c>
      <c r="AB62" s="56">
        <v>1.5</v>
      </c>
      <c r="AC62" s="54">
        <v>9.0</v>
      </c>
      <c r="AD62" s="56">
        <v>2.0</v>
      </c>
      <c r="AE62" s="54">
        <v>48.0</v>
      </c>
      <c r="AF62" s="56">
        <v>2.0</v>
      </c>
      <c r="AG62" s="54">
        <v>97.0</v>
      </c>
      <c r="AH62" s="56">
        <v>4.0</v>
      </c>
      <c r="AI62" s="54">
        <v>16.0</v>
      </c>
      <c r="AJ62" s="56">
        <v>3.0</v>
      </c>
      <c r="AK62" s="54">
        <v>0.0</v>
      </c>
      <c r="AL62" s="56">
        <v>4.5</v>
      </c>
      <c r="AM62" s="54"/>
      <c r="AN62" s="56"/>
      <c r="AO62" s="54"/>
      <c r="AP62" s="56"/>
      <c r="AQ62" s="4"/>
    </row>
    <row r="63">
      <c r="A63" s="4"/>
      <c r="B63" s="20">
        <v>2023.0</v>
      </c>
      <c r="C63" s="4"/>
      <c r="D63" s="54">
        <v>333.0</v>
      </c>
      <c r="E63" s="55"/>
      <c r="F63" s="55"/>
      <c r="G63" s="55"/>
      <c r="H63" s="33"/>
      <c r="I63" s="33"/>
      <c r="J63" s="33"/>
      <c r="K63" s="56"/>
      <c r="L63" s="48"/>
      <c r="M63" s="54">
        <v>0.0</v>
      </c>
      <c r="N63" s="56">
        <v>0.0</v>
      </c>
      <c r="O63" s="54">
        <v>100.0</v>
      </c>
      <c r="P63" s="56">
        <v>2.5</v>
      </c>
      <c r="Q63" s="54">
        <v>0.0</v>
      </c>
      <c r="R63" s="56">
        <v>0.0</v>
      </c>
      <c r="S63" s="54">
        <v>20.0</v>
      </c>
      <c r="T63" s="56">
        <v>2.0</v>
      </c>
      <c r="U63" s="54">
        <v>0.0</v>
      </c>
      <c r="V63" s="56">
        <v>0.0</v>
      </c>
      <c r="W63" s="54">
        <v>20.0</v>
      </c>
      <c r="X63" s="56">
        <v>2.5</v>
      </c>
      <c r="Y63" s="54">
        <v>0.0</v>
      </c>
      <c r="Z63" s="56">
        <v>0.0</v>
      </c>
      <c r="AA63" s="54">
        <v>13.0</v>
      </c>
      <c r="AB63" s="56">
        <v>1.5</v>
      </c>
      <c r="AC63" s="54">
        <v>10.0</v>
      </c>
      <c r="AD63" s="56">
        <v>2.0</v>
      </c>
      <c r="AE63" s="54">
        <v>40.0</v>
      </c>
      <c r="AF63" s="56">
        <v>2.0</v>
      </c>
      <c r="AG63" s="54">
        <v>50.0</v>
      </c>
      <c r="AH63" s="56">
        <v>4.0</v>
      </c>
      <c r="AI63" s="54">
        <v>0.0</v>
      </c>
      <c r="AJ63" s="56">
        <v>0.0</v>
      </c>
      <c r="AK63" s="54">
        <v>22.0</v>
      </c>
      <c r="AL63" s="56">
        <v>2.0</v>
      </c>
      <c r="AM63" s="54"/>
      <c r="AN63" s="56"/>
      <c r="AO63" s="54"/>
      <c r="AP63" s="56"/>
      <c r="AQ63" s="4"/>
    </row>
    <row r="64">
      <c r="A64" s="4"/>
      <c r="B64" s="20">
        <v>2024.0</v>
      </c>
      <c r="C64" s="4"/>
      <c r="D64" s="54">
        <v>333.0</v>
      </c>
      <c r="E64" s="55"/>
      <c r="F64" s="55"/>
      <c r="G64" s="55"/>
      <c r="H64" s="33"/>
      <c r="I64" s="33"/>
      <c r="J64" s="33"/>
      <c r="K64" s="56"/>
      <c r="L64" s="48"/>
      <c r="M64" s="54">
        <v>0.0</v>
      </c>
      <c r="N64" s="56">
        <v>0.0</v>
      </c>
      <c r="O64" s="54">
        <v>100.0</v>
      </c>
      <c r="P64" s="56">
        <v>2.5</v>
      </c>
      <c r="Q64" s="54">
        <v>0.0</v>
      </c>
      <c r="R64" s="56">
        <v>0.0</v>
      </c>
      <c r="S64" s="54">
        <v>20.0</v>
      </c>
      <c r="T64" s="56">
        <v>2.0</v>
      </c>
      <c r="U64" s="54">
        <v>0.0</v>
      </c>
      <c r="V64" s="56">
        <v>0.0</v>
      </c>
      <c r="W64" s="54">
        <v>20.0</v>
      </c>
      <c r="X64" s="56">
        <v>2.5</v>
      </c>
      <c r="Y64" s="54">
        <v>0.0</v>
      </c>
      <c r="Z64" s="56">
        <v>0.0</v>
      </c>
      <c r="AA64" s="54">
        <v>13.0</v>
      </c>
      <c r="AB64" s="56">
        <v>1.5</v>
      </c>
      <c r="AC64" s="54">
        <v>10.0</v>
      </c>
      <c r="AD64" s="56">
        <v>2.0</v>
      </c>
      <c r="AE64" s="54">
        <v>40.0</v>
      </c>
      <c r="AF64" s="56">
        <v>2.0</v>
      </c>
      <c r="AG64" s="54">
        <v>50.0</v>
      </c>
      <c r="AH64" s="56">
        <v>4.0</v>
      </c>
      <c r="AI64" s="54">
        <v>0.0</v>
      </c>
      <c r="AJ64" s="56">
        <v>0.0</v>
      </c>
      <c r="AK64" s="54">
        <v>22.0</v>
      </c>
      <c r="AL64" s="56">
        <v>2.0</v>
      </c>
      <c r="AM64" s="54"/>
      <c r="AN64" s="56"/>
      <c r="AO64" s="54"/>
      <c r="AP64" s="56"/>
      <c r="AQ64" s="4"/>
    </row>
    <row r="65">
      <c r="A65" s="4"/>
      <c r="B65" s="20">
        <v>2025.0</v>
      </c>
      <c r="C65" s="4"/>
      <c r="D65" s="54">
        <v>333.0</v>
      </c>
      <c r="E65" s="55"/>
      <c r="F65" s="55"/>
      <c r="G65" s="55"/>
      <c r="H65" s="33"/>
      <c r="I65" s="33"/>
      <c r="J65" s="33"/>
      <c r="K65" s="56"/>
      <c r="L65" s="48"/>
      <c r="M65" s="54">
        <v>0.0</v>
      </c>
      <c r="N65" s="56">
        <v>0.0</v>
      </c>
      <c r="O65" s="54">
        <v>100.0</v>
      </c>
      <c r="P65" s="56">
        <v>2.5</v>
      </c>
      <c r="Q65" s="54">
        <v>0.0</v>
      </c>
      <c r="R65" s="56">
        <v>0.0</v>
      </c>
      <c r="S65" s="54">
        <v>20.0</v>
      </c>
      <c r="T65" s="56">
        <v>2.0</v>
      </c>
      <c r="U65" s="54">
        <v>0.0</v>
      </c>
      <c r="V65" s="56">
        <v>0.0</v>
      </c>
      <c r="W65" s="54">
        <v>20.0</v>
      </c>
      <c r="X65" s="56">
        <v>2.5</v>
      </c>
      <c r="Y65" s="54">
        <v>0.0</v>
      </c>
      <c r="Z65" s="56">
        <v>0.0</v>
      </c>
      <c r="AA65" s="54">
        <v>13.0</v>
      </c>
      <c r="AB65" s="56">
        <v>1.5</v>
      </c>
      <c r="AC65" s="54">
        <v>10.0</v>
      </c>
      <c r="AD65" s="56">
        <v>2.0</v>
      </c>
      <c r="AE65" s="54">
        <v>40.0</v>
      </c>
      <c r="AF65" s="56">
        <v>2.0</v>
      </c>
      <c r="AG65" s="54">
        <v>50.0</v>
      </c>
      <c r="AH65" s="56">
        <v>4.0</v>
      </c>
      <c r="AI65" s="54">
        <v>0.0</v>
      </c>
      <c r="AJ65" s="56">
        <v>0.0</v>
      </c>
      <c r="AK65" s="54">
        <v>22.0</v>
      </c>
      <c r="AL65" s="56">
        <v>2.0</v>
      </c>
      <c r="AM65" s="54"/>
      <c r="AN65" s="56"/>
      <c r="AO65" s="54"/>
      <c r="AP65" s="56"/>
      <c r="AQ65" s="4"/>
    </row>
    <row r="66">
      <c r="A66" s="4"/>
      <c r="B66" s="58">
        <v>2026.0</v>
      </c>
      <c r="C66" s="4"/>
      <c r="D66" s="59">
        <v>333.0</v>
      </c>
      <c r="E66" s="37">
        <v>15.0</v>
      </c>
      <c r="F66" s="37">
        <v>0.0</v>
      </c>
      <c r="G66" s="37">
        <v>0.0</v>
      </c>
      <c r="H66" s="37"/>
      <c r="I66" s="37"/>
      <c r="J66" s="37"/>
      <c r="K66" s="60"/>
      <c r="L66" s="48"/>
      <c r="M66" s="59">
        <v>0.0</v>
      </c>
      <c r="N66" s="60">
        <v>0.0</v>
      </c>
      <c r="O66" s="59">
        <v>100.0</v>
      </c>
      <c r="P66" s="60">
        <v>2.5</v>
      </c>
      <c r="Q66" s="59">
        <v>0.0</v>
      </c>
      <c r="R66" s="60">
        <v>0.0</v>
      </c>
      <c r="S66" s="59">
        <v>20.0</v>
      </c>
      <c r="T66" s="60">
        <v>2.0</v>
      </c>
      <c r="U66" s="59">
        <v>0.0</v>
      </c>
      <c r="V66" s="60">
        <v>0.0</v>
      </c>
      <c r="W66" s="59">
        <v>20.0</v>
      </c>
      <c r="X66" s="60">
        <v>2.5</v>
      </c>
      <c r="Y66" s="59">
        <v>0.0</v>
      </c>
      <c r="Z66" s="60">
        <v>0.0</v>
      </c>
      <c r="AA66" s="59">
        <v>13.0</v>
      </c>
      <c r="AB66" s="60">
        <v>1.5</v>
      </c>
      <c r="AC66" s="59">
        <v>10.0</v>
      </c>
      <c r="AD66" s="60">
        <v>2.0</v>
      </c>
      <c r="AE66" s="59">
        <v>40.0</v>
      </c>
      <c r="AF66" s="60">
        <v>2.0</v>
      </c>
      <c r="AG66" s="59">
        <v>50.0</v>
      </c>
      <c r="AH66" s="60">
        <v>4.0</v>
      </c>
      <c r="AI66" s="59">
        <v>0.0</v>
      </c>
      <c r="AJ66" s="60">
        <v>0.0</v>
      </c>
      <c r="AK66" s="59">
        <v>22.0</v>
      </c>
      <c r="AL66" s="60">
        <v>2.0</v>
      </c>
      <c r="AM66" s="59"/>
      <c r="AN66" s="60"/>
      <c r="AO66" s="59"/>
      <c r="AP66" s="60"/>
      <c r="AQ66" s="4"/>
    </row>
    <row r="67">
      <c r="A67" s="7"/>
      <c r="B67" s="2"/>
      <c r="C67" s="46"/>
      <c r="D67" s="2"/>
      <c r="E67" s="2"/>
      <c r="F67" s="2"/>
      <c r="G67" s="2"/>
      <c r="H67" s="2"/>
      <c r="I67" s="2"/>
      <c r="J67" s="2"/>
      <c r="K67" s="2"/>
      <c r="L67" s="46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 t="s">
        <v>63</v>
      </c>
      <c r="AH67" s="2"/>
      <c r="AI67" s="2"/>
      <c r="AJ67" s="2"/>
      <c r="AK67" s="2"/>
      <c r="AL67" s="2"/>
      <c r="AM67" s="2"/>
      <c r="AN67" s="2"/>
      <c r="AO67" s="2"/>
      <c r="AP67" s="2"/>
      <c r="AQ67" s="9"/>
    </row>
    <row r="68">
      <c r="A68" s="4"/>
      <c r="B68" s="5" t="s">
        <v>64</v>
      </c>
      <c r="C68" s="6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4"/>
    </row>
    <row r="69">
      <c r="A69" s="7"/>
      <c r="B69" s="61"/>
      <c r="C69" s="8"/>
      <c r="D69" s="61"/>
      <c r="E69" s="61"/>
      <c r="F69" s="61"/>
      <c r="G69" s="61"/>
      <c r="H69" s="62"/>
      <c r="I69" s="61"/>
      <c r="J69" s="2"/>
      <c r="K69" s="8"/>
      <c r="L69" s="2"/>
      <c r="M69" s="2"/>
      <c r="N69" s="2"/>
      <c r="O69" s="2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9"/>
    </row>
    <row r="70">
      <c r="A70" s="4"/>
      <c r="B70" s="63" t="s">
        <v>65</v>
      </c>
      <c r="C70" s="4"/>
      <c r="D70" s="14" t="s">
        <v>66</v>
      </c>
      <c r="E70" s="12"/>
      <c r="F70" s="12"/>
      <c r="G70" s="13"/>
      <c r="H70" s="4"/>
      <c r="I70" s="14" t="s">
        <v>67</v>
      </c>
      <c r="J70" s="13"/>
      <c r="K70" s="4"/>
      <c r="L70" s="14" t="s">
        <v>68</v>
      </c>
      <c r="M70" s="12"/>
      <c r="N70" s="12"/>
      <c r="O70" s="13"/>
      <c r="P70" s="7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9"/>
    </row>
    <row r="71">
      <c r="A71" s="49"/>
      <c r="B71" s="65" t="s">
        <v>69</v>
      </c>
      <c r="C71" s="66"/>
      <c r="D71" s="16" t="s">
        <v>70</v>
      </c>
      <c r="F71" s="17" t="s">
        <v>71</v>
      </c>
      <c r="G71" s="30"/>
      <c r="H71" s="66"/>
      <c r="I71" s="67" t="s">
        <v>72</v>
      </c>
      <c r="J71" s="30"/>
      <c r="K71" s="66"/>
      <c r="L71" s="67" t="s">
        <v>73</v>
      </c>
      <c r="N71" s="68" t="s">
        <v>74</v>
      </c>
      <c r="O71" s="30"/>
      <c r="P71" s="69"/>
      <c r="Q71" s="70"/>
      <c r="R71" s="70"/>
      <c r="S71" s="70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2"/>
    </row>
    <row r="72">
      <c r="A72" s="4"/>
      <c r="B72" s="20">
        <v>2017.0</v>
      </c>
      <c r="C72" s="73"/>
      <c r="D72" s="54">
        <v>1.78</v>
      </c>
      <c r="F72" s="33">
        <v>2.82</v>
      </c>
      <c r="G72" s="30"/>
      <c r="H72" s="73"/>
      <c r="I72" s="74">
        <v>0.0</v>
      </c>
      <c r="J72" s="30"/>
      <c r="K72" s="73"/>
      <c r="L72" s="75" t="s">
        <v>75</v>
      </c>
      <c r="N72" s="76" t="s">
        <v>76</v>
      </c>
      <c r="O72" s="30"/>
      <c r="P72" s="77"/>
      <c r="Q72" s="78"/>
      <c r="R72" s="78"/>
      <c r="S72" s="78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9"/>
    </row>
    <row r="73">
      <c r="A73" s="4"/>
      <c r="B73" s="20">
        <v>2018.0</v>
      </c>
      <c r="C73" s="73"/>
      <c r="D73" s="54">
        <v>1.84</v>
      </c>
      <c r="F73" s="33">
        <v>2.37</v>
      </c>
      <c r="G73" s="30"/>
      <c r="H73" s="73"/>
      <c r="I73" s="74">
        <v>0.0</v>
      </c>
      <c r="J73" s="30"/>
      <c r="K73" s="73"/>
      <c r="L73" s="51"/>
      <c r="O73" s="30"/>
      <c r="P73" s="77"/>
      <c r="Q73" s="78"/>
      <c r="R73" s="78"/>
      <c r="S73" s="78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9"/>
    </row>
    <row r="74">
      <c r="A74" s="4"/>
      <c r="B74" s="20">
        <v>2019.0</v>
      </c>
      <c r="C74" s="73"/>
      <c r="D74" s="54">
        <v>1.73</v>
      </c>
      <c r="F74" s="33">
        <v>2.01</v>
      </c>
      <c r="G74" s="30"/>
      <c r="H74" s="73"/>
      <c r="I74" s="74">
        <v>0.0</v>
      </c>
      <c r="J74" s="30"/>
      <c r="K74" s="73"/>
      <c r="L74" s="51"/>
      <c r="O74" s="30"/>
      <c r="P74" s="77"/>
      <c r="Q74" s="78"/>
      <c r="R74" s="78"/>
      <c r="S74" s="78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9"/>
    </row>
    <row r="75">
      <c r="A75" s="4"/>
      <c r="B75" s="20">
        <v>2020.0</v>
      </c>
      <c r="C75" s="73"/>
      <c r="D75" s="54">
        <v>1.77</v>
      </c>
      <c r="F75" s="33">
        <v>1.53</v>
      </c>
      <c r="G75" s="30"/>
      <c r="H75" s="73"/>
      <c r="I75" s="74">
        <v>0.0</v>
      </c>
      <c r="J75" s="30"/>
      <c r="K75" s="73"/>
      <c r="L75" s="51"/>
      <c r="O75" s="30"/>
      <c r="P75" s="77"/>
      <c r="Q75" s="78"/>
      <c r="R75" s="78"/>
      <c r="S75" s="78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9"/>
    </row>
    <row r="76">
      <c r="A76" s="4"/>
      <c r="B76" s="20">
        <v>2021.0</v>
      </c>
      <c r="C76" s="73"/>
      <c r="D76" s="54">
        <v>0.0</v>
      </c>
      <c r="F76" s="33">
        <v>0.0</v>
      </c>
      <c r="G76" s="30"/>
      <c r="H76" s="73"/>
      <c r="I76" s="74">
        <v>0.0</v>
      </c>
      <c r="J76" s="30"/>
      <c r="K76" s="73"/>
      <c r="L76" s="51"/>
      <c r="O76" s="30"/>
      <c r="P76" s="77"/>
      <c r="Q76" s="78"/>
      <c r="R76" s="78"/>
      <c r="S76" s="78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9"/>
    </row>
    <row r="77">
      <c r="A77" s="4"/>
      <c r="B77" s="20">
        <v>2022.0</v>
      </c>
      <c r="C77" s="73"/>
      <c r="D77" s="54">
        <v>0.0</v>
      </c>
      <c r="F77" s="33">
        <v>0.0</v>
      </c>
      <c r="G77" s="30"/>
      <c r="H77" s="73"/>
      <c r="I77" s="74">
        <v>0.0</v>
      </c>
      <c r="J77" s="30"/>
      <c r="K77" s="73"/>
      <c r="L77" s="51"/>
      <c r="O77" s="30"/>
      <c r="P77" s="77"/>
      <c r="Q77" s="78"/>
      <c r="R77" s="78"/>
      <c r="S77" s="78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9"/>
    </row>
    <row r="78">
      <c r="A78" s="4"/>
      <c r="B78" s="20">
        <v>2023.0</v>
      </c>
      <c r="C78" s="73"/>
      <c r="D78" s="54">
        <v>0.0</v>
      </c>
      <c r="F78" s="33">
        <v>0.0</v>
      </c>
      <c r="G78" s="30"/>
      <c r="H78" s="73"/>
      <c r="I78" s="74">
        <v>0.0</v>
      </c>
      <c r="J78" s="30"/>
      <c r="K78" s="73"/>
      <c r="L78" s="51"/>
      <c r="O78" s="30"/>
      <c r="P78" s="77"/>
      <c r="Q78" s="78"/>
      <c r="R78" s="78"/>
      <c r="S78" s="78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9"/>
    </row>
    <row r="79">
      <c r="A79" s="4"/>
      <c r="B79" s="20">
        <v>2024.0</v>
      </c>
      <c r="C79" s="73"/>
      <c r="D79" s="54">
        <v>0.0</v>
      </c>
      <c r="F79" s="33">
        <v>0.0</v>
      </c>
      <c r="G79" s="30"/>
      <c r="H79" s="73"/>
      <c r="I79" s="74">
        <v>0.0</v>
      </c>
      <c r="J79" s="30"/>
      <c r="K79" s="73"/>
      <c r="L79" s="51"/>
      <c r="O79" s="30"/>
      <c r="P79" s="77"/>
      <c r="Q79" s="78"/>
      <c r="R79" s="78"/>
      <c r="S79" s="78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9"/>
    </row>
    <row r="80">
      <c r="A80" s="4"/>
      <c r="B80" s="20">
        <v>2025.0</v>
      </c>
      <c r="C80" s="73"/>
      <c r="D80" s="54">
        <v>0.0</v>
      </c>
      <c r="F80" s="33">
        <v>0.0</v>
      </c>
      <c r="G80" s="30"/>
      <c r="H80" s="73"/>
      <c r="I80" s="74">
        <v>0.0</v>
      </c>
      <c r="J80" s="30"/>
      <c r="K80" s="73"/>
      <c r="L80" s="51"/>
      <c r="O80" s="30"/>
      <c r="P80" s="77"/>
      <c r="Q80" s="78"/>
      <c r="R80" s="78"/>
      <c r="S80" s="78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9"/>
    </row>
    <row r="81">
      <c r="A81" s="4"/>
      <c r="B81" s="58">
        <v>2026.0</v>
      </c>
      <c r="C81" s="73"/>
      <c r="D81" s="59">
        <v>0.0</v>
      </c>
      <c r="E81" s="38"/>
      <c r="F81" s="37">
        <v>0.0</v>
      </c>
      <c r="G81" s="39"/>
      <c r="H81" s="73"/>
      <c r="I81" s="79">
        <v>0.0</v>
      </c>
      <c r="J81" s="39"/>
      <c r="K81" s="73"/>
      <c r="L81" s="59" t="s">
        <v>77</v>
      </c>
      <c r="M81" s="38"/>
      <c r="N81" s="37" t="s">
        <v>77</v>
      </c>
      <c r="O81" s="39"/>
      <c r="P81" s="77"/>
      <c r="Q81" s="78"/>
      <c r="R81" s="78"/>
      <c r="S81" s="78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9"/>
    </row>
    <row r="82">
      <c r="A82" s="80"/>
      <c r="B82" s="2"/>
      <c r="C82" s="81"/>
      <c r="D82" s="2"/>
      <c r="E82" s="2"/>
      <c r="F82" s="2"/>
      <c r="G82" s="2"/>
      <c r="H82" s="46"/>
      <c r="I82" s="2"/>
      <c r="J82" s="2"/>
      <c r="K82" s="46"/>
      <c r="L82" s="2"/>
      <c r="M82" s="2"/>
      <c r="N82" s="2"/>
      <c r="O82" s="2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82"/>
    </row>
  </sheetData>
  <mergeCells count="386">
    <mergeCell ref="M16:N16"/>
    <mergeCell ref="O16:P16"/>
    <mergeCell ref="E17:F17"/>
    <mergeCell ref="G17:H17"/>
    <mergeCell ref="I17:J17"/>
    <mergeCell ref="M17:N17"/>
    <mergeCell ref="O17:P17"/>
    <mergeCell ref="Q17:R17"/>
    <mergeCell ref="Q16:R16"/>
    <mergeCell ref="U16:V16"/>
    <mergeCell ref="U17:V17"/>
    <mergeCell ref="W16:X16"/>
    <mergeCell ref="Y16:Z16"/>
    <mergeCell ref="W17:X17"/>
    <mergeCell ref="Y17:Z17"/>
    <mergeCell ref="AC16:AD16"/>
    <mergeCell ref="AE16:AF16"/>
    <mergeCell ref="AC17:AD17"/>
    <mergeCell ref="AE17:AF17"/>
    <mergeCell ref="AG17:AH17"/>
    <mergeCell ref="AG16:AH16"/>
    <mergeCell ref="AK16:AL16"/>
    <mergeCell ref="AK17:AL17"/>
    <mergeCell ref="AM16:AN16"/>
    <mergeCell ref="AO16:AP16"/>
    <mergeCell ref="AM17:AN17"/>
    <mergeCell ref="AO17:AP17"/>
    <mergeCell ref="D4:J4"/>
    <mergeCell ref="L4:R4"/>
    <mergeCell ref="T4:Z4"/>
    <mergeCell ref="AB4:AH4"/>
    <mergeCell ref="AJ4:AP4"/>
    <mergeCell ref="B6:B15"/>
    <mergeCell ref="E16:F16"/>
    <mergeCell ref="AE21:AF21"/>
    <mergeCell ref="AG21:AH21"/>
    <mergeCell ref="M21:N21"/>
    <mergeCell ref="O21:P21"/>
    <mergeCell ref="Q21:R21"/>
    <mergeCell ref="U21:V21"/>
    <mergeCell ref="W21:X21"/>
    <mergeCell ref="Y21:Z21"/>
    <mergeCell ref="AC21:AD21"/>
    <mergeCell ref="E20:F20"/>
    <mergeCell ref="G20:H20"/>
    <mergeCell ref="I20:J20"/>
    <mergeCell ref="M20:N20"/>
    <mergeCell ref="O20:P20"/>
    <mergeCell ref="Q20:R20"/>
    <mergeCell ref="U20:V20"/>
    <mergeCell ref="B18:B19"/>
    <mergeCell ref="B20:B22"/>
    <mergeCell ref="E22:F22"/>
    <mergeCell ref="G22:H22"/>
    <mergeCell ref="I22:J22"/>
    <mergeCell ref="M22:N22"/>
    <mergeCell ref="O22:P22"/>
    <mergeCell ref="AE23:AF23"/>
    <mergeCell ref="AG23:AH23"/>
    <mergeCell ref="AK23:AL23"/>
    <mergeCell ref="AM23:AN23"/>
    <mergeCell ref="AO23:AP23"/>
    <mergeCell ref="M23:N23"/>
    <mergeCell ref="O23:P23"/>
    <mergeCell ref="Q23:R23"/>
    <mergeCell ref="U23:V23"/>
    <mergeCell ref="W23:X23"/>
    <mergeCell ref="Y23:Z23"/>
    <mergeCell ref="AC23:AD23"/>
    <mergeCell ref="Y18:Z18"/>
    <mergeCell ref="AC18:AD18"/>
    <mergeCell ref="AE18:AF18"/>
    <mergeCell ref="AG18:AH18"/>
    <mergeCell ref="AK18:AL18"/>
    <mergeCell ref="AM18:AN18"/>
    <mergeCell ref="AO18:AP18"/>
    <mergeCell ref="G18:H18"/>
    <mergeCell ref="I18:J18"/>
    <mergeCell ref="M18:N18"/>
    <mergeCell ref="O18:P18"/>
    <mergeCell ref="Q18:R18"/>
    <mergeCell ref="U18:V18"/>
    <mergeCell ref="W18:X18"/>
    <mergeCell ref="Y19:Z19"/>
    <mergeCell ref="AC19:AD19"/>
    <mergeCell ref="AE19:AF19"/>
    <mergeCell ref="AG19:AH19"/>
    <mergeCell ref="AK19:AL19"/>
    <mergeCell ref="AM19:AN19"/>
    <mergeCell ref="AO19:AP19"/>
    <mergeCell ref="E19:F19"/>
    <mergeCell ref="G19:H19"/>
    <mergeCell ref="M19:N19"/>
    <mergeCell ref="O19:P19"/>
    <mergeCell ref="Q19:R19"/>
    <mergeCell ref="U19:V19"/>
    <mergeCell ref="W19:X19"/>
    <mergeCell ref="AK20:AL20"/>
    <mergeCell ref="AK21:AL21"/>
    <mergeCell ref="AM21:AN21"/>
    <mergeCell ref="AO21:AP21"/>
    <mergeCell ref="W20:X20"/>
    <mergeCell ref="Y20:Z20"/>
    <mergeCell ref="AC20:AD20"/>
    <mergeCell ref="AE20:AF20"/>
    <mergeCell ref="AG20:AH20"/>
    <mergeCell ref="AM20:AN20"/>
    <mergeCell ref="AO20:AP20"/>
    <mergeCell ref="AK22:AL22"/>
    <mergeCell ref="AM22:AN22"/>
    <mergeCell ref="AO22:AP22"/>
    <mergeCell ref="Q22:R22"/>
    <mergeCell ref="U22:V22"/>
    <mergeCell ref="W22:X22"/>
    <mergeCell ref="Y22:Z22"/>
    <mergeCell ref="AC22:AD22"/>
    <mergeCell ref="AE22:AF22"/>
    <mergeCell ref="AG22:AH22"/>
    <mergeCell ref="AG41:AH41"/>
    <mergeCell ref="AK41:AL41"/>
    <mergeCell ref="AM41:AN41"/>
    <mergeCell ref="AO41:AP41"/>
    <mergeCell ref="O41:P41"/>
    <mergeCell ref="Q41:R41"/>
    <mergeCell ref="U41:V41"/>
    <mergeCell ref="W41:X41"/>
    <mergeCell ref="Y41:Z41"/>
    <mergeCell ref="AC41:AD41"/>
    <mergeCell ref="AE41:AF41"/>
    <mergeCell ref="AG42:AH42"/>
    <mergeCell ref="AK42:AL42"/>
    <mergeCell ref="AM42:AN42"/>
    <mergeCell ref="AO42:AP42"/>
    <mergeCell ref="O42:P42"/>
    <mergeCell ref="Q42:R42"/>
    <mergeCell ref="U42:V42"/>
    <mergeCell ref="W42:X42"/>
    <mergeCell ref="Y42:Z42"/>
    <mergeCell ref="AC42:AD42"/>
    <mergeCell ref="AE42:AF42"/>
    <mergeCell ref="AG43:AH43"/>
    <mergeCell ref="AK43:AL43"/>
    <mergeCell ref="AM43:AN43"/>
    <mergeCell ref="AO43:AP43"/>
    <mergeCell ref="O43:P43"/>
    <mergeCell ref="Q43:R43"/>
    <mergeCell ref="U43:V43"/>
    <mergeCell ref="W43:X43"/>
    <mergeCell ref="Y43:Z43"/>
    <mergeCell ref="AC43:AD43"/>
    <mergeCell ref="AE43:AF43"/>
    <mergeCell ref="E21:F21"/>
    <mergeCell ref="G21:H21"/>
    <mergeCell ref="I21:J21"/>
    <mergeCell ref="B23:B25"/>
    <mergeCell ref="G23:H23"/>
    <mergeCell ref="I23:J23"/>
    <mergeCell ref="I24:J24"/>
    <mergeCell ref="D29:J29"/>
    <mergeCell ref="E23:F23"/>
    <mergeCell ref="E25:F25"/>
    <mergeCell ref="B31:B40"/>
    <mergeCell ref="E41:F41"/>
    <mergeCell ref="G41:H41"/>
    <mergeCell ref="I41:J41"/>
    <mergeCell ref="M41:N41"/>
    <mergeCell ref="E42:F42"/>
    <mergeCell ref="G42:H42"/>
    <mergeCell ref="I42:J42"/>
    <mergeCell ref="B43:B44"/>
    <mergeCell ref="E43:F43"/>
    <mergeCell ref="G43:H43"/>
    <mergeCell ref="I43:J43"/>
    <mergeCell ref="I44:J44"/>
    <mergeCell ref="G46:H46"/>
    <mergeCell ref="I46:J46"/>
    <mergeCell ref="G49:H49"/>
    <mergeCell ref="I49:J49"/>
    <mergeCell ref="E50:F50"/>
    <mergeCell ref="G50:H50"/>
    <mergeCell ref="M49:N49"/>
    <mergeCell ref="M50:N50"/>
    <mergeCell ref="M42:N42"/>
    <mergeCell ref="M43:N43"/>
    <mergeCell ref="M44:N44"/>
    <mergeCell ref="M45:N45"/>
    <mergeCell ref="M46:N46"/>
    <mergeCell ref="M47:N47"/>
    <mergeCell ref="M48:N48"/>
    <mergeCell ref="G16:H16"/>
    <mergeCell ref="I16:J16"/>
    <mergeCell ref="E18:F18"/>
    <mergeCell ref="I19:J19"/>
    <mergeCell ref="Y24:Z24"/>
    <mergeCell ref="AC24:AD24"/>
    <mergeCell ref="AE24:AF24"/>
    <mergeCell ref="AG24:AH24"/>
    <mergeCell ref="AK24:AL24"/>
    <mergeCell ref="AM24:AN24"/>
    <mergeCell ref="AO24:AP24"/>
    <mergeCell ref="E24:F24"/>
    <mergeCell ref="G24:H24"/>
    <mergeCell ref="M24:N24"/>
    <mergeCell ref="O24:P24"/>
    <mergeCell ref="Q24:R24"/>
    <mergeCell ref="U24:V24"/>
    <mergeCell ref="W24:X24"/>
    <mergeCell ref="Y25:Z25"/>
    <mergeCell ref="AC25:AD25"/>
    <mergeCell ref="AE25:AF25"/>
    <mergeCell ref="AG25:AH25"/>
    <mergeCell ref="AK25:AL25"/>
    <mergeCell ref="AM25:AN25"/>
    <mergeCell ref="AO25:AP25"/>
    <mergeCell ref="L29:R29"/>
    <mergeCell ref="T29:Z29"/>
    <mergeCell ref="AB29:AH29"/>
    <mergeCell ref="AJ29:AP29"/>
    <mergeCell ref="G25:H25"/>
    <mergeCell ref="I25:J25"/>
    <mergeCell ref="M25:N25"/>
    <mergeCell ref="O25:P25"/>
    <mergeCell ref="Q25:R25"/>
    <mergeCell ref="U25:V25"/>
    <mergeCell ref="W25:X25"/>
    <mergeCell ref="AG50:AH50"/>
    <mergeCell ref="AK50:AL50"/>
    <mergeCell ref="AM50:AN50"/>
    <mergeCell ref="AO50:AP50"/>
    <mergeCell ref="O50:P50"/>
    <mergeCell ref="Q50:R50"/>
    <mergeCell ref="U50:V50"/>
    <mergeCell ref="W50:X50"/>
    <mergeCell ref="Y50:Z50"/>
    <mergeCell ref="AC50:AD50"/>
    <mergeCell ref="AE50:AF50"/>
    <mergeCell ref="I75:J75"/>
    <mergeCell ref="I76:J76"/>
    <mergeCell ref="I77:J77"/>
    <mergeCell ref="I78:J78"/>
    <mergeCell ref="I79:J79"/>
    <mergeCell ref="I80:J80"/>
    <mergeCell ref="I71:J71"/>
    <mergeCell ref="L71:M71"/>
    <mergeCell ref="I72:J72"/>
    <mergeCell ref="L72:M80"/>
    <mergeCell ref="N72:O80"/>
    <mergeCell ref="I73:J73"/>
    <mergeCell ref="I74:J74"/>
    <mergeCell ref="E44:F44"/>
    <mergeCell ref="G44:H44"/>
    <mergeCell ref="B45:B47"/>
    <mergeCell ref="E45:F45"/>
    <mergeCell ref="G45:H45"/>
    <mergeCell ref="I45:J45"/>
    <mergeCell ref="E46:F46"/>
    <mergeCell ref="I47:J47"/>
    <mergeCell ref="E47:F47"/>
    <mergeCell ref="G47:H47"/>
    <mergeCell ref="B48:B50"/>
    <mergeCell ref="E48:F48"/>
    <mergeCell ref="G48:H48"/>
    <mergeCell ref="I48:J48"/>
    <mergeCell ref="E49:F49"/>
    <mergeCell ref="J55:J56"/>
    <mergeCell ref="K55:K56"/>
    <mergeCell ref="I50:J50"/>
    <mergeCell ref="D54:K54"/>
    <mergeCell ref="B55:B56"/>
    <mergeCell ref="D55:D56"/>
    <mergeCell ref="E55:E56"/>
    <mergeCell ref="F55:F56"/>
    <mergeCell ref="G55:G56"/>
    <mergeCell ref="H55:H56"/>
    <mergeCell ref="I55:I56"/>
    <mergeCell ref="D70:G70"/>
    <mergeCell ref="I70:J70"/>
    <mergeCell ref="L70:O70"/>
    <mergeCell ref="F71:G71"/>
    <mergeCell ref="N71:O71"/>
    <mergeCell ref="D78:E78"/>
    <mergeCell ref="D79:E79"/>
    <mergeCell ref="D80:E80"/>
    <mergeCell ref="D81:E81"/>
    <mergeCell ref="F79:G79"/>
    <mergeCell ref="F80:G80"/>
    <mergeCell ref="F81:G81"/>
    <mergeCell ref="I81:J81"/>
    <mergeCell ref="L81:M81"/>
    <mergeCell ref="N81:O81"/>
    <mergeCell ref="AG44:AH44"/>
    <mergeCell ref="AK44:AL44"/>
    <mergeCell ref="AM44:AN44"/>
    <mergeCell ref="AO44:AP44"/>
    <mergeCell ref="O44:P44"/>
    <mergeCell ref="Q44:R44"/>
    <mergeCell ref="U44:V44"/>
    <mergeCell ref="W44:X44"/>
    <mergeCell ref="Y44:Z44"/>
    <mergeCell ref="AC44:AD44"/>
    <mergeCell ref="AE44:AF44"/>
    <mergeCell ref="AG45:AH45"/>
    <mergeCell ref="AK45:AL45"/>
    <mergeCell ref="AM45:AN45"/>
    <mergeCell ref="AO45:AP45"/>
    <mergeCell ref="O45:P45"/>
    <mergeCell ref="Q45:R45"/>
    <mergeCell ref="U45:V45"/>
    <mergeCell ref="W45:X45"/>
    <mergeCell ref="Y45:Z45"/>
    <mergeCell ref="AC45:AD45"/>
    <mergeCell ref="AE45:AF45"/>
    <mergeCell ref="AG46:AH46"/>
    <mergeCell ref="AK46:AL46"/>
    <mergeCell ref="AM46:AN46"/>
    <mergeCell ref="AO46:AP46"/>
    <mergeCell ref="O46:P46"/>
    <mergeCell ref="Q46:R46"/>
    <mergeCell ref="U46:V46"/>
    <mergeCell ref="W46:X46"/>
    <mergeCell ref="Y46:Z46"/>
    <mergeCell ref="AC46:AD46"/>
    <mergeCell ref="AE46:AF46"/>
    <mergeCell ref="AG47:AH47"/>
    <mergeCell ref="AK47:AL47"/>
    <mergeCell ref="AM47:AN47"/>
    <mergeCell ref="AO47:AP47"/>
    <mergeCell ref="O47:P47"/>
    <mergeCell ref="Q47:R47"/>
    <mergeCell ref="U47:V47"/>
    <mergeCell ref="W47:X47"/>
    <mergeCell ref="Y47:Z47"/>
    <mergeCell ref="AC47:AD47"/>
    <mergeCell ref="AE47:AF47"/>
    <mergeCell ref="AG48:AH48"/>
    <mergeCell ref="AK48:AL48"/>
    <mergeCell ref="AM48:AN48"/>
    <mergeCell ref="AO48:AP48"/>
    <mergeCell ref="O48:P48"/>
    <mergeCell ref="Q48:R48"/>
    <mergeCell ref="U48:V48"/>
    <mergeCell ref="W48:X48"/>
    <mergeCell ref="Y48:Z48"/>
    <mergeCell ref="AC48:AD48"/>
    <mergeCell ref="AE48:AF48"/>
    <mergeCell ref="AG49:AH49"/>
    <mergeCell ref="AK49:AL49"/>
    <mergeCell ref="AM49:AN49"/>
    <mergeCell ref="AO49:AP49"/>
    <mergeCell ref="Q49:R49"/>
    <mergeCell ref="U49:V49"/>
    <mergeCell ref="W49:X49"/>
    <mergeCell ref="Y49:Z49"/>
    <mergeCell ref="AC49:AD49"/>
    <mergeCell ref="AE49:AF49"/>
    <mergeCell ref="M54:AP54"/>
    <mergeCell ref="O49:P49"/>
    <mergeCell ref="M55:N55"/>
    <mergeCell ref="O55:P55"/>
    <mergeCell ref="Q55:R55"/>
    <mergeCell ref="S55:T55"/>
    <mergeCell ref="U55:V55"/>
    <mergeCell ref="W55:X55"/>
    <mergeCell ref="AM55:AN55"/>
    <mergeCell ref="AO55:AP55"/>
    <mergeCell ref="Y55:Z55"/>
    <mergeCell ref="AA55:AB55"/>
    <mergeCell ref="AC55:AD55"/>
    <mergeCell ref="AE55:AF55"/>
    <mergeCell ref="AG55:AH55"/>
    <mergeCell ref="AI55:AJ55"/>
    <mergeCell ref="AK55:AL55"/>
    <mergeCell ref="D71:E71"/>
    <mergeCell ref="D72:E72"/>
    <mergeCell ref="F72:G72"/>
    <mergeCell ref="D73:E73"/>
    <mergeCell ref="F73:G73"/>
    <mergeCell ref="D74:E74"/>
    <mergeCell ref="F74:G74"/>
    <mergeCell ref="D75:E75"/>
    <mergeCell ref="F75:G75"/>
    <mergeCell ref="D76:E76"/>
    <mergeCell ref="F76:G76"/>
    <mergeCell ref="D77:E77"/>
    <mergeCell ref="F77:G77"/>
    <mergeCell ref="F78:G78"/>
  </mergeCells>
  <conditionalFormatting sqref="H6:J15 H31:H40 I31:J41 P6:R15 P31:P40 Q31:R41 X6:Z15 X31:X40 Y31:Z41 AF6:AH15 AF31:AF40 AG31:AH41 AN6:AP15 AN31:AN40 AO31:AP41">
    <cfRule type="containsBlanks" dxfId="0" priority="1">
      <formula>LEN(TRIM(H6))=0</formula>
    </cfRule>
  </conditionalFormatting>
  <dataValidations>
    <dataValidation type="list" allowBlank="1" sqref="D18:D19 L18:L19 T18:T19 AB18:AB19 AJ18:AJ19 D43:D44 L43:L44 T43:T44 AB43:AB44 AJ43:AJ44">
      <formula1>ANNEXES!$J$4:$J$7</formula1>
    </dataValidation>
    <dataValidation type="list" allowBlank="1" sqref="D23:D25 L23:L25 T23:T25 AB23:AB25 AJ23:AJ25 D48:D50 L48:L50 T48:T50 AB48:AB50 AJ48:AJ50">
      <formula1>ANNEXES!$N$4:$N$9</formula1>
    </dataValidation>
    <dataValidation type="list" allowBlank="1" sqref="D20:D22 L20:L22 T20:T22 AB20:AB22 AJ20:AJ22 D45:D47 L45:L47 T45:T47 AB45:AB47 AJ45:AJ47">
      <formula1>ANNEXES!$J$11:$J$20</formula1>
    </dataValidation>
    <dataValidation type="list" allowBlank="1" sqref="D6:D15 L6:L15 T6:T15 AB6:AB15 AJ6:AJ15 D31:D40 L31:L40 T31:T40 AB31:AB40 AJ31:AJ40">
      <formula1>ANNEXES!$B$4:$B$20</formula1>
    </dataValidation>
    <dataValidation type="list" allowBlank="1" sqref="D17 L17 T17 AB17 AJ17 D42 L42 T42 AB42 AJ42">
      <formula1>ANNEXES!$N$13:$O$13</formula1>
    </dataValidation>
    <dataValidation type="list" allowBlank="1" sqref="L81 N81">
      <formula1>"Oui,Non"</formula1>
    </dataValidation>
    <dataValidation type="list" allowBlank="1" sqref="B71">
      <formula1>"Spécifique,Générique"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4335"/>
    <outlinePr summaryBelow="0" summaryRight="0"/>
  </sheetPr>
  <sheetViews>
    <sheetView workbookViewId="0"/>
  </sheetViews>
  <sheetFormatPr customHeight="1" defaultColWidth="14.43" defaultRowHeight="15.0"/>
  <cols>
    <col customWidth="1" min="1" max="1" width="3.57"/>
    <col customWidth="1" min="2" max="2" width="15.0"/>
    <col customWidth="1" min="9" max="9" width="3.57"/>
    <col customWidth="1" min="13" max="13" width="3.57"/>
    <col customWidth="1" min="17" max="17" width="3.57"/>
    <col customWidth="1" min="21" max="21" width="3.57"/>
  </cols>
  <sheetData>
    <row r="1">
      <c r="A1" s="83"/>
      <c r="B1" s="84"/>
      <c r="C1" s="81"/>
      <c r="D1" s="81"/>
      <c r="E1" s="81"/>
      <c r="F1" s="81"/>
      <c r="G1" s="81"/>
      <c r="H1" s="85"/>
      <c r="I1" s="83"/>
      <c r="J1" s="84"/>
      <c r="K1" s="81"/>
      <c r="L1" s="85"/>
      <c r="M1" s="83"/>
      <c r="N1" s="84"/>
      <c r="O1" s="81"/>
      <c r="P1" s="85"/>
      <c r="Q1" s="83"/>
      <c r="R1" s="84"/>
      <c r="S1" s="81"/>
      <c r="T1" s="85"/>
      <c r="U1" s="83"/>
    </row>
    <row r="2">
      <c r="A2" s="86"/>
      <c r="B2" s="87" t="s">
        <v>78</v>
      </c>
      <c r="C2" s="88"/>
      <c r="D2" s="88"/>
      <c r="E2" s="88"/>
      <c r="F2" s="88"/>
      <c r="G2" s="88"/>
      <c r="H2" s="89"/>
      <c r="I2" s="48"/>
      <c r="J2" s="90" t="s">
        <v>79</v>
      </c>
      <c r="K2" s="12"/>
      <c r="L2" s="13"/>
      <c r="M2" s="48"/>
      <c r="N2" s="91" t="s">
        <v>80</v>
      </c>
      <c r="O2" s="88"/>
      <c r="P2" s="89"/>
      <c r="Q2" s="48"/>
      <c r="R2" s="90" t="s">
        <v>81</v>
      </c>
      <c r="S2" s="12"/>
      <c r="T2" s="13"/>
      <c r="U2" s="92"/>
    </row>
    <row r="3">
      <c r="A3" s="86"/>
      <c r="B3" s="93" t="s">
        <v>6</v>
      </c>
      <c r="C3" s="94" t="s">
        <v>10</v>
      </c>
      <c r="D3" s="95" t="s">
        <v>82</v>
      </c>
      <c r="E3" s="94" t="s">
        <v>11</v>
      </c>
      <c r="F3" s="95" t="s">
        <v>83</v>
      </c>
      <c r="G3" s="94" t="s">
        <v>12</v>
      </c>
      <c r="H3" s="96" t="s">
        <v>84</v>
      </c>
      <c r="I3" s="48"/>
      <c r="J3" s="97" t="s">
        <v>6</v>
      </c>
      <c r="K3" s="98" t="s">
        <v>85</v>
      </c>
      <c r="L3" s="99" t="s">
        <v>86</v>
      </c>
      <c r="M3" s="48"/>
      <c r="N3" s="97" t="s">
        <v>6</v>
      </c>
      <c r="O3" s="98" t="s">
        <v>85</v>
      </c>
      <c r="P3" s="99" t="s">
        <v>86</v>
      </c>
      <c r="Q3" s="48"/>
      <c r="R3" s="97" t="s">
        <v>6</v>
      </c>
      <c r="T3" s="99" t="s">
        <v>85</v>
      </c>
      <c r="U3" s="92"/>
    </row>
    <row r="4">
      <c r="A4" s="86"/>
      <c r="B4" s="100" t="s">
        <v>87</v>
      </c>
      <c r="C4" s="101">
        <v>82.0</v>
      </c>
      <c r="D4" s="102">
        <v>2.926</v>
      </c>
      <c r="E4" s="101">
        <v>0.0</v>
      </c>
      <c r="F4" s="102">
        <v>0.0</v>
      </c>
      <c r="G4" s="101">
        <v>0.0</v>
      </c>
      <c r="H4" s="103">
        <v>0.0</v>
      </c>
      <c r="I4" s="48"/>
      <c r="J4" s="104" t="s">
        <v>88</v>
      </c>
      <c r="K4" s="105">
        <v>94.0</v>
      </c>
      <c r="L4" s="103">
        <v>0.311</v>
      </c>
      <c r="M4" s="48"/>
      <c r="N4" s="104" t="s">
        <v>89</v>
      </c>
      <c r="O4" s="105">
        <v>0.551</v>
      </c>
      <c r="P4" s="103">
        <v>27.0</v>
      </c>
      <c r="Q4" s="48"/>
      <c r="R4" s="104" t="s">
        <v>90</v>
      </c>
      <c r="T4" s="103">
        <v>0.02514</v>
      </c>
      <c r="U4" s="92"/>
    </row>
    <row r="5">
      <c r="A5" s="86"/>
      <c r="B5" s="100" t="s">
        <v>14</v>
      </c>
      <c r="C5" s="101">
        <v>33.5</v>
      </c>
      <c r="D5" s="102">
        <v>3.97</v>
      </c>
      <c r="E5" s="101">
        <v>0.0</v>
      </c>
      <c r="F5" s="102">
        <v>0.0</v>
      </c>
      <c r="G5" s="101">
        <v>0.0</v>
      </c>
      <c r="H5" s="103">
        <v>0.0</v>
      </c>
      <c r="I5" s="48"/>
      <c r="J5" s="104" t="s">
        <v>91</v>
      </c>
      <c r="K5" s="105">
        <v>55.0</v>
      </c>
      <c r="L5" s="103">
        <v>1.257</v>
      </c>
      <c r="M5" s="48"/>
      <c r="N5" s="104" t="s">
        <v>35</v>
      </c>
      <c r="O5" s="105">
        <v>0.674</v>
      </c>
      <c r="P5" s="103">
        <v>22.0</v>
      </c>
      <c r="Q5" s="48"/>
      <c r="R5" s="104" t="s">
        <v>92</v>
      </c>
      <c r="T5" s="103">
        <v>0.00943</v>
      </c>
      <c r="U5" s="92"/>
    </row>
    <row r="6">
      <c r="A6" s="86"/>
      <c r="B6" s="100" t="s">
        <v>93</v>
      </c>
      <c r="C6" s="101">
        <v>27.0</v>
      </c>
      <c r="D6" s="102">
        <v>4.18</v>
      </c>
      <c r="E6" s="101">
        <v>0.0</v>
      </c>
      <c r="F6" s="102">
        <v>0.0</v>
      </c>
      <c r="G6" s="101">
        <v>0.0</v>
      </c>
      <c r="H6" s="103">
        <v>0.0</v>
      </c>
      <c r="I6" s="48"/>
      <c r="J6" s="104" t="s">
        <v>94</v>
      </c>
      <c r="K6" s="105">
        <v>55.0</v>
      </c>
      <c r="L6" s="103">
        <v>1.257</v>
      </c>
      <c r="M6" s="48"/>
      <c r="N6" s="104" t="s">
        <v>95</v>
      </c>
      <c r="O6" s="105">
        <v>0.137</v>
      </c>
      <c r="P6" s="103">
        <v>0.0</v>
      </c>
      <c r="Q6" s="48"/>
      <c r="R6" s="104" t="s">
        <v>96</v>
      </c>
      <c r="T6" s="103">
        <v>0.00173</v>
      </c>
      <c r="U6" s="92"/>
    </row>
    <row r="7">
      <c r="A7" s="86"/>
      <c r="B7" s="100" t="s">
        <v>16</v>
      </c>
      <c r="C7" s="101">
        <v>39.0</v>
      </c>
      <c r="D7" s="102">
        <v>4.99</v>
      </c>
      <c r="E7" s="101">
        <v>0.0</v>
      </c>
      <c r="F7" s="102">
        <v>0.0</v>
      </c>
      <c r="G7" s="101">
        <v>0.0</v>
      </c>
      <c r="H7" s="103">
        <v>0.0</v>
      </c>
      <c r="I7" s="106"/>
      <c r="J7" s="107" t="s">
        <v>97</v>
      </c>
      <c r="K7" s="108">
        <v>35.0</v>
      </c>
      <c r="L7" s="109">
        <v>0.1</v>
      </c>
      <c r="M7" s="106"/>
      <c r="N7" s="104" t="s">
        <v>98</v>
      </c>
      <c r="O7" s="105">
        <v>0.704</v>
      </c>
      <c r="P7" s="103">
        <v>24.0</v>
      </c>
      <c r="Q7" s="48"/>
      <c r="R7" s="104" t="s">
        <v>99</v>
      </c>
      <c r="T7" s="103">
        <v>0.0033</v>
      </c>
      <c r="U7" s="92"/>
    </row>
    <row r="8">
      <c r="A8" s="86"/>
      <c r="B8" s="100" t="s">
        <v>100</v>
      </c>
      <c r="C8" s="101">
        <v>46.0</v>
      </c>
      <c r="D8" s="102">
        <v>4.54</v>
      </c>
      <c r="E8" s="101">
        <v>0.0</v>
      </c>
      <c r="F8" s="102">
        <v>0.0</v>
      </c>
      <c r="G8" s="101">
        <v>0.0</v>
      </c>
      <c r="H8" s="103">
        <v>0.0</v>
      </c>
      <c r="I8" s="92"/>
      <c r="J8" s="110"/>
      <c r="K8" s="110"/>
      <c r="L8" s="110"/>
      <c r="M8" s="86"/>
      <c r="N8" s="104" t="s">
        <v>101</v>
      </c>
      <c r="O8" s="105">
        <v>1.378</v>
      </c>
      <c r="P8" s="103">
        <v>0.0</v>
      </c>
      <c r="Q8" s="48"/>
      <c r="R8" s="104" t="s">
        <v>102</v>
      </c>
      <c r="T8" s="103">
        <v>0.00415</v>
      </c>
      <c r="U8" s="92"/>
    </row>
    <row r="9">
      <c r="A9" s="86"/>
      <c r="B9" s="100" t="s">
        <v>103</v>
      </c>
      <c r="C9" s="111"/>
      <c r="D9" s="102">
        <v>4.51</v>
      </c>
      <c r="E9" s="101">
        <v>0.0</v>
      </c>
      <c r="F9" s="102">
        <v>0.0</v>
      </c>
      <c r="G9" s="101">
        <v>0.0</v>
      </c>
      <c r="H9" s="103">
        <v>0.0</v>
      </c>
      <c r="I9" s="112"/>
      <c r="J9" s="90" t="s">
        <v>104</v>
      </c>
      <c r="K9" s="12"/>
      <c r="L9" s="13"/>
      <c r="M9" s="113"/>
      <c r="N9" s="107" t="s">
        <v>105</v>
      </c>
      <c r="O9" s="108">
        <v>0.146</v>
      </c>
      <c r="P9" s="109">
        <v>0.0</v>
      </c>
      <c r="Q9" s="106"/>
      <c r="R9" s="104" t="s">
        <v>106</v>
      </c>
      <c r="T9" s="103">
        <v>0.44</v>
      </c>
      <c r="U9" s="92"/>
    </row>
    <row r="10">
      <c r="A10" s="86"/>
      <c r="B10" s="100" t="s">
        <v>17</v>
      </c>
      <c r="C10" s="101">
        <v>0.0</v>
      </c>
      <c r="D10" s="102">
        <v>0.0</v>
      </c>
      <c r="E10" s="101">
        <v>46.0</v>
      </c>
      <c r="F10" s="102">
        <v>1.45</v>
      </c>
      <c r="G10" s="101">
        <v>0.0</v>
      </c>
      <c r="H10" s="103">
        <v>0.0</v>
      </c>
      <c r="I10" s="48"/>
      <c r="J10" s="97" t="s">
        <v>6</v>
      </c>
      <c r="K10" s="98" t="s">
        <v>85</v>
      </c>
      <c r="L10" s="99" t="s">
        <v>86</v>
      </c>
      <c r="M10" s="92"/>
      <c r="N10" s="110"/>
      <c r="O10" s="110"/>
      <c r="P10" s="110"/>
      <c r="Q10" s="85"/>
      <c r="R10" s="107" t="s">
        <v>107</v>
      </c>
      <c r="S10" s="38"/>
      <c r="T10" s="109">
        <v>0.47667</v>
      </c>
      <c r="U10" s="84"/>
    </row>
    <row r="11">
      <c r="A11" s="86"/>
      <c r="B11" s="100" t="s">
        <v>108</v>
      </c>
      <c r="C11" s="101">
        <v>0.0</v>
      </c>
      <c r="D11" s="102">
        <v>0.0</v>
      </c>
      <c r="E11" s="111"/>
      <c r="F11" s="102">
        <v>1.45</v>
      </c>
      <c r="G11" s="101">
        <v>0.0</v>
      </c>
      <c r="H11" s="103">
        <v>0.0</v>
      </c>
      <c r="I11" s="48"/>
      <c r="J11" s="104" t="s">
        <v>109</v>
      </c>
      <c r="K11" s="105">
        <v>642.406645</v>
      </c>
      <c r="L11" s="103">
        <v>10.1</v>
      </c>
      <c r="M11" s="112"/>
      <c r="N11" s="90" t="s">
        <v>110</v>
      </c>
      <c r="O11" s="12"/>
      <c r="P11" s="13"/>
      <c r="Q11" s="92"/>
      <c r="R11" s="110"/>
      <c r="S11" s="110"/>
      <c r="T11" s="110"/>
      <c r="U11" s="83"/>
    </row>
    <row r="12">
      <c r="A12" s="86"/>
      <c r="B12" s="100" t="s">
        <v>111</v>
      </c>
      <c r="C12" s="101">
        <v>0.0</v>
      </c>
      <c r="D12" s="102">
        <v>0.0</v>
      </c>
      <c r="E12" s="101">
        <v>0.0</v>
      </c>
      <c r="F12" s="102">
        <v>0.0</v>
      </c>
      <c r="G12" s="101">
        <v>60.0</v>
      </c>
      <c r="H12" s="103">
        <v>0.71</v>
      </c>
      <c r="I12" s="48"/>
      <c r="J12" s="104" t="s">
        <v>112</v>
      </c>
      <c r="K12" s="105">
        <v>534.406645</v>
      </c>
      <c r="L12" s="103">
        <v>13.84</v>
      </c>
      <c r="M12" s="48"/>
      <c r="N12" s="97" t="s">
        <v>6</v>
      </c>
      <c r="P12" s="99" t="s">
        <v>85</v>
      </c>
      <c r="Q12" s="112"/>
      <c r="R12" s="90" t="s">
        <v>113</v>
      </c>
      <c r="S12" s="12"/>
      <c r="T12" s="13"/>
      <c r="U12" s="114"/>
    </row>
    <row r="13">
      <c r="A13" s="86"/>
      <c r="B13" s="100" t="s">
        <v>114</v>
      </c>
      <c r="C13" s="101">
        <v>0.0</v>
      </c>
      <c r="D13" s="102">
        <v>0.0</v>
      </c>
      <c r="E13" s="101">
        <v>0.0</v>
      </c>
      <c r="F13" s="102">
        <v>0.0</v>
      </c>
      <c r="G13" s="111"/>
      <c r="H13" s="103">
        <v>0.71</v>
      </c>
      <c r="I13" s="48"/>
      <c r="J13" s="104" t="s">
        <v>115</v>
      </c>
      <c r="K13" s="105">
        <v>32.006645</v>
      </c>
      <c r="L13" s="103">
        <v>21.6</v>
      </c>
      <c r="M13" s="106"/>
      <c r="N13" s="107" t="s">
        <v>116</v>
      </c>
      <c r="O13" s="38"/>
      <c r="P13" s="109">
        <v>9.861</v>
      </c>
      <c r="Q13" s="48"/>
      <c r="R13" s="97" t="s">
        <v>6</v>
      </c>
      <c r="T13" s="99" t="s">
        <v>85</v>
      </c>
      <c r="U13" s="92"/>
    </row>
    <row r="14">
      <c r="A14" s="86"/>
      <c r="B14" s="100" t="s">
        <v>15</v>
      </c>
      <c r="C14" s="101">
        <v>0.0</v>
      </c>
      <c r="D14" s="102">
        <v>0.0</v>
      </c>
      <c r="E14" s="111"/>
      <c r="F14" s="102">
        <v>1.45</v>
      </c>
      <c r="G14" s="111"/>
      <c r="H14" s="103">
        <v>0.71</v>
      </c>
      <c r="I14" s="48"/>
      <c r="J14" s="104" t="s">
        <v>117</v>
      </c>
      <c r="K14" s="105">
        <v>251.406645</v>
      </c>
      <c r="L14" s="103">
        <v>5.09</v>
      </c>
      <c r="M14" s="92"/>
      <c r="N14" s="115"/>
      <c r="O14" s="115"/>
      <c r="P14" s="115"/>
      <c r="Q14" s="106"/>
      <c r="R14" s="107" t="s">
        <v>118</v>
      </c>
      <c r="S14" s="38"/>
      <c r="T14" s="109">
        <v>265.0</v>
      </c>
      <c r="U14" s="84"/>
    </row>
    <row r="15">
      <c r="A15" s="86"/>
      <c r="B15" s="100" t="s">
        <v>119</v>
      </c>
      <c r="C15" s="101">
        <v>0.0</v>
      </c>
      <c r="D15" s="102">
        <v>0.0</v>
      </c>
      <c r="E15" s="101">
        <v>0.0</v>
      </c>
      <c r="F15" s="102">
        <v>0.0</v>
      </c>
      <c r="G15" s="101">
        <v>44.0</v>
      </c>
      <c r="H15" s="103">
        <v>2.74</v>
      </c>
      <c r="I15" s="48"/>
      <c r="J15" s="104" t="s">
        <v>22</v>
      </c>
      <c r="K15" s="105">
        <v>718.406645</v>
      </c>
      <c r="L15" s="103">
        <v>9.32</v>
      </c>
      <c r="M15" s="92"/>
      <c r="N15" s="83"/>
      <c r="O15" s="83"/>
      <c r="P15" s="86"/>
      <c r="Q15" s="83"/>
      <c r="R15" s="115"/>
      <c r="S15" s="115"/>
      <c r="T15" s="115"/>
      <c r="U15" s="83"/>
    </row>
    <row r="16">
      <c r="A16" s="86"/>
      <c r="B16" s="100" t="s">
        <v>120</v>
      </c>
      <c r="C16" s="111"/>
      <c r="D16" s="102">
        <v>2.74</v>
      </c>
      <c r="E16" s="101">
        <v>0.0</v>
      </c>
      <c r="F16" s="102">
        <v>0.0</v>
      </c>
      <c r="G16" s="111"/>
      <c r="H16" s="103">
        <v>0.71</v>
      </c>
      <c r="I16" s="48"/>
      <c r="J16" s="104" t="s">
        <v>121</v>
      </c>
      <c r="K16" s="105">
        <v>1207.406645</v>
      </c>
      <c r="L16" s="103">
        <v>28.45</v>
      </c>
      <c r="M16" s="92"/>
      <c r="N16" s="83"/>
      <c r="O16" s="83"/>
      <c r="P16" s="86"/>
      <c r="Q16" s="83"/>
      <c r="R16" s="83"/>
      <c r="S16" s="83"/>
      <c r="T16" s="83"/>
      <c r="U16" s="83"/>
    </row>
    <row r="17">
      <c r="A17" s="86"/>
      <c r="B17" s="100" t="s">
        <v>122</v>
      </c>
      <c r="C17" s="101">
        <v>0.0</v>
      </c>
      <c r="D17" s="102">
        <v>0.0</v>
      </c>
      <c r="E17" s="101">
        <v>54.0</v>
      </c>
      <c r="F17" s="102">
        <v>1.82</v>
      </c>
      <c r="G17" s="101">
        <v>0.0</v>
      </c>
      <c r="H17" s="103">
        <v>0.0</v>
      </c>
      <c r="I17" s="48"/>
      <c r="J17" s="104" t="s">
        <v>123</v>
      </c>
      <c r="K17" s="105">
        <v>1503.406645</v>
      </c>
      <c r="L17" s="103">
        <v>6.9</v>
      </c>
      <c r="M17" s="92"/>
      <c r="N17" s="83"/>
      <c r="O17" s="83"/>
      <c r="P17" s="86"/>
      <c r="Q17" s="83"/>
      <c r="R17" s="83"/>
      <c r="S17" s="83"/>
      <c r="T17" s="83"/>
      <c r="U17" s="83"/>
    </row>
    <row r="18">
      <c r="A18" s="86"/>
      <c r="B18" s="100" t="s">
        <v>124</v>
      </c>
      <c r="C18" s="101">
        <v>0.0</v>
      </c>
      <c r="D18" s="102">
        <v>0.0</v>
      </c>
      <c r="E18" s="101">
        <v>46.0</v>
      </c>
      <c r="F18" s="102">
        <v>3.02</v>
      </c>
      <c r="G18" s="101">
        <v>0.0</v>
      </c>
      <c r="H18" s="103">
        <v>0.0</v>
      </c>
      <c r="I18" s="48"/>
      <c r="J18" s="104" t="s">
        <v>125</v>
      </c>
      <c r="K18" s="105">
        <v>3101.406645</v>
      </c>
      <c r="L18" s="103">
        <v>27.3</v>
      </c>
      <c r="M18" s="92"/>
      <c r="N18" s="83"/>
      <c r="O18" s="83"/>
      <c r="P18" s="86"/>
      <c r="Q18" s="83"/>
      <c r="R18" s="83"/>
      <c r="S18" s="83"/>
      <c r="T18" s="83"/>
      <c r="U18" s="83"/>
    </row>
    <row r="19">
      <c r="A19" s="86"/>
      <c r="B19" s="100" t="s">
        <v>31</v>
      </c>
      <c r="C19" s="111"/>
      <c r="D19" s="102">
        <v>3.97</v>
      </c>
      <c r="E19" s="111"/>
      <c r="F19" s="102">
        <v>1.83</v>
      </c>
      <c r="G19" s="111"/>
      <c r="H19" s="103">
        <v>0.71</v>
      </c>
      <c r="I19" s="48"/>
      <c r="J19" s="104" t="s">
        <v>126</v>
      </c>
      <c r="K19" s="105">
        <v>210.406645</v>
      </c>
      <c r="L19" s="103">
        <v>5.55</v>
      </c>
      <c r="M19" s="92"/>
      <c r="N19" s="83"/>
      <c r="O19" s="83"/>
      <c r="P19" s="86"/>
      <c r="Q19" s="83"/>
      <c r="R19" s="83"/>
      <c r="S19" s="83"/>
      <c r="T19" s="83"/>
      <c r="U19" s="83"/>
    </row>
    <row r="20">
      <c r="A20" s="86"/>
      <c r="B20" s="116" t="s">
        <v>33</v>
      </c>
      <c r="C20" s="117"/>
      <c r="D20" s="118">
        <v>3.97</v>
      </c>
      <c r="E20" s="117"/>
      <c r="F20" s="118">
        <v>1.83</v>
      </c>
      <c r="G20" s="117"/>
      <c r="H20" s="109">
        <v>0.71</v>
      </c>
      <c r="I20" s="48"/>
      <c r="J20" s="107" t="s">
        <v>127</v>
      </c>
      <c r="K20" s="108">
        <v>337.406645</v>
      </c>
      <c r="L20" s="109">
        <v>15.23</v>
      </c>
      <c r="M20" s="92"/>
      <c r="N20" s="83"/>
      <c r="O20" s="83"/>
      <c r="P20" s="86"/>
      <c r="Q20" s="83"/>
      <c r="R20" s="83"/>
      <c r="S20" s="83"/>
      <c r="T20" s="83"/>
      <c r="U20" s="83"/>
    </row>
    <row r="21">
      <c r="A21" s="83"/>
      <c r="B21" s="114"/>
      <c r="C21" s="115"/>
      <c r="D21" s="115"/>
      <c r="E21" s="115"/>
      <c r="F21" s="115"/>
      <c r="G21" s="115"/>
      <c r="H21" s="119"/>
      <c r="I21" s="83"/>
      <c r="J21" s="114"/>
      <c r="K21" s="115"/>
      <c r="L21" s="119"/>
      <c r="M21" s="83"/>
      <c r="N21" s="83"/>
      <c r="O21" s="83"/>
      <c r="P21" s="86"/>
      <c r="Q21" s="83"/>
      <c r="R21" s="83"/>
      <c r="S21" s="83"/>
      <c r="T21" s="83"/>
      <c r="U21" s="83"/>
    </row>
  </sheetData>
  <mergeCells count="19">
    <mergeCell ref="B2:H2"/>
    <mergeCell ref="J2:L2"/>
    <mergeCell ref="N2:P2"/>
    <mergeCell ref="R2:T2"/>
    <mergeCell ref="R3:S3"/>
    <mergeCell ref="R4:S4"/>
    <mergeCell ref="R5:S5"/>
    <mergeCell ref="N12:O12"/>
    <mergeCell ref="R12:T12"/>
    <mergeCell ref="N13:O13"/>
    <mergeCell ref="R13:S13"/>
    <mergeCell ref="R14:S14"/>
    <mergeCell ref="R6:S6"/>
    <mergeCell ref="R7:S7"/>
    <mergeCell ref="R8:S8"/>
    <mergeCell ref="J9:L9"/>
    <mergeCell ref="R9:S9"/>
    <mergeCell ref="R10:S10"/>
    <mergeCell ref="N11:P1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5" width="11.57"/>
    <col customWidth="1" min="6" max="6" width="11.43"/>
    <col customWidth="1" min="7" max="8" width="11.57"/>
    <col customWidth="1" min="9" max="9" width="11.43"/>
    <col customWidth="1" min="10" max="26" width="11.57"/>
  </cols>
  <sheetData>
    <row r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>
      <c r="A2" s="120"/>
      <c r="B2" s="120"/>
      <c r="C2" s="120"/>
      <c r="D2" s="120" t="s">
        <v>128</v>
      </c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ht="73.5" customHeight="1">
      <c r="A4" s="120"/>
      <c r="B4" s="120"/>
      <c r="C4" s="120"/>
      <c r="D4" s="121" t="s">
        <v>129</v>
      </c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</row>
    <row r="5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</row>
    <row r="6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</row>
    <row r="7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</row>
    <row r="8">
      <c r="A8" s="120"/>
      <c r="B8" s="122"/>
      <c r="C8" s="120" t="s">
        <v>130</v>
      </c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</row>
    <row r="9">
      <c r="A9" s="120"/>
      <c r="B9" s="120"/>
      <c r="C9" s="123" t="s">
        <v>131</v>
      </c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</row>
    <row r="10">
      <c r="A10" s="120"/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</row>
    <row r="11">
      <c r="A11" s="120"/>
      <c r="B11" s="124"/>
      <c r="C11" s="120" t="s">
        <v>132</v>
      </c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</row>
    <row r="12">
      <c r="A12" s="120"/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</row>
    <row r="13">
      <c r="A13" s="120"/>
      <c r="B13" s="125"/>
      <c r="C13" s="120" t="s">
        <v>133</v>
      </c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</row>
    <row r="14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</row>
    <row r="15">
      <c r="A15" s="120"/>
      <c r="B15" s="120"/>
      <c r="C15" s="120" t="s">
        <v>134</v>
      </c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</row>
    <row r="16">
      <c r="A16" s="120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</row>
    <row r="17">
      <c r="A17" s="120"/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</row>
    <row r="18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</row>
    <row r="19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</row>
    <row r="20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</row>
    <row r="21" ht="15.75" customHeight="1">
      <c r="A21" s="120"/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</row>
    <row r="22" ht="15.75" customHeight="1">
      <c r="A22" s="120"/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</row>
    <row r="23" ht="15.75" customHeight="1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</row>
    <row r="24" ht="15.75" customHeight="1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</row>
    <row r="25" ht="15.75" customHeigh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</row>
    <row r="26" ht="15.75" customHeight="1">
      <c r="A26" s="120"/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</row>
    <row r="27" ht="15.75" customHeight="1">
      <c r="A27" s="120"/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</row>
    <row r="28" ht="15.75" customHeight="1">
      <c r="A28" s="120"/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</row>
    <row r="29" ht="15.75" customHeight="1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</row>
    <row r="30" ht="15.75" customHeight="1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</row>
    <row r="31" ht="15.75" customHeight="1">
      <c r="A31" s="120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</row>
    <row r="32" ht="15.75" customHeight="1">
      <c r="A32" s="120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</row>
    <row r="33" ht="15.75" customHeight="1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</row>
    <row r="34" ht="15.75" customHeight="1">
      <c r="A34" s="120"/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</row>
    <row r="35" ht="15.75" customHeight="1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</row>
    <row r="36" ht="15.75" customHeight="1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</row>
    <row r="37" ht="15.75" customHeight="1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</row>
    <row r="38" ht="15.75" customHeight="1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</row>
    <row r="39" ht="15.75" customHeight="1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</row>
    <row r="40" ht="15.75" customHeight="1">
      <c r="A40" s="120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</row>
    <row r="41" ht="15.75" customHeight="1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</row>
    <row r="42" ht="15.75" customHeight="1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</row>
    <row r="43" ht="15.75" customHeight="1">
      <c r="A43" s="120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</row>
    <row r="44" ht="15.75" customHeight="1">
      <c r="A44" s="120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</row>
    <row r="45" ht="15.75" customHeight="1">
      <c r="A45" s="120"/>
      <c r="B45" s="120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</row>
    <row r="46" ht="15.75" customHeight="1">
      <c r="A46" s="120"/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</row>
    <row r="47" ht="15.75" customHeight="1">
      <c r="A47" s="120"/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</row>
    <row r="48" ht="15.75" customHeight="1">
      <c r="A48" s="12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</row>
    <row r="49" ht="15.75" customHeight="1">
      <c r="A49" s="120"/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</row>
    <row r="50" ht="15.75" customHeight="1">
      <c r="A50" s="120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</row>
    <row r="51" ht="15.75" customHeight="1">
      <c r="A51" s="120"/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</row>
    <row r="52" ht="15.75" customHeight="1">
      <c r="A52" s="120"/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</row>
    <row r="53" ht="15.75" customHeight="1">
      <c r="A53" s="120"/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</row>
    <row r="54" ht="15.75" customHeight="1">
      <c r="A54" s="120"/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</row>
    <row r="55" ht="15.75" customHeight="1">
      <c r="A55" s="120"/>
      <c r="B55" s="120"/>
      <c r="C55" s="120"/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</row>
    <row r="56" ht="15.75" customHeight="1">
      <c r="A56" s="120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</row>
    <row r="57" ht="15.75" customHeight="1">
      <c r="A57" s="120"/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</row>
    <row r="58" ht="15.75" customHeight="1">
      <c r="A58" s="120"/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</row>
    <row r="59" ht="15.75" customHeight="1">
      <c r="A59" s="120"/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</row>
    <row r="60" ht="15.75" customHeight="1">
      <c r="A60" s="120"/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</row>
    <row r="61" ht="15.75" customHeight="1">
      <c r="A61" s="120"/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</row>
    <row r="62" ht="15.75" customHeight="1">
      <c r="A62" s="120"/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</row>
    <row r="63" ht="15.75" customHeight="1">
      <c r="A63" s="120"/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ht="15.75" customHeight="1">
      <c r="A64" s="120"/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</row>
    <row r="65" ht="15.75" customHeight="1">
      <c r="A65" s="120"/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ht="15.75" customHeight="1">
      <c r="A66" s="120"/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</row>
    <row r="67" ht="15.75" customHeight="1">
      <c r="A67" s="120"/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</row>
    <row r="68" ht="15.75" customHeight="1">
      <c r="A68" s="120"/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</row>
    <row r="69" ht="15.75" customHeight="1">
      <c r="A69" s="120"/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ht="15.75" customHeight="1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</row>
    <row r="71" ht="15.75" customHeight="1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</row>
    <row r="72" ht="15.75" customHeight="1">
      <c r="A72" s="120"/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</row>
    <row r="73" ht="15.75" customHeight="1">
      <c r="A73" s="120"/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</row>
    <row r="74" ht="15.75" customHeight="1">
      <c r="A74" s="120"/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</row>
    <row r="75" ht="15.75" customHeight="1">
      <c r="A75" s="120"/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</row>
    <row r="76" ht="15.75" customHeight="1">
      <c r="A76" s="120"/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</row>
    <row r="77" ht="15.75" customHeight="1">
      <c r="A77" s="120"/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</row>
    <row r="78" ht="15.75" customHeight="1">
      <c r="A78" s="120"/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</row>
    <row r="79" ht="15.75" customHeight="1">
      <c r="A79" s="120"/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</row>
    <row r="80" ht="15.75" customHeight="1">
      <c r="A80" s="120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</row>
    <row r="81" ht="15.75" customHeight="1">
      <c r="A81" s="120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</row>
    <row r="82" ht="15.75" customHeight="1">
      <c r="A82" s="120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</row>
    <row r="83" ht="15.75" customHeight="1">
      <c r="A83" s="120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ht="15.75" customHeight="1">
      <c r="A84" s="120"/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</row>
    <row r="85" ht="15.75" customHeight="1">
      <c r="A85" s="120"/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</row>
    <row r="86" ht="15.75" customHeight="1">
      <c r="A86" s="120"/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</row>
    <row r="87" ht="15.75" customHeight="1">
      <c r="A87" s="120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</row>
    <row r="88" ht="15.75" customHeight="1">
      <c r="A88" s="120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</row>
    <row r="89" ht="15.75" customHeight="1">
      <c r="A89" s="120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</row>
    <row r="90" ht="15.75" customHeight="1">
      <c r="A90" s="120"/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</row>
    <row r="91" ht="15.75" customHeight="1">
      <c r="A91" s="120"/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</row>
    <row r="92" ht="15.75" customHeight="1">
      <c r="A92" s="120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</row>
    <row r="93" ht="15.75" customHeight="1">
      <c r="A93" s="120"/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</row>
    <row r="94" ht="15.75" customHeight="1">
      <c r="A94" s="120"/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</row>
    <row r="95" ht="15.75" customHeight="1">
      <c r="A95" s="120"/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</row>
    <row r="96" ht="15.75" customHeight="1">
      <c r="A96" s="120"/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</row>
    <row r="97" ht="15.75" customHeight="1">
      <c r="A97" s="120"/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</row>
    <row r="98" ht="15.75" customHeight="1">
      <c r="A98" s="120"/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ht="15.75" customHeight="1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</row>
    <row r="100" ht="15.75" customHeight="1">
      <c r="A100" s="120"/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</row>
    <row r="101" ht="15.75" customHeight="1">
      <c r="A101" s="120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</row>
    <row r="102" ht="15.75" customHeight="1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</row>
    <row r="103" ht="15.75" customHeight="1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</row>
    <row r="104" ht="15.75" customHeight="1">
      <c r="A104" s="120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</row>
    <row r="105" ht="15.75" customHeight="1">
      <c r="A105" s="120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</row>
    <row r="106" ht="15.75" customHeight="1">
      <c r="A106" s="120"/>
      <c r="B106" s="120"/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</row>
    <row r="107" ht="15.75" customHeight="1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</row>
    <row r="108" ht="15.75" customHeight="1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</row>
    <row r="109" ht="15.75" customHeight="1">
      <c r="A109" s="120"/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</row>
    <row r="110" ht="15.75" customHeight="1">
      <c r="A110" s="120"/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</row>
    <row r="111" ht="15.75" customHeight="1">
      <c r="A111" s="120"/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</row>
    <row r="112" ht="15.75" customHeight="1">
      <c r="A112" s="120"/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</row>
    <row r="113" ht="15.75" customHeight="1">
      <c r="A113" s="120"/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</row>
    <row r="114" ht="15.75" customHeight="1">
      <c r="A114" s="120"/>
      <c r="B114" s="120"/>
      <c r="C114" s="120"/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</row>
    <row r="115" ht="15.75" customHeight="1">
      <c r="A115" s="120"/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</row>
    <row r="116" ht="15.75" customHeight="1">
      <c r="A116" s="120"/>
      <c r="B116" s="120"/>
      <c r="C116" s="120"/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</row>
    <row r="117" ht="15.75" customHeight="1">
      <c r="A117" s="120"/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</row>
    <row r="118" ht="15.75" customHeight="1">
      <c r="A118" s="120"/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ht="15.75" customHeight="1">
      <c r="A119" s="120"/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ht="15.75" customHeight="1">
      <c r="A120" s="120"/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ht="15.75" customHeight="1">
      <c r="A121" s="120"/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</row>
    <row r="122" ht="15.75" customHeight="1">
      <c r="A122" s="120"/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</row>
    <row r="123" ht="15.75" customHeight="1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</row>
    <row r="124" ht="15.75" customHeight="1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</row>
    <row r="125" ht="15.75" customHeight="1">
      <c r="A125" s="120"/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</row>
    <row r="126" ht="15.75" customHeight="1">
      <c r="A126" s="120"/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</row>
    <row r="127" ht="15.75" customHeight="1">
      <c r="A127" s="120"/>
      <c r="B127" s="120"/>
      <c r="C127" s="120"/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</row>
    <row r="128" ht="15.75" customHeight="1">
      <c r="A128" s="120"/>
      <c r="B128" s="120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</row>
    <row r="129" ht="15.75" customHeight="1">
      <c r="A129" s="120"/>
      <c r="B129" s="120"/>
      <c r="C129" s="120"/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</row>
    <row r="130" ht="15.75" customHeight="1">
      <c r="A130" s="120"/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</row>
    <row r="131" ht="15.75" customHeight="1">
      <c r="A131" s="120"/>
      <c r="B131" s="120"/>
      <c r="C131" s="120"/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</row>
    <row r="132" ht="15.75" customHeight="1">
      <c r="A132" s="120"/>
      <c r="B132" s="120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</row>
    <row r="133" ht="15.75" customHeight="1">
      <c r="A133" s="120"/>
      <c r="B133" s="120"/>
      <c r="C133" s="120"/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</row>
    <row r="134" ht="15.75" customHeight="1">
      <c r="A134" s="120"/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</row>
    <row r="135" ht="15.75" customHeight="1">
      <c r="A135" s="120"/>
      <c r="B135" s="12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</row>
    <row r="136" ht="15.75" customHeight="1">
      <c r="A136" s="120"/>
      <c r="B136" s="120"/>
      <c r="C136" s="120"/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</row>
    <row r="137" ht="15.75" customHeight="1">
      <c r="A137" s="120"/>
      <c r="B137" s="12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</row>
    <row r="138" ht="15.75" customHeight="1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</row>
    <row r="139" ht="15.75" customHeight="1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</row>
    <row r="140" ht="15.75" customHeight="1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</row>
    <row r="141" ht="15.75" customHeight="1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ht="15.75" customHeight="1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</row>
    <row r="143" ht="15.75" customHeight="1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</row>
    <row r="144" ht="15.75" customHeight="1">
      <c r="A144" s="120"/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</row>
    <row r="145" ht="15.75" customHeight="1">
      <c r="A145" s="120"/>
      <c r="B145" s="120"/>
      <c r="C145" s="120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</row>
    <row r="146" ht="15.75" customHeight="1">
      <c r="A146" s="120"/>
      <c r="B146" s="120"/>
      <c r="C146" s="120"/>
      <c r="D146" s="120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</row>
    <row r="147" ht="15.75" customHeight="1">
      <c r="A147" s="120"/>
      <c r="B147" s="120"/>
      <c r="C147" s="120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</row>
    <row r="148" ht="15.75" customHeight="1">
      <c r="A148" s="120"/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</row>
    <row r="149" ht="15.75" customHeight="1">
      <c r="A149" s="120"/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</row>
    <row r="150" ht="15.75" customHeight="1">
      <c r="A150" s="120"/>
      <c r="B150" s="120"/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</row>
    <row r="151" ht="15.75" customHeight="1">
      <c r="A151" s="120"/>
      <c r="B151" s="120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</row>
    <row r="152" ht="15.75" customHeight="1">
      <c r="A152" s="120"/>
      <c r="B152" s="120"/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</row>
    <row r="153" ht="15.75" customHeight="1">
      <c r="A153" s="120"/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</row>
    <row r="154" ht="15.75" customHeight="1">
      <c r="A154" s="120"/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</row>
    <row r="155" ht="15.75" customHeight="1">
      <c r="A155" s="120"/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</row>
    <row r="156" ht="15.75" customHeight="1">
      <c r="A156" s="120"/>
      <c r="B156" s="120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</row>
    <row r="157" ht="15.75" customHeight="1">
      <c r="A157" s="120"/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</row>
    <row r="158" ht="15.75" customHeight="1">
      <c r="A158" s="120"/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</row>
    <row r="159" ht="15.75" customHeight="1">
      <c r="A159" s="120"/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</row>
    <row r="160" ht="15.75" customHeight="1">
      <c r="A160" s="120"/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</row>
    <row r="161" ht="15.75" customHeight="1">
      <c r="A161" s="120"/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</row>
    <row r="162" ht="15.75" customHeight="1">
      <c r="A162" s="120"/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</row>
    <row r="163" ht="15.75" customHeight="1">
      <c r="A163" s="120"/>
      <c r="B163" s="120"/>
      <c r="C163" s="120"/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</row>
    <row r="164" ht="15.75" customHeight="1">
      <c r="A164" s="120"/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</row>
    <row r="165" ht="15.75" customHeight="1">
      <c r="A165" s="120"/>
      <c r="B165" s="120"/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</row>
    <row r="166" ht="15.75" customHeight="1">
      <c r="A166" s="120"/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</row>
    <row r="167" ht="15.75" customHeight="1">
      <c r="A167" s="120"/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</row>
    <row r="168" ht="15.75" customHeight="1">
      <c r="A168" s="120"/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</row>
    <row r="169" ht="15.75" customHeight="1">
      <c r="A169" s="120"/>
      <c r="B169" s="120"/>
      <c r="C169" s="120"/>
      <c r="D169" s="120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</row>
    <row r="170" ht="15.75" customHeight="1">
      <c r="A170" s="120"/>
      <c r="B170" s="120"/>
      <c r="C170" s="120"/>
      <c r="D170" s="120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</row>
    <row r="171" ht="15.75" customHeight="1">
      <c r="A171" s="120"/>
      <c r="B171" s="120"/>
      <c r="C171" s="120"/>
      <c r="D171" s="120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</row>
    <row r="172" ht="15.75" customHeight="1">
      <c r="A172" s="120"/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</row>
    <row r="173" ht="15.75" customHeight="1">
      <c r="A173" s="120"/>
      <c r="B173" s="120"/>
      <c r="C173" s="120"/>
      <c r="D173" s="120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</row>
    <row r="174" ht="15.75" customHeight="1">
      <c r="A174" s="120"/>
      <c r="B174" s="120"/>
      <c r="C174" s="120"/>
      <c r="D174" s="120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</row>
    <row r="175" ht="15.75" customHeight="1">
      <c r="A175" s="120"/>
      <c r="B175" s="120"/>
      <c r="C175" s="120"/>
      <c r="D175" s="120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</row>
    <row r="176" ht="15.75" customHeight="1">
      <c r="A176" s="120"/>
      <c r="B176" s="120"/>
      <c r="C176" s="120"/>
      <c r="D176" s="120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</row>
    <row r="177" ht="15.75" customHeight="1">
      <c r="A177" s="120"/>
      <c r="B177" s="120"/>
      <c r="C177" s="120"/>
      <c r="D177" s="120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</row>
    <row r="178" ht="15.75" customHeight="1">
      <c r="A178" s="120"/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</row>
    <row r="179" ht="15.75" customHeight="1">
      <c r="A179" s="120"/>
      <c r="B179" s="120"/>
      <c r="C179" s="120"/>
      <c r="D179" s="120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</row>
    <row r="180" ht="15.75" customHeight="1">
      <c r="A180" s="120"/>
      <c r="B180" s="120"/>
      <c r="C180" s="120"/>
      <c r="D180" s="120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</row>
    <row r="181" ht="15.75" customHeight="1">
      <c r="A181" s="120"/>
      <c r="B181" s="120"/>
      <c r="C181" s="120"/>
      <c r="D181" s="120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</row>
    <row r="182" ht="15.75" customHeight="1">
      <c r="A182" s="120"/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</row>
    <row r="183" ht="15.75" customHeight="1">
      <c r="A183" s="120"/>
      <c r="B183" s="120"/>
      <c r="C183" s="120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</row>
    <row r="184" ht="15.75" customHeight="1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</row>
    <row r="185" ht="15.75" customHeight="1">
      <c r="A185" s="120"/>
      <c r="B185" s="120"/>
      <c r="C185" s="120"/>
      <c r="D185" s="120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</row>
    <row r="186" ht="15.75" customHeight="1">
      <c r="A186" s="120"/>
      <c r="B186" s="120"/>
      <c r="C186" s="120"/>
      <c r="D186" s="120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</row>
    <row r="187" ht="15.75" customHeight="1">
      <c r="A187" s="120"/>
      <c r="B187" s="120"/>
      <c r="C187" s="120"/>
      <c r="D187" s="120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</row>
    <row r="188" ht="15.75" customHeight="1">
      <c r="A188" s="120"/>
      <c r="B188" s="120"/>
      <c r="C188" s="120"/>
      <c r="D188" s="120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</row>
    <row r="189" ht="15.75" customHeight="1">
      <c r="A189" s="120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</row>
    <row r="190" ht="15.75" customHeight="1">
      <c r="A190" s="120"/>
      <c r="B190" s="120"/>
      <c r="C190" s="120"/>
      <c r="D190" s="120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</row>
    <row r="191" ht="15.75" customHeight="1">
      <c r="A191" s="120"/>
      <c r="B191" s="120"/>
      <c r="C191" s="120"/>
      <c r="D191" s="120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</row>
    <row r="192" ht="15.75" customHeight="1">
      <c r="A192" s="120"/>
      <c r="B192" s="120"/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</row>
    <row r="193" ht="15.75" customHeight="1">
      <c r="A193" s="120"/>
      <c r="B193" s="120"/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</row>
    <row r="194" ht="15.75" customHeight="1">
      <c r="A194" s="120"/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</row>
    <row r="195" ht="15.75" customHeight="1">
      <c r="A195" s="120"/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</row>
    <row r="196" ht="15.75" customHeight="1">
      <c r="A196" s="120"/>
      <c r="B196" s="120"/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</row>
    <row r="197" ht="15.75" customHeight="1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</row>
    <row r="198" ht="15.75" customHeight="1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</row>
    <row r="199" ht="15.75" customHeight="1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</row>
    <row r="200" ht="15.75" customHeight="1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</row>
    <row r="201" ht="15.75" customHeight="1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</row>
    <row r="202" ht="15.75" customHeight="1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0"/>
    </row>
    <row r="203" ht="15.75" customHeight="1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</row>
    <row r="204" ht="15.75" customHeight="1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</row>
    <row r="205" ht="15.75" customHeight="1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</row>
    <row r="206" ht="15.75" customHeight="1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</row>
    <row r="207" ht="15.75" customHeight="1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</row>
    <row r="208" ht="15.75" customHeight="1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</row>
    <row r="209" ht="15.75" customHeight="1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</row>
    <row r="210" ht="15.75" customHeight="1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</row>
    <row r="211" ht="15.75" customHeight="1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</row>
    <row r="212" ht="15.75" customHeight="1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</row>
    <row r="213" ht="15.75" customHeight="1">
      <c r="A213" s="120"/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</row>
    <row r="214" ht="15.75" customHeight="1">
      <c r="A214" s="120"/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</row>
    <row r="215" ht="15.75" customHeight="1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</row>
    <row r="216" ht="15.75" customHeight="1">
      <c r="A216" s="120"/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</row>
    <row r="217" ht="15.75" customHeight="1">
      <c r="A217" s="120"/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</row>
    <row r="218" ht="15.75" customHeight="1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</row>
    <row r="219" ht="15.75" customHeight="1">
      <c r="A219" s="120"/>
      <c r="B219" s="120"/>
      <c r="C219" s="120"/>
      <c r="D219" s="120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</row>
    <row r="220" ht="15.75" customHeight="1">
      <c r="A220" s="120"/>
      <c r="B220" s="120"/>
      <c r="C220" s="120"/>
      <c r="D220" s="120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</row>
    <row r="221" ht="15.75" customHeight="1">
      <c r="A221" s="120"/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</row>
    <row r="222" ht="15.75" customHeight="1">
      <c r="A222" s="120"/>
      <c r="B222" s="120"/>
      <c r="C222" s="120"/>
      <c r="D222" s="120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</row>
    <row r="223" ht="15.75" customHeight="1">
      <c r="A223" s="120"/>
      <c r="B223" s="120"/>
      <c r="C223" s="120"/>
      <c r="D223" s="120"/>
      <c r="E223" s="120"/>
      <c r="F223" s="120"/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</row>
    <row r="224" ht="15.75" customHeight="1">
      <c r="A224" s="120"/>
      <c r="B224" s="120"/>
      <c r="C224" s="120"/>
      <c r="D224" s="120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</row>
    <row r="225" ht="15.75" customHeight="1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</row>
    <row r="226" ht="15.75" customHeight="1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</row>
    <row r="227" ht="15.75" customHeight="1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</row>
    <row r="228" ht="15.75" customHeight="1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</row>
    <row r="229" ht="15.75" customHeight="1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</row>
    <row r="230" ht="15.75" customHeight="1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</row>
    <row r="231" ht="15.75" customHeight="1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</row>
    <row r="232" ht="15.75" customHeight="1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</row>
    <row r="233" ht="15.75" customHeight="1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</row>
    <row r="234" ht="15.75" customHeight="1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</row>
    <row r="235" ht="15.75" customHeight="1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</row>
    <row r="236" ht="15.75" customHeight="1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</row>
    <row r="237" ht="15.75" customHeight="1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</row>
    <row r="238" ht="15.75" customHeight="1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</row>
    <row r="239" ht="15.75" customHeight="1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</row>
    <row r="240" ht="15.75" customHeight="1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</row>
    <row r="241" ht="15.75" customHeight="1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</row>
    <row r="242" ht="15.75" customHeight="1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</row>
    <row r="243" ht="15.75" customHeight="1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</row>
    <row r="244" ht="15.75" customHeight="1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</row>
    <row r="245" ht="15.75" customHeight="1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</row>
    <row r="246" ht="15.75" customHeight="1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</row>
    <row r="247" ht="15.75" customHeight="1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</row>
    <row r="248" ht="15.75" customHeight="1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</row>
    <row r="249" ht="15.75" customHeight="1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</row>
    <row r="250" ht="15.75" customHeight="1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</row>
    <row r="251" ht="15.75" customHeight="1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</row>
    <row r="252" ht="15.75" customHeight="1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</row>
    <row r="253" ht="15.75" customHeight="1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</row>
    <row r="254" ht="15.75" customHeight="1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</row>
    <row r="255" ht="15.75" customHeight="1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</row>
    <row r="256" ht="15.75" customHeight="1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</row>
    <row r="257" ht="15.75" customHeight="1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</row>
    <row r="258" ht="15.75" customHeight="1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</row>
    <row r="259" ht="15.75" customHeight="1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</row>
    <row r="260" ht="15.75" customHeight="1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</row>
    <row r="261" ht="15.75" customHeight="1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</row>
    <row r="262" ht="15.75" customHeight="1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</row>
    <row r="263" ht="15.75" customHeight="1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</row>
    <row r="264" ht="15.75" customHeight="1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</row>
    <row r="265" ht="15.75" customHeight="1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</row>
    <row r="266" ht="15.75" customHeight="1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</row>
    <row r="267" ht="15.75" customHeight="1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</row>
    <row r="268" ht="15.75" customHeight="1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</row>
    <row r="269" ht="15.75" customHeight="1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</row>
    <row r="270" ht="15.75" customHeight="1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</row>
    <row r="271" ht="15.75" customHeight="1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</row>
    <row r="272" ht="15.75" customHeight="1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</row>
    <row r="273" ht="15.75" customHeight="1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</row>
    <row r="274" ht="15.75" customHeight="1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</row>
    <row r="275" ht="15.75" customHeight="1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</row>
    <row r="276" ht="15.75" customHeight="1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</row>
    <row r="277" ht="15.75" customHeight="1">
      <c r="A277" s="120"/>
      <c r="B277" s="120"/>
      <c r="C277" s="120"/>
      <c r="D277" s="120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</row>
    <row r="278" ht="15.75" customHeight="1">
      <c r="A278" s="120"/>
      <c r="B278" s="120"/>
      <c r="C278" s="120"/>
      <c r="D278" s="120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</row>
    <row r="279" ht="15.75" customHeight="1">
      <c r="A279" s="120"/>
      <c r="B279" s="120"/>
      <c r="C279" s="120"/>
      <c r="D279" s="120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</row>
    <row r="280" ht="15.75" customHeight="1">
      <c r="A280" s="120"/>
      <c r="B280" s="120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</row>
    <row r="281" ht="15.75" customHeight="1">
      <c r="A281" s="120"/>
      <c r="B281" s="120"/>
      <c r="C281" s="120"/>
      <c r="D281" s="120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</row>
    <row r="282" ht="15.75" customHeight="1">
      <c r="A282" s="120"/>
      <c r="B282" s="120"/>
      <c r="C282" s="120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</row>
    <row r="283" ht="15.75" customHeight="1">
      <c r="A283" s="120"/>
      <c r="B283" s="120"/>
      <c r="C283" s="120"/>
      <c r="D283" s="120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</row>
    <row r="284" ht="15.75" customHeight="1">
      <c r="A284" s="120"/>
      <c r="B284" s="120"/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</row>
    <row r="285" ht="15.75" customHeight="1">
      <c r="A285" s="120"/>
      <c r="B285" s="120"/>
      <c r="C285" s="120"/>
      <c r="D285" s="120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</row>
    <row r="286" ht="15.75" customHeight="1">
      <c r="A286" s="120"/>
      <c r="B286" s="120"/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</row>
    <row r="287" ht="15.75" customHeight="1">
      <c r="A287" s="120"/>
      <c r="B287" s="120"/>
      <c r="C287" s="120"/>
      <c r="D287" s="120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</row>
    <row r="288" ht="15.75" customHeight="1">
      <c r="A288" s="120"/>
      <c r="B288" s="120"/>
      <c r="C288" s="120"/>
      <c r="D288" s="120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</row>
    <row r="289" ht="15.75" customHeight="1">
      <c r="A289" s="120"/>
      <c r="B289" s="120"/>
      <c r="C289" s="120"/>
      <c r="D289" s="120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</row>
    <row r="290" ht="15.75" customHeight="1">
      <c r="A290" s="120"/>
      <c r="B290" s="120"/>
      <c r="C290" s="120"/>
      <c r="D290" s="120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</row>
    <row r="291" ht="15.75" customHeight="1">
      <c r="A291" s="120"/>
      <c r="B291" s="120"/>
      <c r="C291" s="120"/>
      <c r="D291" s="120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</row>
    <row r="292" ht="15.75" customHeight="1">
      <c r="A292" s="120"/>
      <c r="B292" s="120"/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</row>
    <row r="293" ht="15.75" customHeight="1">
      <c r="A293" s="120"/>
      <c r="B293" s="120"/>
      <c r="C293" s="120"/>
      <c r="D293" s="120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</row>
    <row r="294" ht="15.75" customHeight="1">
      <c r="A294" s="120"/>
      <c r="B294" s="120"/>
      <c r="C294" s="120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</row>
    <row r="295" ht="15.75" customHeight="1">
      <c r="A295" s="120"/>
      <c r="B295" s="120"/>
      <c r="C295" s="120"/>
      <c r="D295" s="120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</row>
    <row r="296" ht="15.75" customHeight="1">
      <c r="A296" s="120"/>
      <c r="B296" s="120"/>
      <c r="C296" s="120"/>
      <c r="D296" s="120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</row>
    <row r="297" ht="15.75" customHeight="1">
      <c r="A297" s="120"/>
      <c r="B297" s="120"/>
      <c r="C297" s="120"/>
      <c r="D297" s="120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</row>
    <row r="298" ht="15.75" customHeight="1">
      <c r="A298" s="120"/>
      <c r="B298" s="120"/>
      <c r="C298" s="120"/>
      <c r="D298" s="120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</row>
    <row r="299" ht="15.75" customHeight="1">
      <c r="A299" s="120"/>
      <c r="B299" s="120"/>
      <c r="C299" s="120"/>
      <c r="D299" s="120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</row>
    <row r="300" ht="15.75" customHeight="1">
      <c r="A300" s="120"/>
      <c r="B300" s="120"/>
      <c r="C300" s="120"/>
      <c r="D300" s="120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</row>
    <row r="301" ht="15.75" customHeight="1">
      <c r="A301" s="120"/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</row>
    <row r="302" ht="15.75" customHeight="1">
      <c r="A302" s="120"/>
      <c r="B302" s="120"/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</row>
    <row r="303" ht="15.75" customHeight="1">
      <c r="A303" s="120"/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</row>
    <row r="304" ht="15.75" customHeight="1">
      <c r="A304" s="120"/>
      <c r="B304" s="120"/>
      <c r="C304" s="120"/>
      <c r="D304" s="120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</row>
    <row r="305" ht="15.75" customHeight="1">
      <c r="A305" s="120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</row>
    <row r="306" ht="15.75" customHeight="1">
      <c r="A306" s="120"/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</row>
    <row r="307" ht="15.75" customHeight="1">
      <c r="A307" s="120"/>
      <c r="B307" s="120"/>
      <c r="C307" s="120"/>
      <c r="D307" s="120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</row>
    <row r="308" ht="15.75" customHeight="1">
      <c r="A308" s="120"/>
      <c r="B308" s="120"/>
      <c r="C308" s="120"/>
      <c r="D308" s="120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</row>
    <row r="309" ht="15.75" customHeight="1">
      <c r="A309" s="120"/>
      <c r="B309" s="120"/>
      <c r="C309" s="120"/>
      <c r="D309" s="120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</row>
    <row r="310" ht="15.75" customHeight="1">
      <c r="A310" s="120"/>
      <c r="B310" s="120"/>
      <c r="C310" s="120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</row>
    <row r="311" ht="15.75" customHeight="1">
      <c r="A311" s="120"/>
      <c r="B311" s="120"/>
      <c r="C311" s="120"/>
      <c r="D311" s="120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</row>
    <row r="312" ht="15.75" customHeight="1">
      <c r="A312" s="120"/>
      <c r="B312" s="120"/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</row>
    <row r="313" ht="15.75" customHeight="1">
      <c r="A313" s="120"/>
      <c r="B313" s="120"/>
      <c r="C313" s="120"/>
      <c r="D313" s="120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</row>
    <row r="314" ht="15.75" customHeight="1">
      <c r="A314" s="120"/>
      <c r="B314" s="120"/>
      <c r="C314" s="120"/>
      <c r="D314" s="120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</row>
    <row r="315" ht="15.75" customHeight="1">
      <c r="A315" s="120"/>
      <c r="B315" s="120"/>
      <c r="C315" s="120"/>
      <c r="D315" s="120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</row>
    <row r="316" ht="15.75" customHeight="1">
      <c r="A316" s="120"/>
      <c r="B316" s="120"/>
      <c r="C316" s="120"/>
      <c r="D316" s="120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</row>
    <row r="317" ht="15.75" customHeight="1">
      <c r="A317" s="120"/>
      <c r="B317" s="120"/>
      <c r="C317" s="120"/>
      <c r="D317" s="120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</row>
    <row r="318" ht="15.75" customHeight="1">
      <c r="A318" s="120"/>
      <c r="B318" s="120"/>
      <c r="C318" s="120"/>
      <c r="D318" s="120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</row>
    <row r="319" ht="15.75" customHeight="1">
      <c r="A319" s="120"/>
      <c r="B319" s="120"/>
      <c r="C319" s="120"/>
      <c r="D319" s="120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</row>
    <row r="320" ht="15.75" customHeight="1">
      <c r="A320" s="120"/>
      <c r="B320" s="120"/>
      <c r="C320" s="120"/>
      <c r="D320" s="120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</row>
    <row r="321" ht="15.75" customHeight="1">
      <c r="A321" s="120"/>
      <c r="B321" s="120"/>
      <c r="C321" s="120"/>
      <c r="D321" s="120"/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</row>
    <row r="322" ht="15.75" customHeight="1">
      <c r="A322" s="120"/>
      <c r="B322" s="120"/>
      <c r="C322" s="120"/>
      <c r="D322" s="120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</row>
    <row r="323" ht="15.75" customHeight="1">
      <c r="A323" s="120"/>
      <c r="B323" s="120"/>
      <c r="C323" s="120"/>
      <c r="D323" s="120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</row>
    <row r="324" ht="15.75" customHeight="1">
      <c r="A324" s="120"/>
      <c r="B324" s="120"/>
      <c r="C324" s="120"/>
      <c r="D324" s="120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</row>
    <row r="325" ht="15.75" customHeight="1">
      <c r="A325" s="120"/>
      <c r="B325" s="120"/>
      <c r="C325" s="120"/>
      <c r="D325" s="120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</row>
    <row r="326" ht="15.75" customHeight="1">
      <c r="A326" s="120"/>
      <c r="B326" s="120"/>
      <c r="C326" s="120"/>
      <c r="D326" s="120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</row>
    <row r="327" ht="15.75" customHeight="1">
      <c r="A327" s="120"/>
      <c r="B327" s="120"/>
      <c r="C327" s="120"/>
      <c r="D327" s="120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</row>
    <row r="328" ht="15.75" customHeight="1">
      <c r="A328" s="120"/>
      <c r="B328" s="120"/>
      <c r="C328" s="120"/>
      <c r="D328" s="120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</row>
    <row r="329" ht="15.75" customHeight="1">
      <c r="A329" s="120"/>
      <c r="B329" s="120"/>
      <c r="C329" s="120"/>
      <c r="D329" s="120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</row>
    <row r="330" ht="15.75" customHeight="1">
      <c r="A330" s="120"/>
      <c r="B330" s="120"/>
      <c r="C330" s="120"/>
      <c r="D330" s="120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</row>
    <row r="331" ht="15.75" customHeight="1">
      <c r="A331" s="120"/>
      <c r="B331" s="120"/>
      <c r="C331" s="120"/>
      <c r="D331" s="120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</row>
    <row r="332" ht="15.75" customHeight="1">
      <c r="A332" s="120"/>
      <c r="B332" s="120"/>
      <c r="C332" s="120"/>
      <c r="D332" s="120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</row>
    <row r="333" ht="15.75" customHeight="1">
      <c r="A333" s="120"/>
      <c r="B333" s="120"/>
      <c r="C333" s="120"/>
      <c r="D333" s="120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</row>
    <row r="334" ht="15.75" customHeight="1">
      <c r="A334" s="120"/>
      <c r="B334" s="120"/>
      <c r="C334" s="120"/>
      <c r="D334" s="120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</row>
    <row r="335" ht="15.75" customHeight="1">
      <c r="A335" s="120"/>
      <c r="B335" s="120"/>
      <c r="C335" s="120"/>
      <c r="D335" s="120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</row>
    <row r="336" ht="15.75" customHeight="1">
      <c r="A336" s="120"/>
      <c r="B336" s="120"/>
      <c r="C336" s="120"/>
      <c r="D336" s="120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</row>
    <row r="337" ht="15.75" customHeight="1">
      <c r="A337" s="120"/>
      <c r="B337" s="120"/>
      <c r="C337" s="120"/>
      <c r="D337" s="120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</row>
    <row r="338" ht="15.75" customHeight="1">
      <c r="A338" s="120"/>
      <c r="B338" s="120"/>
      <c r="C338" s="120"/>
      <c r="D338" s="120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</row>
    <row r="339" ht="15.75" customHeight="1">
      <c r="A339" s="120"/>
      <c r="B339" s="120"/>
      <c r="C339" s="120"/>
      <c r="D339" s="120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</row>
    <row r="340" ht="15.75" customHeight="1">
      <c r="A340" s="120"/>
      <c r="B340" s="120"/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</row>
    <row r="341" ht="15.75" customHeight="1">
      <c r="A341" s="120"/>
      <c r="B341" s="120"/>
      <c r="C341" s="120"/>
      <c r="D341" s="120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</row>
    <row r="342" ht="15.75" customHeight="1">
      <c r="A342" s="120"/>
      <c r="B342" s="120"/>
      <c r="C342" s="120"/>
      <c r="D342" s="120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</row>
    <row r="343" ht="15.75" customHeight="1">
      <c r="A343" s="120"/>
      <c r="B343" s="120"/>
      <c r="C343" s="120"/>
      <c r="D343" s="120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</row>
    <row r="344" ht="15.75" customHeight="1">
      <c r="A344" s="120"/>
      <c r="B344" s="120"/>
      <c r="C344" s="120"/>
      <c r="D344" s="120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</row>
    <row r="345" ht="15.75" customHeight="1">
      <c r="A345" s="120"/>
      <c r="B345" s="120"/>
      <c r="C345" s="120"/>
      <c r="D345" s="120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</row>
    <row r="346" ht="15.75" customHeight="1">
      <c r="A346" s="120"/>
      <c r="B346" s="120"/>
      <c r="C346" s="120"/>
      <c r="D346" s="120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</row>
    <row r="347" ht="15.75" customHeight="1">
      <c r="A347" s="120"/>
      <c r="B347" s="120"/>
      <c r="C347" s="120"/>
      <c r="D347" s="120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</row>
    <row r="348" ht="15.75" customHeight="1">
      <c r="A348" s="120"/>
      <c r="B348" s="120"/>
      <c r="C348" s="120"/>
      <c r="D348" s="120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</row>
    <row r="349" ht="15.75" customHeight="1">
      <c r="A349" s="120"/>
      <c r="B349" s="120"/>
      <c r="C349" s="120"/>
      <c r="D349" s="120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</row>
    <row r="350" ht="15.75" customHeight="1">
      <c r="A350" s="120"/>
      <c r="B350" s="120"/>
      <c r="C350" s="120"/>
      <c r="D350" s="120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</row>
    <row r="351" ht="15.75" customHeight="1">
      <c r="A351" s="120"/>
      <c r="B351" s="120"/>
      <c r="C351" s="120"/>
      <c r="D351" s="120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</row>
    <row r="352" ht="15.75" customHeight="1">
      <c r="A352" s="120"/>
      <c r="B352" s="120"/>
      <c r="C352" s="120"/>
      <c r="D352" s="120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</row>
    <row r="353" ht="15.75" customHeight="1">
      <c r="A353" s="120"/>
      <c r="B353" s="120"/>
      <c r="C353" s="120"/>
      <c r="D353" s="120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</row>
    <row r="354" ht="15.75" customHeight="1">
      <c r="A354" s="120"/>
      <c r="B354" s="120"/>
      <c r="C354" s="120"/>
      <c r="D354" s="120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</row>
    <row r="355" ht="15.75" customHeight="1">
      <c r="A355" s="120"/>
      <c r="B355" s="120"/>
      <c r="C355" s="120"/>
      <c r="D355" s="120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</row>
    <row r="356" ht="15.75" customHeight="1">
      <c r="A356" s="120"/>
      <c r="B356" s="120"/>
      <c r="C356" s="120"/>
      <c r="D356" s="120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</row>
    <row r="357" ht="15.75" customHeight="1">
      <c r="A357" s="120"/>
      <c r="B357" s="120"/>
      <c r="C357" s="120"/>
      <c r="D357" s="120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</row>
    <row r="358" ht="15.75" customHeight="1">
      <c r="A358" s="120"/>
      <c r="B358" s="120"/>
      <c r="C358" s="120"/>
      <c r="D358" s="120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</row>
    <row r="359" ht="15.75" customHeight="1">
      <c r="A359" s="120"/>
      <c r="B359" s="120"/>
      <c r="C359" s="120"/>
      <c r="D359" s="120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</row>
    <row r="360" ht="15.75" customHeight="1">
      <c r="A360" s="120"/>
      <c r="B360" s="120"/>
      <c r="C360" s="120"/>
      <c r="D360" s="120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</row>
    <row r="361" ht="15.75" customHeight="1">
      <c r="A361" s="120"/>
      <c r="B361" s="120"/>
      <c r="C361" s="120"/>
      <c r="D361" s="120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</row>
    <row r="362" ht="15.75" customHeight="1">
      <c r="A362" s="120"/>
      <c r="B362" s="120"/>
      <c r="C362" s="120"/>
      <c r="D362" s="120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</row>
    <row r="363" ht="15.75" customHeight="1">
      <c r="A363" s="120"/>
      <c r="B363" s="120"/>
      <c r="C363" s="120"/>
      <c r="D363" s="120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</row>
    <row r="364" ht="15.75" customHeight="1">
      <c r="A364" s="120"/>
      <c r="B364" s="120"/>
      <c r="C364" s="120"/>
      <c r="D364" s="120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</row>
    <row r="365" ht="15.75" customHeight="1">
      <c r="A365" s="120"/>
      <c r="B365" s="120"/>
      <c r="C365" s="120"/>
      <c r="D365" s="120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</row>
    <row r="366" ht="15.75" customHeight="1">
      <c r="A366" s="120"/>
      <c r="B366" s="120"/>
      <c r="C366" s="120"/>
      <c r="D366" s="120"/>
      <c r="E366" s="120"/>
      <c r="F366" s="120"/>
      <c r="G366" s="120"/>
      <c r="H366" s="120"/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  <c r="X366" s="120"/>
      <c r="Y366" s="120"/>
      <c r="Z366" s="120"/>
    </row>
    <row r="367" ht="15.75" customHeight="1">
      <c r="A367" s="120"/>
      <c r="B367" s="120"/>
      <c r="C367" s="120"/>
      <c r="D367" s="120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</row>
    <row r="368" ht="15.75" customHeight="1">
      <c r="A368" s="120"/>
      <c r="B368" s="120"/>
      <c r="C368" s="120"/>
      <c r="D368" s="120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</row>
    <row r="369" ht="15.75" customHeight="1">
      <c r="A369" s="120"/>
      <c r="B369" s="120"/>
      <c r="C369" s="120"/>
      <c r="D369" s="120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</row>
    <row r="370" ht="15.75" customHeight="1">
      <c r="A370" s="120"/>
      <c r="B370" s="120"/>
      <c r="C370" s="120"/>
      <c r="D370" s="120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</row>
    <row r="371" ht="15.75" customHeight="1">
      <c r="A371" s="120"/>
      <c r="B371" s="120"/>
      <c r="C371" s="120"/>
      <c r="D371" s="120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</row>
    <row r="372" ht="15.75" customHeight="1">
      <c r="A372" s="120"/>
      <c r="B372" s="120"/>
      <c r="C372" s="120"/>
      <c r="D372" s="120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</row>
    <row r="373" ht="15.75" customHeight="1">
      <c r="A373" s="120"/>
      <c r="B373" s="120"/>
      <c r="C373" s="120"/>
      <c r="D373" s="120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</row>
    <row r="374" ht="15.75" customHeight="1">
      <c r="A374" s="120"/>
      <c r="B374" s="120"/>
      <c r="C374" s="120"/>
      <c r="D374" s="120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</row>
    <row r="375" ht="15.75" customHeight="1">
      <c r="A375" s="120"/>
      <c r="B375" s="120"/>
      <c r="C375" s="120"/>
      <c r="D375" s="120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</row>
    <row r="376" ht="15.75" customHeight="1">
      <c r="A376" s="120"/>
      <c r="B376" s="120"/>
      <c r="C376" s="120"/>
      <c r="D376" s="120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</row>
    <row r="377" ht="15.75" customHeight="1">
      <c r="A377" s="120"/>
      <c r="B377" s="120"/>
      <c r="C377" s="120"/>
      <c r="D377" s="120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</row>
    <row r="378" ht="15.75" customHeight="1">
      <c r="A378" s="120"/>
      <c r="B378" s="120"/>
      <c r="C378" s="120"/>
      <c r="D378" s="120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</row>
    <row r="379" ht="15.75" customHeight="1">
      <c r="A379" s="120"/>
      <c r="B379" s="120"/>
      <c r="C379" s="120"/>
      <c r="D379" s="120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</row>
    <row r="380" ht="15.75" customHeight="1">
      <c r="A380" s="120"/>
      <c r="B380" s="120"/>
      <c r="C380" s="120"/>
      <c r="D380" s="120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</row>
    <row r="381" ht="15.75" customHeight="1">
      <c r="A381" s="120"/>
      <c r="B381" s="120"/>
      <c r="C381" s="120"/>
      <c r="D381" s="120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</row>
    <row r="382" ht="15.75" customHeight="1">
      <c r="A382" s="120"/>
      <c r="B382" s="120"/>
      <c r="C382" s="120"/>
      <c r="D382" s="120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</row>
    <row r="383" ht="15.75" customHeight="1">
      <c r="A383" s="120"/>
      <c r="B383" s="120"/>
      <c r="C383" s="120"/>
      <c r="D383" s="120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</row>
    <row r="384" ht="15.75" customHeight="1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</row>
    <row r="385" ht="15.75" customHeight="1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</row>
    <row r="386" ht="15.75" customHeight="1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</row>
    <row r="387" ht="15.75" customHeight="1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</row>
    <row r="388" ht="15.75" customHeight="1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</row>
    <row r="389" ht="15.75" customHeight="1">
      <c r="A389" s="120"/>
      <c r="B389" s="120"/>
      <c r="C389" s="120"/>
      <c r="D389" s="120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</row>
    <row r="390" ht="15.75" customHeight="1">
      <c r="A390" s="120"/>
      <c r="B390" s="120"/>
      <c r="C390" s="120"/>
      <c r="D390" s="120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</row>
    <row r="391" ht="15.75" customHeight="1">
      <c r="A391" s="120"/>
      <c r="B391" s="120"/>
      <c r="C391" s="120"/>
      <c r="D391" s="120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</row>
    <row r="392" ht="15.75" customHeight="1">
      <c r="A392" s="120"/>
      <c r="B392" s="120"/>
      <c r="C392" s="120"/>
      <c r="D392" s="120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</row>
    <row r="393" ht="15.75" customHeight="1">
      <c r="A393" s="120"/>
      <c r="B393" s="120"/>
      <c r="C393" s="120"/>
      <c r="D393" s="120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</row>
    <row r="394" ht="15.75" customHeight="1">
      <c r="A394" s="120"/>
      <c r="B394" s="120"/>
      <c r="C394" s="120"/>
      <c r="D394" s="120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</row>
    <row r="395" ht="15.75" customHeight="1">
      <c r="A395" s="120"/>
      <c r="B395" s="120"/>
      <c r="C395" s="120"/>
      <c r="D395" s="120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</row>
    <row r="396" ht="15.75" customHeight="1">
      <c r="A396" s="120"/>
      <c r="B396" s="120"/>
      <c r="C396" s="120"/>
      <c r="D396" s="120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</row>
    <row r="397" ht="15.75" customHeight="1">
      <c r="A397" s="120"/>
      <c r="B397" s="120"/>
      <c r="C397" s="120"/>
      <c r="D397" s="120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</row>
    <row r="398" ht="15.75" customHeight="1">
      <c r="A398" s="120"/>
      <c r="B398" s="120"/>
      <c r="C398" s="120"/>
      <c r="D398" s="120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</row>
    <row r="399" ht="15.75" customHeight="1">
      <c r="A399" s="120"/>
      <c r="B399" s="120"/>
      <c r="C399" s="120"/>
      <c r="D399" s="120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</row>
    <row r="400" ht="15.75" customHeight="1">
      <c r="A400" s="120"/>
      <c r="B400" s="120"/>
      <c r="C400" s="120"/>
      <c r="D400" s="120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</row>
    <row r="401" ht="15.75" customHeight="1">
      <c r="A401" s="120"/>
      <c r="B401" s="120"/>
      <c r="C401" s="120"/>
      <c r="D401" s="120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</row>
    <row r="402" ht="15.75" customHeight="1">
      <c r="A402" s="120"/>
      <c r="B402" s="120"/>
      <c r="C402" s="120"/>
      <c r="D402" s="120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</row>
    <row r="403" ht="15.75" customHeight="1">
      <c r="A403" s="120"/>
      <c r="B403" s="120"/>
      <c r="C403" s="120"/>
      <c r="D403" s="120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</row>
    <row r="404" ht="15.75" customHeight="1">
      <c r="A404" s="120"/>
      <c r="B404" s="120"/>
      <c r="C404" s="120"/>
      <c r="D404" s="120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</row>
    <row r="405" ht="15.75" customHeight="1">
      <c r="A405" s="120"/>
      <c r="B405" s="120"/>
      <c r="C405" s="120"/>
      <c r="D405" s="120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</row>
    <row r="406" ht="15.75" customHeight="1">
      <c r="A406" s="120"/>
      <c r="B406" s="120"/>
      <c r="C406" s="120"/>
      <c r="D406" s="120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</row>
    <row r="407" ht="15.75" customHeight="1">
      <c r="A407" s="120"/>
      <c r="B407" s="120"/>
      <c r="C407" s="120"/>
      <c r="D407" s="120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</row>
    <row r="408" ht="15.75" customHeight="1">
      <c r="A408" s="120"/>
      <c r="B408" s="120"/>
      <c r="C408" s="120"/>
      <c r="D408" s="120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  <c r="X408" s="120"/>
      <c r="Y408" s="120"/>
      <c r="Z408" s="120"/>
    </row>
    <row r="409" ht="15.75" customHeight="1">
      <c r="A409" s="120"/>
      <c r="B409" s="120"/>
      <c r="C409" s="120"/>
      <c r="D409" s="120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</row>
    <row r="410" ht="15.75" customHeight="1">
      <c r="A410" s="120"/>
      <c r="B410" s="120"/>
      <c r="C410" s="120"/>
      <c r="D410" s="120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</row>
    <row r="411" ht="15.75" customHeight="1">
      <c r="A411" s="120"/>
      <c r="B411" s="120"/>
      <c r="C411" s="120"/>
      <c r="D411" s="120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</row>
    <row r="412" ht="15.75" customHeight="1">
      <c r="A412" s="120"/>
      <c r="B412" s="120"/>
      <c r="C412" s="120"/>
      <c r="D412" s="120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</row>
    <row r="413" ht="15.75" customHeight="1">
      <c r="A413" s="120"/>
      <c r="B413" s="120"/>
      <c r="C413" s="120"/>
      <c r="D413" s="120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</row>
    <row r="414" ht="15.75" customHeight="1">
      <c r="A414" s="120"/>
      <c r="B414" s="120"/>
      <c r="C414" s="120"/>
      <c r="D414" s="120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</row>
    <row r="415" ht="15.75" customHeight="1">
      <c r="A415" s="120"/>
      <c r="B415" s="120"/>
      <c r="C415" s="120"/>
      <c r="D415" s="120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</row>
    <row r="416" ht="15.75" customHeight="1">
      <c r="A416" s="120"/>
      <c r="B416" s="120"/>
      <c r="C416" s="120"/>
      <c r="D416" s="120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</row>
    <row r="417" ht="15.75" customHeight="1">
      <c r="A417" s="120"/>
      <c r="B417" s="120"/>
      <c r="C417" s="120"/>
      <c r="D417" s="120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</row>
    <row r="418" ht="15.75" customHeight="1">
      <c r="A418" s="120"/>
      <c r="B418" s="120"/>
      <c r="C418" s="120"/>
      <c r="D418" s="120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</row>
    <row r="419" ht="15.75" customHeight="1">
      <c r="A419" s="120"/>
      <c r="B419" s="120"/>
      <c r="C419" s="120"/>
      <c r="D419" s="120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</row>
    <row r="420" ht="15.75" customHeight="1">
      <c r="A420" s="120"/>
      <c r="B420" s="120"/>
      <c r="C420" s="120"/>
      <c r="D420" s="120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</row>
    <row r="421" ht="15.75" customHeight="1">
      <c r="A421" s="120"/>
      <c r="B421" s="120"/>
      <c r="C421" s="120"/>
      <c r="D421" s="120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</row>
    <row r="422" ht="15.75" customHeight="1">
      <c r="A422" s="120"/>
      <c r="B422" s="120"/>
      <c r="C422" s="120"/>
      <c r="D422" s="120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</row>
    <row r="423" ht="15.75" customHeight="1">
      <c r="A423" s="120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</row>
    <row r="424" ht="15.75" customHeight="1">
      <c r="A424" s="120"/>
      <c r="B424" s="120"/>
      <c r="C424" s="120"/>
      <c r="D424" s="120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</row>
    <row r="425" ht="15.75" customHeight="1">
      <c r="A425" s="120"/>
      <c r="B425" s="120"/>
      <c r="C425" s="120"/>
      <c r="D425" s="120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</row>
    <row r="426" ht="15.75" customHeight="1">
      <c r="A426" s="120"/>
      <c r="B426" s="120"/>
      <c r="C426" s="120"/>
      <c r="D426" s="120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</row>
    <row r="427" ht="15.75" customHeight="1">
      <c r="A427" s="120"/>
      <c r="B427" s="120"/>
      <c r="C427" s="120"/>
      <c r="D427" s="120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</row>
    <row r="428" ht="15.75" customHeight="1">
      <c r="A428" s="120"/>
      <c r="B428" s="120"/>
      <c r="C428" s="120"/>
      <c r="D428" s="120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</row>
    <row r="429" ht="15.75" customHeight="1">
      <c r="A429" s="120"/>
      <c r="B429" s="120"/>
      <c r="C429" s="120"/>
      <c r="D429" s="120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</row>
    <row r="430" ht="15.75" customHeight="1">
      <c r="A430" s="120"/>
      <c r="B430" s="120"/>
      <c r="C430" s="120"/>
      <c r="D430" s="120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</row>
    <row r="431" ht="15.75" customHeight="1">
      <c r="A431" s="120"/>
      <c r="B431" s="120"/>
      <c r="C431" s="120"/>
      <c r="D431" s="120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</row>
    <row r="432" ht="15.75" customHeight="1">
      <c r="A432" s="120"/>
      <c r="B432" s="120"/>
      <c r="C432" s="120"/>
      <c r="D432" s="120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</row>
    <row r="433" ht="15.75" customHeight="1">
      <c r="A433" s="120"/>
      <c r="B433" s="120"/>
      <c r="C433" s="120"/>
      <c r="D433" s="120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</row>
    <row r="434" ht="15.75" customHeight="1">
      <c r="A434" s="120"/>
      <c r="B434" s="120"/>
      <c r="C434" s="120"/>
      <c r="D434" s="120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</row>
    <row r="435" ht="15.75" customHeight="1">
      <c r="A435" s="120"/>
      <c r="B435" s="120"/>
      <c r="C435" s="120"/>
      <c r="D435" s="120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</row>
    <row r="436" ht="15.75" customHeight="1">
      <c r="A436" s="120"/>
      <c r="B436" s="120"/>
      <c r="C436" s="120"/>
      <c r="D436" s="120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</row>
    <row r="437" ht="15.75" customHeight="1">
      <c r="A437" s="120"/>
      <c r="B437" s="120"/>
      <c r="C437" s="120"/>
      <c r="D437" s="120"/>
      <c r="E437" s="120"/>
      <c r="F437" s="120"/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  <c r="X437" s="120"/>
      <c r="Y437" s="120"/>
      <c r="Z437" s="120"/>
    </row>
    <row r="438" ht="15.75" customHeight="1">
      <c r="A438" s="120"/>
      <c r="B438" s="120"/>
      <c r="C438" s="120"/>
      <c r="D438" s="120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</row>
    <row r="439" ht="15.75" customHeight="1">
      <c r="A439" s="120"/>
      <c r="B439" s="120"/>
      <c r="C439" s="120"/>
      <c r="D439" s="120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</row>
    <row r="440" ht="15.75" customHeight="1">
      <c r="A440" s="120"/>
      <c r="B440" s="120"/>
      <c r="C440" s="120"/>
      <c r="D440" s="120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</row>
    <row r="441" ht="15.75" customHeight="1">
      <c r="A441" s="120"/>
      <c r="B441" s="120"/>
      <c r="C441" s="120"/>
      <c r="D441" s="120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</row>
    <row r="442" ht="15.75" customHeight="1">
      <c r="A442" s="120"/>
      <c r="B442" s="120"/>
      <c r="C442" s="120"/>
      <c r="D442" s="120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</row>
    <row r="443" ht="15.75" customHeight="1">
      <c r="A443" s="120"/>
      <c r="B443" s="120"/>
      <c r="C443" s="120"/>
      <c r="D443" s="120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</row>
    <row r="444" ht="15.75" customHeight="1">
      <c r="A444" s="120"/>
      <c r="B444" s="120"/>
      <c r="C444" s="120"/>
      <c r="D444" s="120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</row>
    <row r="445" ht="15.75" customHeight="1">
      <c r="A445" s="120"/>
      <c r="B445" s="120"/>
      <c r="C445" s="120"/>
      <c r="D445" s="120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</row>
    <row r="446" ht="15.75" customHeight="1">
      <c r="A446" s="120"/>
      <c r="B446" s="120"/>
      <c r="C446" s="120"/>
      <c r="D446" s="120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</row>
    <row r="447" ht="15.75" customHeight="1">
      <c r="A447" s="120"/>
      <c r="B447" s="120"/>
      <c r="C447" s="120"/>
      <c r="D447" s="120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</row>
    <row r="448" ht="15.75" customHeight="1">
      <c r="A448" s="120"/>
      <c r="B448" s="120"/>
      <c r="C448" s="120"/>
      <c r="D448" s="120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</row>
    <row r="449" ht="15.75" customHeight="1">
      <c r="A449" s="120"/>
      <c r="B449" s="120"/>
      <c r="C449" s="120"/>
      <c r="D449" s="120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</row>
    <row r="450" ht="15.75" customHeight="1">
      <c r="A450" s="120"/>
      <c r="B450" s="120"/>
      <c r="C450" s="120"/>
      <c r="D450" s="120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</row>
    <row r="451" ht="15.75" customHeight="1">
      <c r="A451" s="120"/>
      <c r="B451" s="120"/>
      <c r="C451" s="120"/>
      <c r="D451" s="120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</row>
    <row r="452" ht="15.75" customHeight="1">
      <c r="A452" s="120"/>
      <c r="B452" s="120"/>
      <c r="C452" s="120"/>
      <c r="D452" s="120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</row>
    <row r="453" ht="15.75" customHeight="1">
      <c r="A453" s="120"/>
      <c r="B453" s="120"/>
      <c r="C453" s="120"/>
      <c r="D453" s="120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</row>
    <row r="454" ht="15.75" customHeight="1">
      <c r="A454" s="120"/>
      <c r="B454" s="120"/>
      <c r="C454" s="120"/>
      <c r="D454" s="120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</row>
    <row r="455" ht="15.75" customHeight="1">
      <c r="A455" s="120"/>
      <c r="B455" s="120"/>
      <c r="C455" s="120"/>
      <c r="D455" s="120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</row>
    <row r="456" ht="15.75" customHeight="1">
      <c r="A456" s="120"/>
      <c r="B456" s="120"/>
      <c r="C456" s="120"/>
      <c r="D456" s="120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</row>
    <row r="457" ht="15.75" customHeight="1">
      <c r="A457" s="120"/>
      <c r="B457" s="120"/>
      <c r="C457" s="120"/>
      <c r="D457" s="120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</row>
    <row r="458" ht="15.75" customHeight="1">
      <c r="A458" s="120"/>
      <c r="B458" s="120"/>
      <c r="C458" s="120"/>
      <c r="D458" s="120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</row>
    <row r="459" ht="15.75" customHeight="1">
      <c r="A459" s="120"/>
      <c r="B459" s="120"/>
      <c r="C459" s="120"/>
      <c r="D459" s="120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</row>
    <row r="460" ht="15.75" customHeight="1">
      <c r="A460" s="120"/>
      <c r="B460" s="120"/>
      <c r="C460" s="120"/>
      <c r="D460" s="120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</row>
    <row r="461" ht="15.75" customHeight="1">
      <c r="A461" s="120"/>
      <c r="B461" s="120"/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</row>
    <row r="462" ht="15.75" customHeight="1">
      <c r="A462" s="120"/>
      <c r="B462" s="120"/>
      <c r="C462" s="120"/>
      <c r="D462" s="120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</row>
    <row r="463" ht="15.75" customHeight="1">
      <c r="A463" s="120"/>
      <c r="B463" s="120"/>
      <c r="C463" s="120"/>
      <c r="D463" s="120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</row>
    <row r="464" ht="15.75" customHeight="1">
      <c r="A464" s="120"/>
      <c r="B464" s="120"/>
      <c r="C464" s="120"/>
      <c r="D464" s="120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</row>
    <row r="465" ht="15.75" customHeight="1">
      <c r="A465" s="120"/>
      <c r="B465" s="120"/>
      <c r="C465" s="120"/>
      <c r="D465" s="120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</row>
    <row r="466" ht="15.75" customHeight="1">
      <c r="A466" s="120"/>
      <c r="B466" s="120"/>
      <c r="C466" s="120"/>
      <c r="D466" s="120"/>
      <c r="E466" s="120"/>
      <c r="F466" s="120"/>
      <c r="G466" s="120"/>
      <c r="H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  <c r="X466" s="120"/>
      <c r="Y466" s="120"/>
      <c r="Z466" s="120"/>
    </row>
    <row r="467" ht="15.75" customHeight="1">
      <c r="A467" s="120"/>
      <c r="B467" s="120"/>
      <c r="C467" s="120"/>
      <c r="D467" s="120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</row>
    <row r="468" ht="15.75" customHeight="1">
      <c r="A468" s="120"/>
      <c r="B468" s="120"/>
      <c r="C468" s="120"/>
      <c r="D468" s="120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</row>
    <row r="469" ht="15.75" customHeight="1">
      <c r="A469" s="120"/>
      <c r="B469" s="120"/>
      <c r="C469" s="120"/>
      <c r="D469" s="120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</row>
    <row r="470" ht="15.75" customHeight="1">
      <c r="A470" s="120"/>
      <c r="B470" s="120"/>
      <c r="C470" s="120"/>
      <c r="D470" s="120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</row>
    <row r="471" ht="15.75" customHeight="1">
      <c r="A471" s="120"/>
      <c r="B471" s="120"/>
      <c r="C471" s="120"/>
      <c r="D471" s="120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</row>
    <row r="472" ht="15.75" customHeight="1">
      <c r="A472" s="120"/>
      <c r="B472" s="120"/>
      <c r="C472" s="120"/>
      <c r="D472" s="120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</row>
    <row r="473" ht="15.75" customHeight="1">
      <c r="A473" s="120"/>
      <c r="B473" s="120"/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</row>
    <row r="474" ht="15.75" customHeight="1">
      <c r="A474" s="120"/>
      <c r="B474" s="120"/>
      <c r="C474" s="120"/>
      <c r="D474" s="120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</row>
    <row r="475" ht="15.75" customHeight="1">
      <c r="A475" s="120"/>
      <c r="B475" s="120"/>
      <c r="C475" s="120"/>
      <c r="D475" s="120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</row>
    <row r="476" ht="15.75" customHeight="1">
      <c r="A476" s="120"/>
      <c r="B476" s="120"/>
      <c r="C476" s="120"/>
      <c r="D476" s="120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</row>
    <row r="477" ht="15.75" customHeight="1">
      <c r="A477" s="120"/>
      <c r="B477" s="120"/>
      <c r="C477" s="120"/>
      <c r="D477" s="120"/>
      <c r="E477" s="120"/>
      <c r="F477" s="120"/>
      <c r="G477" s="120"/>
      <c r="H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  <c r="X477" s="120"/>
      <c r="Y477" s="120"/>
      <c r="Z477" s="120"/>
    </row>
    <row r="478" ht="15.75" customHeight="1">
      <c r="A478" s="120"/>
      <c r="B478" s="120"/>
      <c r="C478" s="120"/>
      <c r="D478" s="120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</row>
    <row r="479" ht="15.75" customHeight="1">
      <c r="A479" s="120"/>
      <c r="B479" s="120"/>
      <c r="C479" s="120"/>
      <c r="D479" s="120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</row>
    <row r="480" ht="15.75" customHeight="1">
      <c r="A480" s="120"/>
      <c r="B480" s="120"/>
      <c r="C480" s="120"/>
      <c r="D480" s="120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</row>
    <row r="481" ht="15.75" customHeight="1">
      <c r="A481" s="120"/>
      <c r="B481" s="120"/>
      <c r="C481" s="120"/>
      <c r="D481" s="120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</row>
    <row r="482" ht="15.75" customHeight="1">
      <c r="A482" s="120"/>
      <c r="B482" s="120"/>
      <c r="C482" s="120"/>
      <c r="D482" s="120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</row>
    <row r="483" ht="15.75" customHeight="1">
      <c r="A483" s="120"/>
      <c r="B483" s="120"/>
      <c r="C483" s="120"/>
      <c r="D483" s="120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</row>
    <row r="484" ht="15.75" customHeight="1">
      <c r="A484" s="120"/>
      <c r="B484" s="120"/>
      <c r="C484" s="120"/>
      <c r="D484" s="120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</row>
    <row r="485" ht="15.75" customHeight="1">
      <c r="A485" s="120"/>
      <c r="B485" s="120"/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</row>
    <row r="486" ht="15.75" customHeight="1">
      <c r="A486" s="120"/>
      <c r="B486" s="120"/>
      <c r="C486" s="120"/>
      <c r="D486" s="120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</row>
    <row r="487" ht="15.75" customHeight="1">
      <c r="A487" s="120"/>
      <c r="B487" s="120"/>
      <c r="C487" s="120"/>
      <c r="D487" s="120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</row>
    <row r="488" ht="15.75" customHeight="1">
      <c r="A488" s="120"/>
      <c r="B488" s="120"/>
      <c r="C488" s="120"/>
      <c r="D488" s="120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</row>
    <row r="489" ht="15.75" customHeight="1">
      <c r="A489" s="120"/>
      <c r="B489" s="120"/>
      <c r="C489" s="120"/>
      <c r="D489" s="120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</row>
    <row r="490" ht="15.75" customHeight="1">
      <c r="A490" s="120"/>
      <c r="B490" s="120"/>
      <c r="C490" s="120"/>
      <c r="D490" s="120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</row>
    <row r="491" ht="15.75" customHeight="1">
      <c r="A491" s="120"/>
      <c r="B491" s="120"/>
      <c r="C491" s="120"/>
      <c r="D491" s="120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</row>
    <row r="492" ht="15.75" customHeight="1">
      <c r="A492" s="120"/>
      <c r="B492" s="120"/>
      <c r="C492" s="120"/>
      <c r="D492" s="120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</row>
    <row r="493" ht="15.75" customHeight="1">
      <c r="A493" s="120"/>
      <c r="B493" s="120"/>
      <c r="C493" s="120"/>
      <c r="D493" s="120"/>
      <c r="E493" s="120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</row>
    <row r="494" ht="15.75" customHeight="1">
      <c r="A494" s="120"/>
      <c r="B494" s="120"/>
      <c r="C494" s="120"/>
      <c r="D494" s="120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</row>
    <row r="495" ht="15.75" customHeight="1">
      <c r="A495" s="120"/>
      <c r="B495" s="120"/>
      <c r="C495" s="120"/>
      <c r="D495" s="120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</row>
    <row r="496" ht="15.75" customHeight="1">
      <c r="A496" s="120"/>
      <c r="B496" s="120"/>
      <c r="C496" s="120"/>
      <c r="D496" s="120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</row>
    <row r="497" ht="15.75" customHeight="1">
      <c r="A497" s="120"/>
      <c r="B497" s="120"/>
      <c r="C497" s="120"/>
      <c r="D497" s="120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</row>
    <row r="498" ht="15.75" customHeight="1">
      <c r="A498" s="120"/>
      <c r="B498" s="120"/>
      <c r="C498" s="120"/>
      <c r="D498" s="120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</row>
    <row r="499" ht="15.75" customHeight="1">
      <c r="A499" s="120"/>
      <c r="B499" s="120"/>
      <c r="C499" s="120"/>
      <c r="D499" s="120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</row>
    <row r="500" ht="15.75" customHeight="1">
      <c r="A500" s="120"/>
      <c r="B500" s="120"/>
      <c r="C500" s="120"/>
      <c r="D500" s="120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</row>
    <row r="501" ht="15.75" customHeight="1">
      <c r="A501" s="120"/>
      <c r="B501" s="120"/>
      <c r="C501" s="120"/>
      <c r="D501" s="120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</row>
    <row r="502" ht="15.75" customHeight="1">
      <c r="A502" s="120"/>
      <c r="B502" s="120"/>
      <c r="C502" s="120"/>
      <c r="D502" s="120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</row>
    <row r="503" ht="15.75" customHeight="1">
      <c r="A503" s="120"/>
      <c r="B503" s="120"/>
      <c r="C503" s="120"/>
      <c r="D503" s="120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</row>
    <row r="504" ht="15.75" customHeight="1">
      <c r="A504" s="120"/>
      <c r="B504" s="120"/>
      <c r="C504" s="120"/>
      <c r="D504" s="120"/>
      <c r="E504" s="120"/>
      <c r="F504" s="120"/>
      <c r="G504" s="120"/>
      <c r="H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</row>
    <row r="505" ht="15.75" customHeight="1">
      <c r="A505" s="120"/>
      <c r="B505" s="120"/>
      <c r="C505" s="120"/>
      <c r="D505" s="120"/>
      <c r="E505" s="120"/>
      <c r="F505" s="120"/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</row>
    <row r="506" ht="15.75" customHeight="1">
      <c r="A506" s="120"/>
      <c r="B506" s="120"/>
      <c r="C506" s="120"/>
      <c r="D506" s="120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</row>
    <row r="507" ht="15.75" customHeight="1">
      <c r="A507" s="120"/>
      <c r="B507" s="120"/>
      <c r="C507" s="120"/>
      <c r="D507" s="120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</row>
    <row r="508" ht="15.75" customHeight="1">
      <c r="A508" s="120"/>
      <c r="B508" s="120"/>
      <c r="C508" s="120"/>
      <c r="D508" s="120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</row>
    <row r="509" ht="15.75" customHeight="1">
      <c r="A509" s="120"/>
      <c r="B509" s="120"/>
      <c r="C509" s="120"/>
      <c r="D509" s="120"/>
      <c r="E509" s="120"/>
      <c r="F509" s="120"/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</row>
    <row r="510" ht="15.75" customHeight="1">
      <c r="A510" s="120"/>
      <c r="B510" s="120"/>
      <c r="C510" s="120"/>
      <c r="D510" s="120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</row>
    <row r="511" ht="15.75" customHeight="1">
      <c r="A511" s="120"/>
      <c r="B511" s="120"/>
      <c r="C511" s="120"/>
      <c r="D511" s="120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</row>
    <row r="512" ht="15.75" customHeight="1">
      <c r="A512" s="120"/>
      <c r="B512" s="120"/>
      <c r="C512" s="120"/>
      <c r="D512" s="120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</row>
    <row r="513" ht="15.75" customHeight="1">
      <c r="A513" s="120"/>
      <c r="B513" s="120"/>
      <c r="C513" s="120"/>
      <c r="D513" s="120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</row>
    <row r="514" ht="15.75" customHeight="1">
      <c r="A514" s="120"/>
      <c r="B514" s="120"/>
      <c r="C514" s="120"/>
      <c r="D514" s="120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</row>
    <row r="515" ht="15.75" customHeight="1">
      <c r="A515" s="120"/>
      <c r="B515" s="120"/>
      <c r="C515" s="120"/>
      <c r="D515" s="120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</row>
    <row r="516" ht="15.75" customHeight="1">
      <c r="A516" s="120"/>
      <c r="B516" s="120"/>
      <c r="C516" s="120"/>
      <c r="D516" s="120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</row>
    <row r="517" ht="15.75" customHeight="1">
      <c r="A517" s="120"/>
      <c r="B517" s="120"/>
      <c r="C517" s="120"/>
      <c r="D517" s="120"/>
      <c r="E517" s="120"/>
      <c r="F517" s="120"/>
      <c r="G517" s="120"/>
      <c r="H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  <c r="X517" s="120"/>
      <c r="Y517" s="120"/>
      <c r="Z517" s="120"/>
    </row>
    <row r="518" ht="15.75" customHeight="1">
      <c r="A518" s="120"/>
      <c r="B518" s="120"/>
      <c r="C518" s="120"/>
      <c r="D518" s="120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</row>
    <row r="519" ht="15.75" customHeight="1">
      <c r="A519" s="120"/>
      <c r="B519" s="120"/>
      <c r="C519" s="120"/>
      <c r="D519" s="120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</row>
    <row r="520" ht="15.75" customHeight="1">
      <c r="A520" s="120"/>
      <c r="B520" s="120"/>
      <c r="C520" s="120"/>
      <c r="D520" s="120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</row>
    <row r="521" ht="15.75" customHeight="1">
      <c r="A521" s="120"/>
      <c r="B521" s="120"/>
      <c r="C521" s="120"/>
      <c r="D521" s="120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</row>
    <row r="522" ht="15.75" customHeight="1">
      <c r="A522" s="120"/>
      <c r="B522" s="120"/>
      <c r="C522" s="120"/>
      <c r="D522" s="120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</row>
    <row r="523" ht="15.75" customHeight="1">
      <c r="A523" s="120"/>
      <c r="B523" s="120"/>
      <c r="C523" s="120"/>
      <c r="D523" s="120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</row>
    <row r="524" ht="15.75" customHeight="1">
      <c r="A524" s="120"/>
      <c r="B524" s="120"/>
      <c r="C524" s="120"/>
      <c r="D524" s="120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</row>
    <row r="525" ht="15.75" customHeight="1">
      <c r="A525" s="120"/>
      <c r="B525" s="120"/>
      <c r="C525" s="120"/>
      <c r="D525" s="120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</row>
    <row r="526" ht="15.75" customHeight="1">
      <c r="A526" s="120"/>
      <c r="B526" s="120"/>
      <c r="C526" s="120"/>
      <c r="D526" s="120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</row>
    <row r="527" ht="15.75" customHeight="1">
      <c r="A527" s="120"/>
      <c r="B527" s="120"/>
      <c r="C527" s="120"/>
      <c r="D527" s="120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</row>
    <row r="528" ht="15.75" customHeight="1">
      <c r="A528" s="120"/>
      <c r="B528" s="120"/>
      <c r="C528" s="120"/>
      <c r="D528" s="120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</row>
    <row r="529" ht="15.75" customHeight="1">
      <c r="A529" s="120"/>
      <c r="B529" s="120"/>
      <c r="C529" s="120"/>
      <c r="D529" s="120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</row>
    <row r="530" ht="15.75" customHeight="1">
      <c r="A530" s="120"/>
      <c r="B530" s="120"/>
      <c r="C530" s="120"/>
      <c r="D530" s="120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</row>
    <row r="531" ht="15.75" customHeight="1">
      <c r="A531" s="120"/>
      <c r="B531" s="120"/>
      <c r="C531" s="120"/>
      <c r="D531" s="120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</row>
    <row r="532" ht="15.75" customHeight="1">
      <c r="A532" s="120"/>
      <c r="B532" s="120"/>
      <c r="C532" s="120"/>
      <c r="D532" s="120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</row>
    <row r="533" ht="15.75" customHeight="1">
      <c r="A533" s="120"/>
      <c r="B533" s="120"/>
      <c r="C533" s="120"/>
      <c r="D533" s="120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</row>
    <row r="534" ht="15.75" customHeight="1">
      <c r="A534" s="120"/>
      <c r="B534" s="120"/>
      <c r="C534" s="120"/>
      <c r="D534" s="120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</row>
    <row r="535" ht="15.75" customHeight="1">
      <c r="A535" s="120"/>
      <c r="B535" s="120"/>
      <c r="C535" s="120"/>
      <c r="D535" s="120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</row>
    <row r="536" ht="15.75" customHeight="1">
      <c r="A536" s="120"/>
      <c r="B536" s="120"/>
      <c r="C536" s="120"/>
      <c r="D536" s="120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</row>
    <row r="537" ht="15.75" customHeight="1">
      <c r="A537" s="120"/>
      <c r="B537" s="120"/>
      <c r="C537" s="120"/>
      <c r="D537" s="120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</row>
    <row r="538" ht="15.75" customHeight="1">
      <c r="A538" s="120"/>
      <c r="B538" s="120"/>
      <c r="C538" s="120"/>
      <c r="D538" s="120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</row>
    <row r="539" ht="15.75" customHeight="1">
      <c r="A539" s="120"/>
      <c r="B539" s="120"/>
      <c r="C539" s="120"/>
      <c r="D539" s="120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</row>
    <row r="540" ht="15.75" customHeight="1">
      <c r="A540" s="120"/>
      <c r="B540" s="120"/>
      <c r="C540" s="120"/>
      <c r="D540" s="120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</row>
    <row r="541" ht="15.75" customHeight="1">
      <c r="A541" s="120"/>
      <c r="B541" s="120"/>
      <c r="C541" s="120"/>
      <c r="D541" s="120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</row>
    <row r="542" ht="15.75" customHeight="1">
      <c r="A542" s="120"/>
      <c r="B542" s="120"/>
      <c r="C542" s="120"/>
      <c r="D542" s="120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</row>
    <row r="543" ht="15.75" customHeight="1">
      <c r="A543" s="120"/>
      <c r="B543" s="120"/>
      <c r="C543" s="120"/>
      <c r="D543" s="120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</row>
    <row r="544" ht="15.75" customHeight="1">
      <c r="A544" s="120"/>
      <c r="B544" s="120"/>
      <c r="C544" s="120"/>
      <c r="D544" s="120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</row>
    <row r="545" ht="15.75" customHeight="1">
      <c r="A545" s="120"/>
      <c r="B545" s="120"/>
      <c r="C545" s="120"/>
      <c r="D545" s="120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</row>
    <row r="546" ht="15.75" customHeight="1">
      <c r="A546" s="120"/>
      <c r="B546" s="120"/>
      <c r="C546" s="120"/>
      <c r="D546" s="120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</row>
    <row r="547" ht="15.75" customHeight="1">
      <c r="A547" s="120"/>
      <c r="B547" s="120"/>
      <c r="C547" s="120"/>
      <c r="D547" s="120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</row>
    <row r="548" ht="15.75" customHeight="1">
      <c r="A548" s="120"/>
      <c r="B548" s="120"/>
      <c r="C548" s="120"/>
      <c r="D548" s="120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</row>
    <row r="549" ht="15.75" customHeight="1">
      <c r="A549" s="120"/>
      <c r="B549" s="120"/>
      <c r="C549" s="120"/>
      <c r="D549" s="120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</row>
    <row r="550" ht="15.75" customHeight="1">
      <c r="A550" s="120"/>
      <c r="B550" s="120"/>
      <c r="C550" s="120"/>
      <c r="D550" s="120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</row>
    <row r="551" ht="15.75" customHeight="1">
      <c r="A551" s="120"/>
      <c r="B551" s="120"/>
      <c r="C551" s="120"/>
      <c r="D551" s="120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</row>
    <row r="552" ht="15.75" customHeight="1">
      <c r="A552" s="120"/>
      <c r="B552" s="120"/>
      <c r="C552" s="120"/>
      <c r="D552" s="120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</row>
    <row r="553" ht="15.75" customHeight="1">
      <c r="A553" s="120"/>
      <c r="B553" s="120"/>
      <c r="C553" s="120"/>
      <c r="D553" s="120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</row>
    <row r="554" ht="15.75" customHeight="1">
      <c r="A554" s="120"/>
      <c r="B554" s="120"/>
      <c r="C554" s="120"/>
      <c r="D554" s="120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</row>
    <row r="555" ht="15.75" customHeight="1">
      <c r="A555" s="120"/>
      <c r="B555" s="120"/>
      <c r="C555" s="120"/>
      <c r="D555" s="120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</row>
    <row r="556" ht="15.75" customHeight="1">
      <c r="A556" s="120"/>
      <c r="B556" s="120"/>
      <c r="C556" s="120"/>
      <c r="D556" s="120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</row>
    <row r="557" ht="15.75" customHeight="1">
      <c r="A557" s="120"/>
      <c r="B557" s="120"/>
      <c r="C557" s="120"/>
      <c r="D557" s="120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</row>
    <row r="558" ht="15.75" customHeight="1">
      <c r="A558" s="120"/>
      <c r="B558" s="120"/>
      <c r="C558" s="120"/>
      <c r="D558" s="120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</row>
    <row r="559" ht="15.75" customHeight="1">
      <c r="A559" s="120"/>
      <c r="B559" s="120"/>
      <c r="C559" s="120"/>
      <c r="D559" s="120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</row>
    <row r="560" ht="15.75" customHeight="1">
      <c r="A560" s="120"/>
      <c r="B560" s="120"/>
      <c r="C560" s="120"/>
      <c r="D560" s="120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</row>
    <row r="561" ht="15.75" customHeight="1">
      <c r="A561" s="120"/>
      <c r="B561" s="120"/>
      <c r="C561" s="120"/>
      <c r="D561" s="120"/>
      <c r="E561" s="120"/>
      <c r="F561" s="120"/>
      <c r="G561" s="120"/>
      <c r="H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  <c r="X561" s="120"/>
      <c r="Y561" s="120"/>
      <c r="Z561" s="120"/>
    </row>
    <row r="562" ht="15.75" customHeight="1">
      <c r="A562" s="120"/>
      <c r="B562" s="120"/>
      <c r="C562" s="120"/>
      <c r="D562" s="120"/>
      <c r="E562" s="120"/>
      <c r="F562" s="120"/>
      <c r="G562" s="120"/>
      <c r="H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  <c r="X562" s="120"/>
      <c r="Y562" s="120"/>
      <c r="Z562" s="120"/>
    </row>
    <row r="563" ht="15.75" customHeight="1">
      <c r="A563" s="120"/>
      <c r="B563" s="120"/>
      <c r="C563" s="120"/>
      <c r="D563" s="120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</row>
    <row r="564" ht="15.75" customHeight="1">
      <c r="A564" s="120"/>
      <c r="B564" s="120"/>
      <c r="C564" s="120"/>
      <c r="D564" s="120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</row>
    <row r="565" ht="15.75" customHeight="1">
      <c r="A565" s="120"/>
      <c r="B565" s="120"/>
      <c r="C565" s="120"/>
      <c r="D565" s="120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</row>
    <row r="566" ht="15.75" customHeight="1">
      <c r="A566" s="120"/>
      <c r="B566" s="120"/>
      <c r="C566" s="120"/>
      <c r="D566" s="120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</row>
    <row r="567" ht="15.75" customHeight="1">
      <c r="A567" s="120"/>
      <c r="B567" s="120"/>
      <c r="C567" s="120"/>
      <c r="D567" s="120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</row>
    <row r="568" ht="15.75" customHeight="1">
      <c r="A568" s="120"/>
      <c r="B568" s="120"/>
      <c r="C568" s="120"/>
      <c r="D568" s="120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</row>
    <row r="569" ht="15.75" customHeight="1">
      <c r="A569" s="120"/>
      <c r="B569" s="120"/>
      <c r="C569" s="120"/>
      <c r="D569" s="120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</row>
    <row r="570" ht="15.75" customHeight="1">
      <c r="A570" s="120"/>
      <c r="B570" s="120"/>
      <c r="C570" s="120"/>
      <c r="D570" s="120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</row>
    <row r="571" ht="15.75" customHeight="1">
      <c r="A571" s="120"/>
      <c r="B571" s="120"/>
      <c r="C571" s="120"/>
      <c r="D571" s="120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</row>
    <row r="572" ht="15.75" customHeight="1">
      <c r="A572" s="120"/>
      <c r="B572" s="120"/>
      <c r="C572" s="120"/>
      <c r="D572" s="120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</row>
    <row r="573" ht="15.75" customHeight="1">
      <c r="A573" s="120"/>
      <c r="B573" s="120"/>
      <c r="C573" s="120"/>
      <c r="D573" s="120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</row>
    <row r="574" ht="15.75" customHeight="1">
      <c r="A574" s="120"/>
      <c r="B574" s="120"/>
      <c r="C574" s="120"/>
      <c r="D574" s="120"/>
      <c r="E574" s="120"/>
      <c r="F574" s="120"/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</row>
    <row r="575" ht="15.75" customHeight="1">
      <c r="A575" s="120"/>
      <c r="B575" s="120"/>
      <c r="C575" s="120"/>
      <c r="D575" s="120"/>
      <c r="E575" s="120"/>
      <c r="F575" s="120"/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  <c r="X575" s="120"/>
      <c r="Y575" s="120"/>
      <c r="Z575" s="120"/>
    </row>
    <row r="576" ht="15.75" customHeight="1">
      <c r="A576" s="120"/>
      <c r="B576" s="120"/>
      <c r="C576" s="120"/>
      <c r="D576" s="120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</row>
    <row r="577" ht="15.75" customHeight="1">
      <c r="A577" s="120"/>
      <c r="B577" s="120"/>
      <c r="C577" s="120"/>
      <c r="D577" s="120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</row>
    <row r="578" ht="15.75" customHeight="1">
      <c r="A578" s="120"/>
      <c r="B578" s="120"/>
      <c r="C578" s="120"/>
      <c r="D578" s="120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</row>
    <row r="579" ht="15.75" customHeight="1">
      <c r="A579" s="120"/>
      <c r="B579" s="120"/>
      <c r="C579" s="120"/>
      <c r="D579" s="120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</row>
    <row r="580" ht="15.75" customHeight="1">
      <c r="A580" s="120"/>
      <c r="B580" s="120"/>
      <c r="C580" s="120"/>
      <c r="D580" s="120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</row>
    <row r="581" ht="15.75" customHeight="1">
      <c r="A581" s="120"/>
      <c r="B581" s="120"/>
      <c r="C581" s="120"/>
      <c r="D581" s="120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</row>
    <row r="582" ht="15.75" customHeight="1">
      <c r="A582" s="120"/>
      <c r="B582" s="120"/>
      <c r="C582" s="120"/>
      <c r="D582" s="120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</row>
    <row r="583" ht="15.75" customHeight="1">
      <c r="A583" s="120"/>
      <c r="B583" s="120"/>
      <c r="C583" s="120"/>
      <c r="D583" s="120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</row>
    <row r="584" ht="15.75" customHeight="1">
      <c r="A584" s="120"/>
      <c r="B584" s="120"/>
      <c r="C584" s="120"/>
      <c r="D584" s="120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</row>
    <row r="585" ht="15.75" customHeight="1">
      <c r="A585" s="120"/>
      <c r="B585" s="120"/>
      <c r="C585" s="120"/>
      <c r="D585" s="120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</row>
    <row r="586" ht="15.75" customHeight="1">
      <c r="A586" s="120"/>
      <c r="B586" s="120"/>
      <c r="C586" s="120"/>
      <c r="D586" s="120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</row>
    <row r="587" ht="15.75" customHeight="1">
      <c r="A587" s="120"/>
      <c r="B587" s="120"/>
      <c r="C587" s="120"/>
      <c r="D587" s="120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</row>
    <row r="588" ht="15.75" customHeight="1">
      <c r="A588" s="120"/>
      <c r="B588" s="120"/>
      <c r="C588" s="120"/>
      <c r="D588" s="120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</row>
    <row r="589" ht="15.75" customHeight="1">
      <c r="A589" s="120"/>
      <c r="B589" s="120"/>
      <c r="C589" s="120"/>
      <c r="D589" s="120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</row>
    <row r="590" ht="15.75" customHeight="1">
      <c r="A590" s="120"/>
      <c r="B590" s="120"/>
      <c r="C590" s="120"/>
      <c r="D590" s="120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</row>
    <row r="591" ht="15.75" customHeight="1">
      <c r="A591" s="120"/>
      <c r="B591" s="120"/>
      <c r="C591" s="120"/>
      <c r="D591" s="120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</row>
    <row r="592" ht="15.75" customHeight="1">
      <c r="A592" s="120"/>
      <c r="B592" s="120"/>
      <c r="C592" s="120"/>
      <c r="D592" s="120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</row>
    <row r="593" ht="15.75" customHeight="1">
      <c r="A593" s="120"/>
      <c r="B593" s="120"/>
      <c r="C593" s="120"/>
      <c r="D593" s="120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</row>
    <row r="594" ht="15.75" customHeight="1">
      <c r="A594" s="120"/>
      <c r="B594" s="120"/>
      <c r="C594" s="120"/>
      <c r="D594" s="120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</row>
    <row r="595" ht="15.75" customHeight="1">
      <c r="A595" s="120"/>
      <c r="B595" s="120"/>
      <c r="C595" s="120"/>
      <c r="D595" s="120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</row>
    <row r="596" ht="15.75" customHeight="1">
      <c r="A596" s="120"/>
      <c r="B596" s="120"/>
      <c r="C596" s="120"/>
      <c r="D596" s="120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</row>
    <row r="597" ht="15.75" customHeight="1">
      <c r="A597" s="120"/>
      <c r="B597" s="120"/>
      <c r="C597" s="120"/>
      <c r="D597" s="120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</row>
    <row r="598" ht="15.75" customHeight="1">
      <c r="A598" s="120"/>
      <c r="B598" s="120"/>
      <c r="C598" s="120"/>
      <c r="D598" s="120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</row>
    <row r="599" ht="15.75" customHeight="1">
      <c r="A599" s="120"/>
      <c r="B599" s="120"/>
      <c r="C599" s="120"/>
      <c r="D599" s="120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</row>
    <row r="600" ht="15.75" customHeight="1">
      <c r="A600" s="120"/>
      <c r="B600" s="120"/>
      <c r="C600" s="120"/>
      <c r="D600" s="120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</row>
    <row r="601" ht="15.75" customHeight="1">
      <c r="A601" s="120"/>
      <c r="B601" s="120"/>
      <c r="C601" s="120"/>
      <c r="D601" s="120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</row>
    <row r="602" ht="15.75" customHeight="1">
      <c r="A602" s="120"/>
      <c r="B602" s="120"/>
      <c r="C602" s="120"/>
      <c r="D602" s="120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</row>
    <row r="603" ht="15.75" customHeight="1">
      <c r="A603" s="120"/>
      <c r="B603" s="120"/>
      <c r="C603" s="120"/>
      <c r="D603" s="120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</row>
    <row r="604" ht="15.75" customHeight="1">
      <c r="A604" s="120"/>
      <c r="B604" s="120"/>
      <c r="C604" s="120"/>
      <c r="D604" s="120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</row>
    <row r="605" ht="15.75" customHeight="1">
      <c r="A605" s="120"/>
      <c r="B605" s="120"/>
      <c r="C605" s="120"/>
      <c r="D605" s="120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</row>
    <row r="606" ht="15.75" customHeight="1">
      <c r="A606" s="120"/>
      <c r="B606" s="120"/>
      <c r="C606" s="120"/>
      <c r="D606" s="120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</row>
    <row r="607" ht="15.75" customHeight="1">
      <c r="A607" s="120"/>
      <c r="B607" s="120"/>
      <c r="C607" s="120"/>
      <c r="D607" s="120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</row>
    <row r="608" ht="15.75" customHeight="1">
      <c r="A608" s="120"/>
      <c r="B608" s="120"/>
      <c r="C608" s="120"/>
      <c r="D608" s="120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</row>
    <row r="609" ht="15.75" customHeight="1">
      <c r="A609" s="120"/>
      <c r="B609" s="120"/>
      <c r="C609" s="120"/>
      <c r="D609" s="120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</row>
    <row r="610" ht="15.75" customHeight="1">
      <c r="A610" s="120"/>
      <c r="B610" s="120"/>
      <c r="C610" s="120"/>
      <c r="D610" s="120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</row>
    <row r="611" ht="15.75" customHeight="1">
      <c r="A611" s="120"/>
      <c r="B611" s="120"/>
      <c r="C611" s="120"/>
      <c r="D611" s="120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</row>
    <row r="612" ht="15.75" customHeight="1">
      <c r="A612" s="120"/>
      <c r="B612" s="120"/>
      <c r="C612" s="120"/>
      <c r="D612" s="120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</row>
    <row r="613" ht="15.75" customHeight="1">
      <c r="A613" s="120"/>
      <c r="B613" s="120"/>
      <c r="C613" s="120"/>
      <c r="D613" s="120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</row>
    <row r="614" ht="15.75" customHeight="1">
      <c r="A614" s="120"/>
      <c r="B614" s="120"/>
      <c r="C614" s="120"/>
      <c r="D614" s="120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</row>
    <row r="615" ht="15.75" customHeight="1">
      <c r="A615" s="120"/>
      <c r="B615" s="120"/>
      <c r="C615" s="120"/>
      <c r="D615" s="120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</row>
    <row r="616" ht="15.75" customHeight="1">
      <c r="A616" s="120"/>
      <c r="B616" s="120"/>
      <c r="C616" s="120"/>
      <c r="D616" s="120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</row>
    <row r="617" ht="15.75" customHeight="1">
      <c r="A617" s="120"/>
      <c r="B617" s="120"/>
      <c r="C617" s="120"/>
      <c r="D617" s="120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</row>
    <row r="618" ht="15.75" customHeight="1">
      <c r="A618" s="120"/>
      <c r="B618" s="120"/>
      <c r="C618" s="120"/>
      <c r="D618" s="120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</row>
    <row r="619" ht="15.75" customHeight="1">
      <c r="A619" s="120"/>
      <c r="B619" s="120"/>
      <c r="C619" s="120"/>
      <c r="D619" s="120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</row>
    <row r="620" ht="15.75" customHeight="1">
      <c r="A620" s="120"/>
      <c r="B620" s="120"/>
      <c r="C620" s="120"/>
      <c r="D620" s="120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</row>
    <row r="621" ht="15.75" customHeight="1">
      <c r="A621" s="120"/>
      <c r="B621" s="120"/>
      <c r="C621" s="120"/>
      <c r="D621" s="120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</row>
    <row r="622" ht="15.75" customHeight="1">
      <c r="A622" s="120"/>
      <c r="B622" s="120"/>
      <c r="C622" s="120"/>
      <c r="D622" s="120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</row>
    <row r="623" ht="15.75" customHeight="1">
      <c r="A623" s="120"/>
      <c r="B623" s="120"/>
      <c r="C623" s="120"/>
      <c r="D623" s="120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</row>
    <row r="624" ht="15.75" customHeight="1">
      <c r="A624" s="120"/>
      <c r="B624" s="120"/>
      <c r="C624" s="120"/>
      <c r="D624" s="120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</row>
    <row r="625" ht="15.75" customHeight="1">
      <c r="A625" s="120"/>
      <c r="B625" s="120"/>
      <c r="C625" s="120"/>
      <c r="D625" s="120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</row>
    <row r="626" ht="15.75" customHeight="1">
      <c r="A626" s="120"/>
      <c r="B626" s="120"/>
      <c r="C626" s="120"/>
      <c r="D626" s="120"/>
      <c r="E626" s="120"/>
      <c r="F626" s="120"/>
      <c r="G626" s="120"/>
      <c r="H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  <c r="X626" s="120"/>
      <c r="Y626" s="120"/>
      <c r="Z626" s="120"/>
    </row>
    <row r="627" ht="15.75" customHeight="1">
      <c r="A627" s="120"/>
      <c r="B627" s="120"/>
      <c r="C627" s="120"/>
      <c r="D627" s="120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</row>
    <row r="628" ht="15.75" customHeight="1">
      <c r="A628" s="120"/>
      <c r="B628" s="120"/>
      <c r="C628" s="120"/>
      <c r="D628" s="120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</row>
    <row r="629" ht="15.75" customHeight="1">
      <c r="A629" s="120"/>
      <c r="B629" s="120"/>
      <c r="C629" s="120"/>
      <c r="D629" s="120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</row>
    <row r="630" ht="15.75" customHeight="1">
      <c r="A630" s="120"/>
      <c r="B630" s="120"/>
      <c r="C630" s="120"/>
      <c r="D630" s="120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</row>
    <row r="631" ht="15.75" customHeight="1">
      <c r="A631" s="120"/>
      <c r="B631" s="120"/>
      <c r="C631" s="120"/>
      <c r="D631" s="120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</row>
    <row r="632" ht="15.75" customHeight="1">
      <c r="A632" s="120"/>
      <c r="B632" s="120"/>
      <c r="C632" s="120"/>
      <c r="D632" s="120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</row>
    <row r="633" ht="15.75" customHeight="1">
      <c r="A633" s="120"/>
      <c r="B633" s="120"/>
      <c r="C633" s="120"/>
      <c r="D633" s="120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</row>
    <row r="634" ht="15.75" customHeight="1">
      <c r="A634" s="120"/>
      <c r="B634" s="120"/>
      <c r="C634" s="120"/>
      <c r="D634" s="120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</row>
    <row r="635" ht="15.75" customHeight="1">
      <c r="A635" s="120"/>
      <c r="B635" s="120"/>
      <c r="C635" s="120"/>
      <c r="D635" s="120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</row>
    <row r="636" ht="15.75" customHeight="1">
      <c r="A636" s="120"/>
      <c r="B636" s="120"/>
      <c r="C636" s="120"/>
      <c r="D636" s="120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</row>
    <row r="637" ht="15.75" customHeight="1">
      <c r="A637" s="120"/>
      <c r="B637" s="120"/>
      <c r="C637" s="120"/>
      <c r="D637" s="120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</row>
    <row r="638" ht="15.75" customHeight="1">
      <c r="A638" s="120"/>
      <c r="B638" s="120"/>
      <c r="C638" s="120"/>
      <c r="D638" s="120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</row>
    <row r="639" ht="15.75" customHeight="1">
      <c r="A639" s="120"/>
      <c r="B639" s="120"/>
      <c r="C639" s="120"/>
      <c r="D639" s="120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</row>
    <row r="640" ht="15.75" customHeight="1">
      <c r="A640" s="120"/>
      <c r="B640" s="120"/>
      <c r="C640" s="120"/>
      <c r="D640" s="120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</row>
    <row r="641" ht="15.75" customHeight="1">
      <c r="A641" s="120"/>
      <c r="B641" s="120"/>
      <c r="C641" s="120"/>
      <c r="D641" s="120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</row>
    <row r="642" ht="15.75" customHeight="1">
      <c r="A642" s="120"/>
      <c r="B642" s="120"/>
      <c r="C642" s="120"/>
      <c r="D642" s="120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</row>
    <row r="643" ht="15.75" customHeight="1">
      <c r="A643" s="120"/>
      <c r="B643" s="120"/>
      <c r="C643" s="120"/>
      <c r="D643" s="120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</row>
    <row r="644" ht="15.75" customHeight="1">
      <c r="A644" s="120"/>
      <c r="B644" s="120"/>
      <c r="C644" s="120"/>
      <c r="D644" s="120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</row>
    <row r="645" ht="15.75" customHeight="1">
      <c r="A645" s="120"/>
      <c r="B645" s="120"/>
      <c r="C645" s="120"/>
      <c r="D645" s="120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</row>
    <row r="646" ht="15.75" customHeight="1">
      <c r="A646" s="120"/>
      <c r="B646" s="120"/>
      <c r="C646" s="120"/>
      <c r="D646" s="120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</row>
    <row r="647" ht="15.75" customHeight="1">
      <c r="A647" s="120"/>
      <c r="B647" s="120"/>
      <c r="C647" s="120"/>
      <c r="D647" s="120"/>
      <c r="E647" s="120"/>
      <c r="F647" s="120"/>
      <c r="G647" s="120"/>
      <c r="H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  <c r="X647" s="120"/>
      <c r="Y647" s="120"/>
      <c r="Z647" s="120"/>
    </row>
    <row r="648" ht="15.75" customHeight="1">
      <c r="A648" s="120"/>
      <c r="B648" s="120"/>
      <c r="C648" s="120"/>
      <c r="D648" s="120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</row>
    <row r="649" ht="15.75" customHeight="1">
      <c r="A649" s="120"/>
      <c r="B649" s="120"/>
      <c r="C649" s="120"/>
      <c r="D649" s="120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</row>
    <row r="650" ht="15.75" customHeight="1">
      <c r="A650" s="120"/>
      <c r="B650" s="120"/>
      <c r="C650" s="120"/>
      <c r="D650" s="120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</row>
    <row r="651" ht="15.75" customHeight="1">
      <c r="A651" s="120"/>
      <c r="B651" s="120"/>
      <c r="C651" s="120"/>
      <c r="D651" s="120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</row>
    <row r="652" ht="15.75" customHeight="1">
      <c r="A652" s="120"/>
      <c r="B652" s="120"/>
      <c r="C652" s="120"/>
      <c r="D652" s="120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</row>
    <row r="653" ht="15.75" customHeight="1">
      <c r="A653" s="120"/>
      <c r="B653" s="120"/>
      <c r="C653" s="120"/>
      <c r="D653" s="120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</row>
    <row r="654" ht="15.75" customHeight="1">
      <c r="A654" s="120"/>
      <c r="B654" s="120"/>
      <c r="C654" s="120"/>
      <c r="D654" s="120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</row>
    <row r="655" ht="15.75" customHeight="1">
      <c r="A655" s="120"/>
      <c r="B655" s="120"/>
      <c r="C655" s="120"/>
      <c r="D655" s="120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</row>
    <row r="656" ht="15.75" customHeight="1">
      <c r="A656" s="120"/>
      <c r="B656" s="120"/>
      <c r="C656" s="120"/>
      <c r="D656" s="120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</row>
    <row r="657" ht="15.75" customHeight="1">
      <c r="A657" s="120"/>
      <c r="B657" s="120"/>
      <c r="C657" s="120"/>
      <c r="D657" s="120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</row>
    <row r="658" ht="15.75" customHeight="1">
      <c r="A658" s="120"/>
      <c r="B658" s="120"/>
      <c r="C658" s="120"/>
      <c r="D658" s="120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</row>
    <row r="659" ht="15.75" customHeight="1">
      <c r="A659" s="120"/>
      <c r="B659" s="120"/>
      <c r="C659" s="120"/>
      <c r="D659" s="120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</row>
    <row r="660" ht="15.75" customHeight="1">
      <c r="A660" s="120"/>
      <c r="B660" s="120"/>
      <c r="C660" s="120"/>
      <c r="D660" s="120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</row>
    <row r="661" ht="15.75" customHeight="1">
      <c r="A661" s="120"/>
      <c r="B661" s="120"/>
      <c r="C661" s="120"/>
      <c r="D661" s="120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</row>
    <row r="662" ht="15.75" customHeight="1">
      <c r="A662" s="120"/>
      <c r="B662" s="120"/>
      <c r="C662" s="120"/>
      <c r="D662" s="120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</row>
    <row r="663" ht="15.75" customHeight="1">
      <c r="A663" s="120"/>
      <c r="B663" s="120"/>
      <c r="C663" s="120"/>
      <c r="D663" s="120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</row>
    <row r="664" ht="15.75" customHeight="1">
      <c r="A664" s="120"/>
      <c r="B664" s="120"/>
      <c r="C664" s="120"/>
      <c r="D664" s="120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</row>
    <row r="665" ht="15.75" customHeight="1">
      <c r="A665" s="120"/>
      <c r="B665" s="120"/>
      <c r="C665" s="120"/>
      <c r="D665" s="120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</row>
    <row r="666" ht="15.75" customHeight="1">
      <c r="A666" s="120"/>
      <c r="B666" s="120"/>
      <c r="C666" s="120"/>
      <c r="D666" s="120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</row>
    <row r="667" ht="15.75" customHeight="1">
      <c r="A667" s="120"/>
      <c r="B667" s="120"/>
      <c r="C667" s="120"/>
      <c r="D667" s="120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</row>
    <row r="668" ht="15.75" customHeight="1">
      <c r="A668" s="120"/>
      <c r="B668" s="120"/>
      <c r="C668" s="120"/>
      <c r="D668" s="120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</row>
    <row r="669" ht="15.75" customHeight="1">
      <c r="A669" s="120"/>
      <c r="B669" s="120"/>
      <c r="C669" s="120"/>
      <c r="D669" s="120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</row>
    <row r="670" ht="15.75" customHeight="1">
      <c r="A670" s="120"/>
      <c r="B670" s="120"/>
      <c r="C670" s="120"/>
      <c r="D670" s="120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</row>
    <row r="671" ht="15.75" customHeight="1">
      <c r="A671" s="120"/>
      <c r="B671" s="120"/>
      <c r="C671" s="120"/>
      <c r="D671" s="120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</row>
    <row r="672" ht="15.75" customHeight="1">
      <c r="A672" s="120"/>
      <c r="B672" s="120"/>
      <c r="C672" s="120"/>
      <c r="D672" s="120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</row>
    <row r="673" ht="15.75" customHeight="1">
      <c r="A673" s="120"/>
      <c r="B673" s="120"/>
      <c r="C673" s="120"/>
      <c r="D673" s="120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</row>
    <row r="674" ht="15.75" customHeight="1">
      <c r="A674" s="120"/>
      <c r="B674" s="120"/>
      <c r="C674" s="120"/>
      <c r="D674" s="120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</row>
    <row r="675" ht="15.75" customHeight="1">
      <c r="A675" s="120"/>
      <c r="B675" s="120"/>
      <c r="C675" s="120"/>
      <c r="D675" s="120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</row>
    <row r="676" ht="15.75" customHeight="1">
      <c r="A676" s="120"/>
      <c r="B676" s="120"/>
      <c r="C676" s="120"/>
      <c r="D676" s="120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</row>
    <row r="677" ht="15.75" customHeight="1">
      <c r="A677" s="120"/>
      <c r="B677" s="120"/>
      <c r="C677" s="120"/>
      <c r="D677" s="120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</row>
    <row r="678" ht="15.75" customHeight="1">
      <c r="A678" s="120"/>
      <c r="B678" s="120"/>
      <c r="C678" s="120"/>
      <c r="D678" s="120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</row>
    <row r="679" ht="15.75" customHeight="1">
      <c r="A679" s="120"/>
      <c r="B679" s="120"/>
      <c r="C679" s="120"/>
      <c r="D679" s="120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</row>
    <row r="680" ht="15.75" customHeight="1">
      <c r="A680" s="120"/>
      <c r="B680" s="120"/>
      <c r="C680" s="120"/>
      <c r="D680" s="120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</row>
    <row r="681" ht="15.75" customHeight="1">
      <c r="A681" s="120"/>
      <c r="B681" s="120"/>
      <c r="C681" s="120"/>
      <c r="D681" s="120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</row>
    <row r="682" ht="15.75" customHeight="1">
      <c r="A682" s="120"/>
      <c r="B682" s="120"/>
      <c r="C682" s="120"/>
      <c r="D682" s="120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</row>
    <row r="683" ht="15.75" customHeight="1">
      <c r="A683" s="120"/>
      <c r="B683" s="120"/>
      <c r="C683" s="120"/>
      <c r="D683" s="120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</row>
    <row r="684" ht="15.75" customHeight="1">
      <c r="A684" s="120"/>
      <c r="B684" s="120"/>
      <c r="C684" s="120"/>
      <c r="D684" s="120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</row>
    <row r="685" ht="15.75" customHeight="1">
      <c r="A685" s="120"/>
      <c r="B685" s="120"/>
      <c r="C685" s="120"/>
      <c r="D685" s="120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</row>
    <row r="686" ht="15.75" customHeight="1">
      <c r="A686" s="120"/>
      <c r="B686" s="120"/>
      <c r="C686" s="120"/>
      <c r="D686" s="120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</row>
    <row r="687" ht="15.75" customHeight="1">
      <c r="A687" s="120"/>
      <c r="B687" s="120"/>
      <c r="C687" s="120"/>
      <c r="D687" s="120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</row>
    <row r="688" ht="15.75" customHeight="1">
      <c r="A688" s="120"/>
      <c r="B688" s="120"/>
      <c r="C688" s="120"/>
      <c r="D688" s="120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</row>
    <row r="689" ht="15.75" customHeight="1">
      <c r="A689" s="120"/>
      <c r="B689" s="120"/>
      <c r="C689" s="120"/>
      <c r="D689" s="120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</row>
    <row r="690" ht="15.75" customHeight="1">
      <c r="A690" s="120"/>
      <c r="B690" s="120"/>
      <c r="C690" s="120"/>
      <c r="D690" s="120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</row>
    <row r="691" ht="15.75" customHeight="1">
      <c r="A691" s="120"/>
      <c r="B691" s="120"/>
      <c r="C691" s="120"/>
      <c r="D691" s="120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</row>
    <row r="692" ht="15.75" customHeight="1">
      <c r="A692" s="120"/>
      <c r="B692" s="120"/>
      <c r="C692" s="120"/>
      <c r="D692" s="120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</row>
    <row r="693" ht="15.75" customHeight="1">
      <c r="A693" s="120"/>
      <c r="B693" s="120"/>
      <c r="C693" s="120"/>
      <c r="D693" s="120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</row>
    <row r="694" ht="15.75" customHeight="1">
      <c r="A694" s="120"/>
      <c r="B694" s="120"/>
      <c r="C694" s="120"/>
      <c r="D694" s="120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</row>
    <row r="695" ht="15.75" customHeight="1">
      <c r="A695" s="120"/>
      <c r="B695" s="120"/>
      <c r="C695" s="120"/>
      <c r="D695" s="120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</row>
    <row r="696" ht="15.75" customHeight="1">
      <c r="A696" s="120"/>
      <c r="B696" s="120"/>
      <c r="C696" s="120"/>
      <c r="D696" s="120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</row>
    <row r="697" ht="15.75" customHeight="1">
      <c r="A697" s="120"/>
      <c r="B697" s="120"/>
      <c r="C697" s="120"/>
      <c r="D697" s="120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</row>
    <row r="698" ht="15.75" customHeight="1">
      <c r="A698" s="120"/>
      <c r="B698" s="120"/>
      <c r="C698" s="120"/>
      <c r="D698" s="120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</row>
    <row r="699" ht="15.75" customHeight="1">
      <c r="A699" s="120"/>
      <c r="B699" s="120"/>
      <c r="C699" s="120"/>
      <c r="D699" s="120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</row>
    <row r="700" ht="15.75" customHeight="1">
      <c r="A700" s="120"/>
      <c r="B700" s="120"/>
      <c r="C700" s="120"/>
      <c r="D700" s="120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</row>
    <row r="701" ht="15.75" customHeight="1">
      <c r="A701" s="120"/>
      <c r="B701" s="120"/>
      <c r="C701" s="120"/>
      <c r="D701" s="120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</row>
    <row r="702" ht="15.75" customHeight="1">
      <c r="A702" s="120"/>
      <c r="B702" s="120"/>
      <c r="C702" s="120"/>
      <c r="D702" s="120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</row>
    <row r="703" ht="15.75" customHeight="1">
      <c r="A703" s="120"/>
      <c r="B703" s="120"/>
      <c r="C703" s="120"/>
      <c r="D703" s="120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</row>
    <row r="704" ht="15.75" customHeight="1">
      <c r="A704" s="120"/>
      <c r="B704" s="120"/>
      <c r="C704" s="120"/>
      <c r="D704" s="120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</row>
    <row r="705" ht="15.75" customHeight="1">
      <c r="A705" s="120"/>
      <c r="B705" s="120"/>
      <c r="C705" s="120"/>
      <c r="D705" s="120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</row>
    <row r="706" ht="15.75" customHeight="1">
      <c r="A706" s="120"/>
      <c r="B706" s="120"/>
      <c r="C706" s="120"/>
      <c r="D706" s="120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</row>
    <row r="707" ht="15.75" customHeight="1">
      <c r="A707" s="120"/>
      <c r="B707" s="120"/>
      <c r="C707" s="120"/>
      <c r="D707" s="120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</row>
    <row r="708" ht="15.75" customHeight="1">
      <c r="A708" s="120"/>
      <c r="B708" s="120"/>
      <c r="C708" s="120"/>
      <c r="D708" s="120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</row>
    <row r="709" ht="15.75" customHeight="1">
      <c r="A709" s="120"/>
      <c r="B709" s="120"/>
      <c r="C709" s="120"/>
      <c r="D709" s="120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</row>
    <row r="710" ht="15.75" customHeight="1">
      <c r="A710" s="120"/>
      <c r="B710" s="120"/>
      <c r="C710" s="120"/>
      <c r="D710" s="120"/>
      <c r="E710" s="120"/>
      <c r="F710" s="120"/>
      <c r="G710" s="120"/>
      <c r="H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</row>
    <row r="711" ht="15.75" customHeight="1">
      <c r="A711" s="120"/>
      <c r="B711" s="120"/>
      <c r="C711" s="120"/>
      <c r="D711" s="120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</row>
    <row r="712" ht="15.75" customHeight="1">
      <c r="A712" s="120"/>
      <c r="B712" s="120"/>
      <c r="C712" s="120"/>
      <c r="D712" s="120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</row>
    <row r="713" ht="15.75" customHeight="1">
      <c r="A713" s="120"/>
      <c r="B713" s="120"/>
      <c r="C713" s="120"/>
      <c r="D713" s="120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</row>
    <row r="714" ht="15.75" customHeight="1">
      <c r="A714" s="120"/>
      <c r="B714" s="120"/>
      <c r="C714" s="120"/>
      <c r="D714" s="120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</row>
    <row r="715" ht="15.75" customHeight="1">
      <c r="A715" s="120"/>
      <c r="B715" s="120"/>
      <c r="C715" s="120"/>
      <c r="D715" s="120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</row>
    <row r="716" ht="15.75" customHeight="1">
      <c r="A716" s="120"/>
      <c r="B716" s="120"/>
      <c r="C716" s="120"/>
      <c r="D716" s="120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</row>
    <row r="717" ht="15.75" customHeight="1">
      <c r="A717" s="120"/>
      <c r="B717" s="120"/>
      <c r="C717" s="120"/>
      <c r="D717" s="120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</row>
    <row r="718" ht="15.75" customHeight="1">
      <c r="A718" s="120"/>
      <c r="B718" s="120"/>
      <c r="C718" s="120"/>
      <c r="D718" s="120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</row>
    <row r="719" ht="15.75" customHeight="1">
      <c r="A719" s="120"/>
      <c r="B719" s="120"/>
      <c r="C719" s="120"/>
      <c r="D719" s="120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</row>
    <row r="720" ht="15.75" customHeight="1">
      <c r="A720" s="120"/>
      <c r="B720" s="120"/>
      <c r="C720" s="120"/>
      <c r="D720" s="120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</row>
    <row r="721" ht="15.75" customHeight="1">
      <c r="A721" s="120"/>
      <c r="B721" s="120"/>
      <c r="C721" s="120"/>
      <c r="D721" s="120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</row>
    <row r="722" ht="15.75" customHeight="1">
      <c r="A722" s="120"/>
      <c r="B722" s="120"/>
      <c r="C722" s="120"/>
      <c r="D722" s="120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</row>
    <row r="723" ht="15.75" customHeight="1">
      <c r="A723" s="120"/>
      <c r="B723" s="120"/>
      <c r="C723" s="120"/>
      <c r="D723" s="120"/>
      <c r="E723" s="120"/>
      <c r="F723" s="120"/>
      <c r="G723" s="120"/>
      <c r="H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</row>
    <row r="724" ht="15.75" customHeight="1">
      <c r="A724" s="120"/>
      <c r="B724" s="120"/>
      <c r="C724" s="120"/>
      <c r="D724" s="120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</row>
    <row r="725" ht="15.75" customHeight="1">
      <c r="A725" s="120"/>
      <c r="B725" s="120"/>
      <c r="C725" s="120"/>
      <c r="D725" s="120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</row>
    <row r="726" ht="15.75" customHeight="1">
      <c r="A726" s="120"/>
      <c r="B726" s="120"/>
      <c r="C726" s="120"/>
      <c r="D726" s="120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</row>
    <row r="727" ht="15.75" customHeight="1">
      <c r="A727" s="120"/>
      <c r="B727" s="120"/>
      <c r="C727" s="120"/>
      <c r="D727" s="120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</row>
    <row r="728" ht="15.75" customHeight="1">
      <c r="A728" s="120"/>
      <c r="B728" s="120"/>
      <c r="C728" s="120"/>
      <c r="D728" s="120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</row>
    <row r="729" ht="15.75" customHeight="1">
      <c r="A729" s="120"/>
      <c r="B729" s="120"/>
      <c r="C729" s="120"/>
      <c r="D729" s="120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</row>
    <row r="730" ht="15.75" customHeight="1">
      <c r="A730" s="120"/>
      <c r="B730" s="120"/>
      <c r="C730" s="120"/>
      <c r="D730" s="120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</row>
    <row r="731" ht="15.75" customHeight="1">
      <c r="A731" s="120"/>
      <c r="B731" s="120"/>
      <c r="C731" s="120"/>
      <c r="D731" s="120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</row>
    <row r="732" ht="15.75" customHeight="1">
      <c r="A732" s="120"/>
      <c r="B732" s="120"/>
      <c r="C732" s="120"/>
      <c r="D732" s="120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</row>
    <row r="733" ht="15.75" customHeight="1">
      <c r="A733" s="120"/>
      <c r="B733" s="120"/>
      <c r="C733" s="120"/>
      <c r="D733" s="120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</row>
    <row r="734" ht="15.75" customHeight="1">
      <c r="A734" s="120"/>
      <c r="B734" s="120"/>
      <c r="C734" s="120"/>
      <c r="D734" s="120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</row>
    <row r="735" ht="15.75" customHeight="1">
      <c r="A735" s="120"/>
      <c r="B735" s="120"/>
      <c r="C735" s="120"/>
      <c r="D735" s="120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</row>
    <row r="736" ht="15.75" customHeight="1">
      <c r="A736" s="120"/>
      <c r="B736" s="120"/>
      <c r="C736" s="120"/>
      <c r="D736" s="120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</row>
    <row r="737" ht="15.75" customHeight="1">
      <c r="A737" s="120"/>
      <c r="B737" s="120"/>
      <c r="C737" s="120"/>
      <c r="D737" s="120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</row>
    <row r="738" ht="15.75" customHeight="1">
      <c r="A738" s="120"/>
      <c r="B738" s="120"/>
      <c r="C738" s="120"/>
      <c r="D738" s="120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</row>
    <row r="739" ht="15.75" customHeight="1">
      <c r="A739" s="120"/>
      <c r="B739" s="120"/>
      <c r="C739" s="120"/>
      <c r="D739" s="120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</row>
    <row r="740" ht="15.75" customHeight="1">
      <c r="A740" s="120"/>
      <c r="B740" s="120"/>
      <c r="C740" s="120"/>
      <c r="D740" s="120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</row>
    <row r="741" ht="15.75" customHeight="1">
      <c r="A741" s="120"/>
      <c r="B741" s="120"/>
      <c r="C741" s="120"/>
      <c r="D741" s="120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</row>
    <row r="742" ht="15.75" customHeight="1">
      <c r="A742" s="120"/>
      <c r="B742" s="120"/>
      <c r="C742" s="120"/>
      <c r="D742" s="120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</row>
    <row r="743" ht="15.75" customHeight="1">
      <c r="A743" s="120"/>
      <c r="B743" s="120"/>
      <c r="C743" s="120"/>
      <c r="D743" s="120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</row>
    <row r="744" ht="15.75" customHeight="1">
      <c r="A744" s="120"/>
      <c r="B744" s="120"/>
      <c r="C744" s="120"/>
      <c r="D744" s="120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</row>
    <row r="745" ht="15.75" customHeight="1">
      <c r="A745" s="120"/>
      <c r="B745" s="120"/>
      <c r="C745" s="120"/>
      <c r="D745" s="120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</row>
    <row r="746" ht="15.75" customHeight="1">
      <c r="A746" s="120"/>
      <c r="B746" s="120"/>
      <c r="C746" s="120"/>
      <c r="D746" s="120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</row>
    <row r="747" ht="15.75" customHeight="1">
      <c r="A747" s="120"/>
      <c r="B747" s="120"/>
      <c r="C747" s="120"/>
      <c r="D747" s="120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</row>
    <row r="748" ht="15.75" customHeight="1">
      <c r="A748" s="120"/>
      <c r="B748" s="120"/>
      <c r="C748" s="120"/>
      <c r="D748" s="120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</row>
    <row r="749" ht="15.75" customHeight="1">
      <c r="A749" s="120"/>
      <c r="B749" s="120"/>
      <c r="C749" s="120"/>
      <c r="D749" s="120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</row>
    <row r="750" ht="15.75" customHeight="1">
      <c r="A750" s="120"/>
      <c r="B750" s="120"/>
      <c r="C750" s="120"/>
      <c r="D750" s="120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</row>
    <row r="751" ht="15.75" customHeight="1">
      <c r="A751" s="120"/>
      <c r="B751" s="120"/>
      <c r="C751" s="120"/>
      <c r="D751" s="120"/>
      <c r="E751" s="120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</row>
    <row r="752" ht="15.75" customHeight="1">
      <c r="A752" s="120"/>
      <c r="B752" s="120"/>
      <c r="C752" s="120"/>
      <c r="D752" s="120"/>
      <c r="E752" s="120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</row>
    <row r="753" ht="15.75" customHeight="1">
      <c r="A753" s="120"/>
      <c r="B753" s="120"/>
      <c r="C753" s="120"/>
      <c r="D753" s="120"/>
      <c r="E753" s="120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</row>
    <row r="754" ht="15.75" customHeight="1">
      <c r="A754" s="120"/>
      <c r="B754" s="120"/>
      <c r="C754" s="120"/>
      <c r="D754" s="120"/>
      <c r="E754" s="120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</row>
    <row r="755" ht="15.75" customHeight="1">
      <c r="A755" s="120"/>
      <c r="B755" s="120"/>
      <c r="C755" s="120"/>
      <c r="D755" s="120"/>
      <c r="E755" s="120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</row>
    <row r="756" ht="15.75" customHeight="1">
      <c r="A756" s="120"/>
      <c r="B756" s="120"/>
      <c r="C756" s="120"/>
      <c r="D756" s="120"/>
      <c r="E756" s="120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</row>
    <row r="757" ht="15.75" customHeight="1">
      <c r="A757" s="120"/>
      <c r="B757" s="120"/>
      <c r="C757" s="120"/>
      <c r="D757" s="120"/>
      <c r="E757" s="120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</row>
    <row r="758" ht="15.75" customHeight="1">
      <c r="A758" s="120"/>
      <c r="B758" s="120"/>
      <c r="C758" s="120"/>
      <c r="D758" s="120"/>
      <c r="E758" s="120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</row>
    <row r="759" ht="15.75" customHeight="1">
      <c r="A759" s="120"/>
      <c r="B759" s="120"/>
      <c r="C759" s="120"/>
      <c r="D759" s="120"/>
      <c r="E759" s="120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</row>
    <row r="760" ht="15.75" customHeight="1">
      <c r="A760" s="120"/>
      <c r="B760" s="120"/>
      <c r="C760" s="120"/>
      <c r="D760" s="120"/>
      <c r="E760" s="120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</row>
    <row r="761" ht="15.75" customHeight="1">
      <c r="A761" s="120"/>
      <c r="B761" s="120"/>
      <c r="C761" s="120"/>
      <c r="D761" s="120"/>
      <c r="E761" s="120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</row>
    <row r="762" ht="15.75" customHeight="1">
      <c r="A762" s="120"/>
      <c r="B762" s="120"/>
      <c r="C762" s="120"/>
      <c r="D762" s="120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</row>
    <row r="763" ht="15.75" customHeight="1">
      <c r="A763" s="120"/>
      <c r="B763" s="120"/>
      <c r="C763" s="120"/>
      <c r="D763" s="120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</row>
    <row r="764" ht="15.75" customHeight="1">
      <c r="A764" s="120"/>
      <c r="B764" s="120"/>
      <c r="C764" s="120"/>
      <c r="D764" s="120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</row>
    <row r="765" ht="15.75" customHeight="1">
      <c r="A765" s="120"/>
      <c r="B765" s="120"/>
      <c r="C765" s="120"/>
      <c r="D765" s="120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</row>
    <row r="766" ht="15.75" customHeight="1">
      <c r="A766" s="120"/>
      <c r="B766" s="120"/>
      <c r="C766" s="120"/>
      <c r="D766" s="120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</row>
    <row r="767" ht="15.75" customHeight="1">
      <c r="A767" s="120"/>
      <c r="B767" s="120"/>
      <c r="C767" s="120"/>
      <c r="D767" s="120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</row>
    <row r="768" ht="15.75" customHeight="1">
      <c r="A768" s="120"/>
      <c r="B768" s="120"/>
      <c r="C768" s="120"/>
      <c r="D768" s="120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</row>
    <row r="769" ht="15.75" customHeight="1">
      <c r="A769" s="120"/>
      <c r="B769" s="120"/>
      <c r="C769" s="120"/>
      <c r="D769" s="120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</row>
    <row r="770" ht="15.75" customHeight="1">
      <c r="A770" s="120"/>
      <c r="B770" s="120"/>
      <c r="C770" s="120"/>
      <c r="D770" s="120"/>
      <c r="E770" s="120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</row>
    <row r="771" ht="15.75" customHeight="1">
      <c r="A771" s="120"/>
      <c r="B771" s="120"/>
      <c r="C771" s="120"/>
      <c r="D771" s="120"/>
      <c r="E771" s="120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</row>
    <row r="772" ht="15.75" customHeight="1">
      <c r="A772" s="120"/>
      <c r="B772" s="120"/>
      <c r="C772" s="120"/>
      <c r="D772" s="120"/>
      <c r="E772" s="120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</row>
    <row r="773" ht="15.75" customHeight="1">
      <c r="A773" s="120"/>
      <c r="B773" s="120"/>
      <c r="C773" s="120"/>
      <c r="D773" s="120"/>
      <c r="E773" s="120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</row>
    <row r="774" ht="15.75" customHeight="1">
      <c r="A774" s="120"/>
      <c r="B774" s="120"/>
      <c r="C774" s="120"/>
      <c r="D774" s="120"/>
      <c r="E774" s="120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</row>
    <row r="775" ht="15.75" customHeight="1">
      <c r="A775" s="120"/>
      <c r="B775" s="120"/>
      <c r="C775" s="120"/>
      <c r="D775" s="120"/>
      <c r="E775" s="120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</row>
    <row r="776" ht="15.75" customHeight="1">
      <c r="A776" s="120"/>
      <c r="B776" s="120"/>
      <c r="C776" s="120"/>
      <c r="D776" s="120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</row>
    <row r="777" ht="15.75" customHeight="1">
      <c r="A777" s="120"/>
      <c r="B777" s="120"/>
      <c r="C777" s="120"/>
      <c r="D777" s="120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</row>
    <row r="778" ht="15.75" customHeight="1">
      <c r="A778" s="120"/>
      <c r="B778" s="120"/>
      <c r="C778" s="120"/>
      <c r="D778" s="120"/>
      <c r="E778" s="120"/>
      <c r="F778" s="120"/>
      <c r="G778" s="120"/>
      <c r="H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</row>
    <row r="779" ht="15.75" customHeight="1">
      <c r="A779" s="120"/>
      <c r="B779" s="120"/>
      <c r="C779" s="120"/>
      <c r="D779" s="120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</row>
    <row r="780" ht="15.75" customHeight="1">
      <c r="A780" s="120"/>
      <c r="B780" s="120"/>
      <c r="C780" s="120"/>
      <c r="D780" s="120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</row>
    <row r="781" ht="15.75" customHeight="1">
      <c r="A781" s="120"/>
      <c r="B781" s="120"/>
      <c r="C781" s="120"/>
      <c r="D781" s="120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</row>
    <row r="782" ht="15.75" customHeight="1">
      <c r="A782" s="120"/>
      <c r="B782" s="120"/>
      <c r="C782" s="120"/>
      <c r="D782" s="120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</row>
    <row r="783" ht="15.75" customHeight="1">
      <c r="A783" s="120"/>
      <c r="B783" s="120"/>
      <c r="C783" s="120"/>
      <c r="D783" s="120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</row>
    <row r="784" ht="15.75" customHeight="1">
      <c r="A784" s="120"/>
      <c r="B784" s="120"/>
      <c r="C784" s="120"/>
      <c r="D784" s="120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</row>
    <row r="785" ht="15.75" customHeight="1">
      <c r="A785" s="120"/>
      <c r="B785" s="120"/>
      <c r="C785" s="120"/>
      <c r="D785" s="120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</row>
    <row r="786" ht="15.75" customHeight="1">
      <c r="A786" s="120"/>
      <c r="B786" s="120"/>
      <c r="C786" s="120"/>
      <c r="D786" s="120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</row>
    <row r="787" ht="15.75" customHeight="1">
      <c r="A787" s="120"/>
      <c r="B787" s="120"/>
      <c r="C787" s="120"/>
      <c r="D787" s="120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</row>
    <row r="788" ht="15.75" customHeight="1">
      <c r="A788" s="120"/>
      <c r="B788" s="120"/>
      <c r="C788" s="120"/>
      <c r="D788" s="120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</row>
    <row r="789" ht="15.75" customHeight="1">
      <c r="A789" s="120"/>
      <c r="B789" s="120"/>
      <c r="C789" s="120"/>
      <c r="D789" s="120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</row>
    <row r="790" ht="15.75" customHeight="1">
      <c r="A790" s="120"/>
      <c r="B790" s="120"/>
      <c r="C790" s="120"/>
      <c r="D790" s="120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</row>
    <row r="791" ht="15.75" customHeight="1">
      <c r="A791" s="120"/>
      <c r="B791" s="120"/>
      <c r="C791" s="120"/>
      <c r="D791" s="120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</row>
    <row r="792" ht="15.75" customHeight="1">
      <c r="A792" s="120"/>
      <c r="B792" s="120"/>
      <c r="C792" s="120"/>
      <c r="D792" s="120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</row>
    <row r="793" ht="15.75" customHeight="1">
      <c r="A793" s="120"/>
      <c r="B793" s="120"/>
      <c r="C793" s="120"/>
      <c r="D793" s="120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</row>
    <row r="794" ht="15.75" customHeight="1">
      <c r="A794" s="120"/>
      <c r="B794" s="120"/>
      <c r="C794" s="120"/>
      <c r="D794" s="120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</row>
    <row r="795" ht="15.75" customHeight="1">
      <c r="A795" s="120"/>
      <c r="B795" s="120"/>
      <c r="C795" s="120"/>
      <c r="D795" s="120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</row>
    <row r="796" ht="15.75" customHeight="1">
      <c r="A796" s="120"/>
      <c r="B796" s="120"/>
      <c r="C796" s="120"/>
      <c r="D796" s="120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</row>
    <row r="797" ht="15.75" customHeight="1">
      <c r="A797" s="120"/>
      <c r="B797" s="120"/>
      <c r="C797" s="120"/>
      <c r="D797" s="120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</row>
    <row r="798" ht="15.75" customHeight="1">
      <c r="A798" s="120"/>
      <c r="B798" s="120"/>
      <c r="C798" s="120"/>
      <c r="D798" s="120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</row>
    <row r="799" ht="15.75" customHeight="1">
      <c r="A799" s="120"/>
      <c r="B799" s="120"/>
      <c r="C799" s="120"/>
      <c r="D799" s="120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</row>
    <row r="800" ht="15.75" customHeight="1">
      <c r="A800" s="120"/>
      <c r="B800" s="120"/>
      <c r="C800" s="120"/>
      <c r="D800" s="120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</row>
    <row r="801" ht="15.75" customHeight="1">
      <c r="A801" s="120"/>
      <c r="B801" s="120"/>
      <c r="C801" s="120"/>
      <c r="D801" s="120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</row>
    <row r="802" ht="15.75" customHeight="1">
      <c r="A802" s="120"/>
      <c r="B802" s="120"/>
      <c r="C802" s="120"/>
      <c r="D802" s="120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</row>
    <row r="803" ht="15.75" customHeight="1">
      <c r="A803" s="120"/>
      <c r="B803" s="120"/>
      <c r="C803" s="120"/>
      <c r="D803" s="120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</row>
    <row r="804" ht="15.75" customHeight="1">
      <c r="A804" s="120"/>
      <c r="B804" s="120"/>
      <c r="C804" s="120"/>
      <c r="D804" s="120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</row>
    <row r="805" ht="15.75" customHeight="1">
      <c r="A805" s="120"/>
      <c r="B805" s="120"/>
      <c r="C805" s="120"/>
      <c r="D805" s="120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</row>
    <row r="806" ht="15.75" customHeight="1">
      <c r="A806" s="120"/>
      <c r="B806" s="120"/>
      <c r="C806" s="120"/>
      <c r="D806" s="120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</row>
    <row r="807" ht="15.75" customHeight="1">
      <c r="A807" s="120"/>
      <c r="B807" s="120"/>
      <c r="C807" s="120"/>
      <c r="D807" s="120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</row>
    <row r="808" ht="15.75" customHeight="1">
      <c r="A808" s="120"/>
      <c r="B808" s="120"/>
      <c r="C808" s="120"/>
      <c r="D808" s="120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</row>
    <row r="809" ht="15.75" customHeight="1">
      <c r="A809" s="120"/>
      <c r="B809" s="120"/>
      <c r="C809" s="120"/>
      <c r="D809" s="120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</row>
    <row r="810" ht="15.75" customHeight="1">
      <c r="A810" s="120"/>
      <c r="B810" s="120"/>
      <c r="C810" s="120"/>
      <c r="D810" s="120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</row>
    <row r="811" ht="15.75" customHeight="1">
      <c r="A811" s="120"/>
      <c r="B811" s="120"/>
      <c r="C811" s="120"/>
      <c r="D811" s="120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</row>
    <row r="812" ht="15.75" customHeight="1">
      <c r="A812" s="120"/>
      <c r="B812" s="120"/>
      <c r="C812" s="120"/>
      <c r="D812" s="120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</row>
    <row r="813" ht="15.75" customHeight="1">
      <c r="A813" s="120"/>
      <c r="B813" s="120"/>
      <c r="C813" s="120"/>
      <c r="D813" s="120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</row>
    <row r="814" ht="15.75" customHeight="1">
      <c r="A814" s="120"/>
      <c r="B814" s="120"/>
      <c r="C814" s="120"/>
      <c r="D814" s="120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</row>
    <row r="815" ht="15.75" customHeight="1">
      <c r="A815" s="120"/>
      <c r="B815" s="120"/>
      <c r="C815" s="120"/>
      <c r="D815" s="120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</row>
    <row r="816" ht="15.75" customHeight="1">
      <c r="A816" s="120"/>
      <c r="B816" s="120"/>
      <c r="C816" s="120"/>
      <c r="D816" s="120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</row>
    <row r="817" ht="15.75" customHeight="1">
      <c r="A817" s="120"/>
      <c r="B817" s="120"/>
      <c r="C817" s="120"/>
      <c r="D817" s="120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</row>
    <row r="818" ht="15.75" customHeight="1">
      <c r="A818" s="120"/>
      <c r="B818" s="120"/>
      <c r="C818" s="120"/>
      <c r="D818" s="120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</row>
    <row r="819" ht="15.75" customHeight="1">
      <c r="A819" s="120"/>
      <c r="B819" s="120"/>
      <c r="C819" s="120"/>
      <c r="D819" s="120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</row>
    <row r="820" ht="15.75" customHeight="1">
      <c r="A820" s="120"/>
      <c r="B820" s="120"/>
      <c r="C820" s="120"/>
      <c r="D820" s="120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</row>
    <row r="821" ht="15.75" customHeight="1">
      <c r="A821" s="120"/>
      <c r="B821" s="120"/>
      <c r="C821" s="120"/>
      <c r="D821" s="120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</row>
    <row r="822" ht="15.75" customHeight="1">
      <c r="A822" s="120"/>
      <c r="B822" s="120"/>
      <c r="C822" s="120"/>
      <c r="D822" s="120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</row>
    <row r="823" ht="15.75" customHeight="1">
      <c r="A823" s="120"/>
      <c r="B823" s="120"/>
      <c r="C823" s="120"/>
      <c r="D823" s="120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</row>
    <row r="824" ht="15.75" customHeight="1">
      <c r="A824" s="120"/>
      <c r="B824" s="120"/>
      <c r="C824" s="120"/>
      <c r="D824" s="120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</row>
    <row r="825" ht="15.75" customHeight="1">
      <c r="A825" s="120"/>
      <c r="B825" s="120"/>
      <c r="C825" s="120"/>
      <c r="D825" s="120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</row>
    <row r="826" ht="15.75" customHeight="1">
      <c r="A826" s="120"/>
      <c r="B826" s="120"/>
      <c r="C826" s="120"/>
      <c r="D826" s="120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</row>
    <row r="827" ht="15.75" customHeight="1">
      <c r="A827" s="120"/>
      <c r="B827" s="120"/>
      <c r="C827" s="120"/>
      <c r="D827" s="120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</row>
    <row r="828" ht="15.75" customHeight="1">
      <c r="A828" s="120"/>
      <c r="B828" s="120"/>
      <c r="C828" s="120"/>
      <c r="D828" s="120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</row>
    <row r="829" ht="15.75" customHeight="1">
      <c r="A829" s="120"/>
      <c r="B829" s="120"/>
      <c r="C829" s="120"/>
      <c r="D829" s="120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</row>
    <row r="830" ht="15.75" customHeight="1">
      <c r="A830" s="120"/>
      <c r="B830" s="120"/>
      <c r="C830" s="120"/>
      <c r="D830" s="120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</row>
    <row r="831" ht="15.75" customHeight="1">
      <c r="A831" s="120"/>
      <c r="B831" s="120"/>
      <c r="C831" s="120"/>
      <c r="D831" s="120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</row>
    <row r="832" ht="15.75" customHeight="1">
      <c r="A832" s="120"/>
      <c r="B832" s="120"/>
      <c r="C832" s="120"/>
      <c r="D832" s="120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</row>
    <row r="833" ht="15.75" customHeight="1">
      <c r="A833" s="120"/>
      <c r="B833" s="120"/>
      <c r="C833" s="120"/>
      <c r="D833" s="120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</row>
    <row r="834" ht="15.75" customHeight="1">
      <c r="A834" s="120"/>
      <c r="B834" s="120"/>
      <c r="C834" s="120"/>
      <c r="D834" s="120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</row>
    <row r="835" ht="15.75" customHeight="1">
      <c r="A835" s="120"/>
      <c r="B835" s="120"/>
      <c r="C835" s="120"/>
      <c r="D835" s="120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</row>
    <row r="836" ht="15.75" customHeight="1">
      <c r="A836" s="120"/>
      <c r="B836" s="120"/>
      <c r="C836" s="120"/>
      <c r="D836" s="120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</row>
    <row r="837" ht="15.75" customHeight="1">
      <c r="A837" s="120"/>
      <c r="B837" s="120"/>
      <c r="C837" s="120"/>
      <c r="D837" s="120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</row>
    <row r="838" ht="15.75" customHeight="1">
      <c r="A838" s="120"/>
      <c r="B838" s="120"/>
      <c r="C838" s="120"/>
      <c r="D838" s="120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</row>
    <row r="839" ht="15.75" customHeight="1">
      <c r="A839" s="120"/>
      <c r="B839" s="120"/>
      <c r="C839" s="120"/>
      <c r="D839" s="120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</row>
    <row r="840" ht="15.75" customHeight="1">
      <c r="A840" s="120"/>
      <c r="B840" s="120"/>
      <c r="C840" s="120"/>
      <c r="D840" s="120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</row>
    <row r="841" ht="15.75" customHeight="1">
      <c r="A841" s="120"/>
      <c r="B841" s="120"/>
      <c r="C841" s="120"/>
      <c r="D841" s="120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</row>
    <row r="842" ht="15.75" customHeight="1">
      <c r="A842" s="120"/>
      <c r="B842" s="120"/>
      <c r="C842" s="120"/>
      <c r="D842" s="120"/>
      <c r="E842" s="120"/>
      <c r="F842" s="120"/>
      <c r="G842" s="120"/>
      <c r="H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</row>
    <row r="843" ht="15.75" customHeight="1">
      <c r="A843" s="120"/>
      <c r="B843" s="120"/>
      <c r="C843" s="120"/>
      <c r="D843" s="120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</row>
    <row r="844" ht="15.75" customHeight="1">
      <c r="A844" s="120"/>
      <c r="B844" s="120"/>
      <c r="C844" s="120"/>
      <c r="D844" s="120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</row>
    <row r="845" ht="15.75" customHeight="1">
      <c r="A845" s="120"/>
      <c r="B845" s="120"/>
      <c r="C845" s="120"/>
      <c r="D845" s="120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</row>
    <row r="846" ht="15.75" customHeight="1">
      <c r="A846" s="120"/>
      <c r="B846" s="120"/>
      <c r="C846" s="120"/>
      <c r="D846" s="120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</row>
    <row r="847" ht="15.75" customHeight="1">
      <c r="A847" s="120"/>
      <c r="B847" s="120"/>
      <c r="C847" s="120"/>
      <c r="D847" s="120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</row>
    <row r="848" ht="15.75" customHeight="1">
      <c r="A848" s="120"/>
      <c r="B848" s="120"/>
      <c r="C848" s="120"/>
      <c r="D848" s="120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</row>
    <row r="849" ht="15.75" customHeight="1">
      <c r="A849" s="120"/>
      <c r="B849" s="120"/>
      <c r="C849" s="120"/>
      <c r="D849" s="120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</row>
    <row r="850" ht="15.75" customHeight="1">
      <c r="A850" s="120"/>
      <c r="B850" s="120"/>
      <c r="C850" s="120"/>
      <c r="D850" s="120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</row>
    <row r="851" ht="15.75" customHeight="1">
      <c r="A851" s="120"/>
      <c r="B851" s="120"/>
      <c r="C851" s="120"/>
      <c r="D851" s="120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</row>
    <row r="852" ht="15.75" customHeight="1">
      <c r="A852" s="120"/>
      <c r="B852" s="120"/>
      <c r="C852" s="120"/>
      <c r="D852" s="120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</row>
    <row r="853" ht="15.75" customHeight="1">
      <c r="A853" s="120"/>
      <c r="B853" s="120"/>
      <c r="C853" s="120"/>
      <c r="D853" s="120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</row>
    <row r="854" ht="15.75" customHeight="1">
      <c r="A854" s="120"/>
      <c r="B854" s="120"/>
      <c r="C854" s="120"/>
      <c r="D854" s="120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</row>
    <row r="855" ht="15.75" customHeight="1">
      <c r="A855" s="120"/>
      <c r="B855" s="120"/>
      <c r="C855" s="120"/>
      <c r="D855" s="120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</row>
    <row r="856" ht="15.75" customHeight="1">
      <c r="A856" s="120"/>
      <c r="B856" s="120"/>
      <c r="C856" s="120"/>
      <c r="D856" s="120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</row>
    <row r="857" ht="15.75" customHeight="1">
      <c r="A857" s="120"/>
      <c r="B857" s="120"/>
      <c r="C857" s="120"/>
      <c r="D857" s="120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</row>
    <row r="858" ht="15.75" customHeight="1">
      <c r="A858" s="120"/>
      <c r="B858" s="120"/>
      <c r="C858" s="120"/>
      <c r="D858" s="120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</row>
    <row r="859" ht="15.75" customHeight="1">
      <c r="A859" s="120"/>
      <c r="B859" s="120"/>
      <c r="C859" s="120"/>
      <c r="D859" s="120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</row>
    <row r="860" ht="15.75" customHeight="1">
      <c r="A860" s="120"/>
      <c r="B860" s="120"/>
      <c r="C860" s="120"/>
      <c r="D860" s="120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</row>
    <row r="861" ht="15.75" customHeight="1">
      <c r="A861" s="120"/>
      <c r="B861" s="120"/>
      <c r="C861" s="120"/>
      <c r="D861" s="120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</row>
    <row r="862" ht="15.75" customHeight="1">
      <c r="A862" s="120"/>
      <c r="B862" s="120"/>
      <c r="C862" s="120"/>
      <c r="D862" s="120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</row>
    <row r="863" ht="15.75" customHeight="1">
      <c r="A863" s="120"/>
      <c r="B863" s="120"/>
      <c r="C863" s="120"/>
      <c r="D863" s="120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</row>
    <row r="864" ht="15.75" customHeight="1">
      <c r="A864" s="120"/>
      <c r="B864" s="120"/>
      <c r="C864" s="120"/>
      <c r="D864" s="120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</row>
    <row r="865" ht="15.75" customHeight="1">
      <c r="A865" s="120"/>
      <c r="B865" s="120"/>
      <c r="C865" s="120"/>
      <c r="D865" s="120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</row>
    <row r="866" ht="15.75" customHeight="1">
      <c r="A866" s="120"/>
      <c r="B866" s="120"/>
      <c r="C866" s="120"/>
      <c r="D866" s="120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</row>
    <row r="867" ht="15.75" customHeight="1">
      <c r="A867" s="120"/>
      <c r="B867" s="120"/>
      <c r="C867" s="120"/>
      <c r="D867" s="120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</row>
    <row r="868" ht="15.75" customHeight="1">
      <c r="A868" s="120"/>
      <c r="B868" s="120"/>
      <c r="C868" s="120"/>
      <c r="D868" s="120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</row>
    <row r="869" ht="15.75" customHeight="1">
      <c r="A869" s="120"/>
      <c r="B869" s="120"/>
      <c r="C869" s="120"/>
      <c r="D869" s="120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</row>
    <row r="870" ht="15.75" customHeight="1">
      <c r="A870" s="120"/>
      <c r="B870" s="120"/>
      <c r="C870" s="120"/>
      <c r="D870" s="120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</row>
    <row r="871" ht="15.75" customHeight="1">
      <c r="A871" s="120"/>
      <c r="B871" s="120"/>
      <c r="C871" s="120"/>
      <c r="D871" s="120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</row>
    <row r="872" ht="15.75" customHeight="1">
      <c r="A872" s="120"/>
      <c r="B872" s="120"/>
      <c r="C872" s="120"/>
      <c r="D872" s="120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</row>
    <row r="873" ht="15.75" customHeight="1">
      <c r="A873" s="120"/>
      <c r="B873" s="120"/>
      <c r="C873" s="120"/>
      <c r="D873" s="120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</row>
    <row r="874" ht="15.75" customHeight="1">
      <c r="A874" s="120"/>
      <c r="B874" s="120"/>
      <c r="C874" s="120"/>
      <c r="D874" s="120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</row>
    <row r="875" ht="15.75" customHeight="1">
      <c r="A875" s="120"/>
      <c r="B875" s="120"/>
      <c r="C875" s="120"/>
      <c r="D875" s="120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</row>
    <row r="876" ht="15.75" customHeight="1">
      <c r="A876" s="120"/>
      <c r="B876" s="120"/>
      <c r="C876" s="120"/>
      <c r="D876" s="120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</row>
    <row r="877" ht="15.75" customHeight="1">
      <c r="A877" s="120"/>
      <c r="B877" s="120"/>
      <c r="C877" s="120"/>
      <c r="D877" s="120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</row>
    <row r="878" ht="15.75" customHeight="1">
      <c r="A878" s="120"/>
      <c r="B878" s="120"/>
      <c r="C878" s="120"/>
      <c r="D878" s="120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</row>
    <row r="879" ht="15.75" customHeight="1">
      <c r="A879" s="120"/>
      <c r="B879" s="120"/>
      <c r="C879" s="120"/>
      <c r="D879" s="120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</row>
    <row r="880" ht="15.75" customHeight="1">
      <c r="A880" s="120"/>
      <c r="B880" s="120"/>
      <c r="C880" s="120"/>
      <c r="D880" s="120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</row>
    <row r="881" ht="15.75" customHeight="1">
      <c r="A881" s="120"/>
      <c r="B881" s="120"/>
      <c r="C881" s="120"/>
      <c r="D881" s="120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</row>
    <row r="882" ht="15.75" customHeight="1">
      <c r="A882" s="120"/>
      <c r="B882" s="120"/>
      <c r="C882" s="120"/>
      <c r="D882" s="120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</row>
    <row r="883" ht="15.75" customHeight="1">
      <c r="A883" s="120"/>
      <c r="B883" s="120"/>
      <c r="C883" s="120"/>
      <c r="D883" s="120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</row>
    <row r="884" ht="15.75" customHeight="1">
      <c r="A884" s="120"/>
      <c r="B884" s="120"/>
      <c r="C884" s="120"/>
      <c r="D884" s="120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</row>
    <row r="885" ht="15.75" customHeight="1">
      <c r="A885" s="120"/>
      <c r="B885" s="120"/>
      <c r="C885" s="120"/>
      <c r="D885" s="120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</row>
    <row r="886" ht="15.75" customHeight="1">
      <c r="A886" s="120"/>
      <c r="B886" s="120"/>
      <c r="C886" s="120"/>
      <c r="D886" s="120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</row>
    <row r="887" ht="15.75" customHeight="1">
      <c r="A887" s="120"/>
      <c r="B887" s="120"/>
      <c r="C887" s="120"/>
      <c r="D887" s="120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</row>
    <row r="888" ht="15.75" customHeight="1">
      <c r="A888" s="120"/>
      <c r="B888" s="120"/>
      <c r="C888" s="120"/>
      <c r="D888" s="120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</row>
    <row r="889" ht="15.75" customHeight="1">
      <c r="A889" s="120"/>
      <c r="B889" s="120"/>
      <c r="C889" s="120"/>
      <c r="D889" s="120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</row>
    <row r="890" ht="15.75" customHeight="1">
      <c r="A890" s="120"/>
      <c r="B890" s="120"/>
      <c r="C890" s="120"/>
      <c r="D890" s="120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</row>
    <row r="891" ht="15.75" customHeight="1">
      <c r="A891" s="120"/>
      <c r="B891" s="120"/>
      <c r="C891" s="120"/>
      <c r="D891" s="120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</row>
    <row r="892" ht="15.75" customHeight="1">
      <c r="A892" s="120"/>
      <c r="B892" s="120"/>
      <c r="C892" s="120"/>
      <c r="D892" s="120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</row>
    <row r="893" ht="15.75" customHeight="1">
      <c r="A893" s="120"/>
      <c r="B893" s="120"/>
      <c r="C893" s="120"/>
      <c r="D893" s="120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</row>
    <row r="894" ht="15.75" customHeight="1">
      <c r="A894" s="120"/>
      <c r="B894" s="120"/>
      <c r="C894" s="120"/>
      <c r="D894" s="120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</row>
    <row r="895" ht="15.75" customHeight="1">
      <c r="A895" s="120"/>
      <c r="B895" s="120"/>
      <c r="C895" s="120"/>
      <c r="D895" s="120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</row>
    <row r="896" ht="15.75" customHeight="1">
      <c r="A896" s="120"/>
      <c r="B896" s="120"/>
      <c r="C896" s="120"/>
      <c r="D896" s="120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</row>
    <row r="897" ht="15.75" customHeight="1">
      <c r="A897" s="120"/>
      <c r="B897" s="120"/>
      <c r="C897" s="120"/>
      <c r="D897" s="120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</row>
    <row r="898" ht="15.75" customHeight="1">
      <c r="A898" s="120"/>
      <c r="B898" s="120"/>
      <c r="C898" s="120"/>
      <c r="D898" s="120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</row>
    <row r="899" ht="15.75" customHeight="1">
      <c r="A899" s="120"/>
      <c r="B899" s="120"/>
      <c r="C899" s="120"/>
      <c r="D899" s="120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</row>
    <row r="900" ht="15.75" customHeight="1">
      <c r="A900" s="120"/>
      <c r="B900" s="120"/>
      <c r="C900" s="120"/>
      <c r="D900" s="120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</row>
    <row r="901" ht="15.75" customHeight="1">
      <c r="A901" s="120"/>
      <c r="B901" s="120"/>
      <c r="C901" s="120"/>
      <c r="D901" s="120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</row>
    <row r="902" ht="15.75" customHeight="1">
      <c r="A902" s="120"/>
      <c r="B902" s="120"/>
      <c r="C902" s="120"/>
      <c r="D902" s="120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</row>
    <row r="903" ht="15.75" customHeight="1">
      <c r="A903" s="120"/>
      <c r="B903" s="120"/>
      <c r="C903" s="120"/>
      <c r="D903" s="120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</row>
    <row r="904" ht="15.75" customHeight="1">
      <c r="A904" s="120"/>
      <c r="B904" s="120"/>
      <c r="C904" s="120"/>
      <c r="D904" s="120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</row>
    <row r="905" ht="15.75" customHeight="1">
      <c r="A905" s="120"/>
      <c r="B905" s="120"/>
      <c r="C905" s="120"/>
      <c r="D905" s="120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</row>
    <row r="906" ht="15.75" customHeight="1">
      <c r="A906" s="120"/>
      <c r="B906" s="120"/>
      <c r="C906" s="120"/>
      <c r="D906" s="120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</row>
    <row r="907" ht="15.75" customHeight="1">
      <c r="A907" s="120"/>
      <c r="B907" s="120"/>
      <c r="C907" s="120"/>
      <c r="D907" s="120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</row>
    <row r="908" ht="15.75" customHeight="1">
      <c r="A908" s="120"/>
      <c r="B908" s="120"/>
      <c r="C908" s="120"/>
      <c r="D908" s="120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</row>
    <row r="909" ht="15.75" customHeight="1">
      <c r="A909" s="120"/>
      <c r="B909" s="120"/>
      <c r="C909" s="120"/>
      <c r="D909" s="120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</row>
    <row r="910" ht="15.75" customHeight="1">
      <c r="A910" s="120"/>
      <c r="B910" s="120"/>
      <c r="C910" s="120"/>
      <c r="D910" s="120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</row>
    <row r="911" ht="15.75" customHeight="1">
      <c r="A911" s="120"/>
      <c r="B911" s="120"/>
      <c r="C911" s="120"/>
      <c r="D911" s="120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</row>
    <row r="912" ht="15.75" customHeight="1">
      <c r="A912" s="120"/>
      <c r="B912" s="120"/>
      <c r="C912" s="120"/>
      <c r="D912" s="120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</row>
    <row r="913" ht="15.75" customHeight="1">
      <c r="A913" s="120"/>
      <c r="B913" s="120"/>
      <c r="C913" s="120"/>
      <c r="D913" s="120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</row>
    <row r="914" ht="15.75" customHeight="1">
      <c r="A914" s="120"/>
      <c r="B914" s="120"/>
      <c r="C914" s="120"/>
      <c r="D914" s="120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</row>
    <row r="915" ht="15.75" customHeight="1">
      <c r="A915" s="120"/>
      <c r="B915" s="120"/>
      <c r="C915" s="120"/>
      <c r="D915" s="120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</row>
    <row r="916" ht="15.75" customHeight="1">
      <c r="A916" s="120"/>
      <c r="B916" s="120"/>
      <c r="C916" s="120"/>
      <c r="D916" s="120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</row>
    <row r="917" ht="15.75" customHeight="1">
      <c r="A917" s="120"/>
      <c r="B917" s="120"/>
      <c r="C917" s="120"/>
      <c r="D917" s="120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</row>
    <row r="918" ht="15.75" customHeight="1">
      <c r="A918" s="120"/>
      <c r="B918" s="120"/>
      <c r="C918" s="120"/>
      <c r="D918" s="120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</row>
    <row r="919" ht="15.75" customHeight="1">
      <c r="A919" s="120"/>
      <c r="B919" s="120"/>
      <c r="C919" s="120"/>
      <c r="D919" s="120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</row>
    <row r="920" ht="15.75" customHeight="1">
      <c r="A920" s="120"/>
      <c r="B920" s="120"/>
      <c r="C920" s="120"/>
      <c r="D920" s="120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</row>
    <row r="921" ht="15.75" customHeight="1">
      <c r="A921" s="120"/>
      <c r="B921" s="120"/>
      <c r="C921" s="120"/>
      <c r="D921" s="120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</row>
    <row r="922" ht="15.75" customHeight="1">
      <c r="A922" s="120"/>
      <c r="B922" s="120"/>
      <c r="C922" s="120"/>
      <c r="D922" s="120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</row>
    <row r="923" ht="15.75" customHeight="1">
      <c r="A923" s="120"/>
      <c r="B923" s="120"/>
      <c r="C923" s="120"/>
      <c r="D923" s="120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</row>
    <row r="924" ht="15.75" customHeight="1">
      <c r="A924" s="120"/>
      <c r="B924" s="120"/>
      <c r="C924" s="120"/>
      <c r="D924" s="120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</row>
    <row r="925" ht="15.75" customHeight="1">
      <c r="A925" s="120"/>
      <c r="B925" s="120"/>
      <c r="C925" s="120"/>
      <c r="D925" s="120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</row>
    <row r="926" ht="15.75" customHeight="1">
      <c r="A926" s="120"/>
      <c r="B926" s="120"/>
      <c r="C926" s="120"/>
      <c r="D926" s="120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</row>
    <row r="927" ht="15.75" customHeight="1">
      <c r="A927" s="120"/>
      <c r="B927" s="120"/>
      <c r="C927" s="120"/>
      <c r="D927" s="120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</row>
    <row r="928" ht="15.75" customHeight="1">
      <c r="A928" s="120"/>
      <c r="B928" s="120"/>
      <c r="C928" s="120"/>
      <c r="D928" s="120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</row>
    <row r="929" ht="15.75" customHeight="1">
      <c r="A929" s="120"/>
      <c r="B929" s="120"/>
      <c r="C929" s="120"/>
      <c r="D929" s="120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</row>
    <row r="930" ht="15.75" customHeight="1">
      <c r="A930" s="120"/>
      <c r="B930" s="120"/>
      <c r="C930" s="120"/>
      <c r="D930" s="120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</row>
    <row r="931" ht="15.75" customHeight="1">
      <c r="A931" s="120"/>
      <c r="B931" s="120"/>
      <c r="C931" s="120"/>
      <c r="D931" s="120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</row>
    <row r="932" ht="15.75" customHeight="1">
      <c r="A932" s="120"/>
      <c r="B932" s="120"/>
      <c r="C932" s="120"/>
      <c r="D932" s="120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</row>
    <row r="933" ht="15.75" customHeight="1">
      <c r="A933" s="120"/>
      <c r="B933" s="120"/>
      <c r="C933" s="120"/>
      <c r="D933" s="120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</row>
    <row r="934" ht="15.75" customHeight="1">
      <c r="A934" s="120"/>
      <c r="B934" s="120"/>
      <c r="C934" s="120"/>
      <c r="D934" s="120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</row>
    <row r="935" ht="15.75" customHeight="1">
      <c r="A935" s="120"/>
      <c r="B935" s="120"/>
      <c r="C935" s="120"/>
      <c r="D935" s="120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</row>
    <row r="936" ht="15.75" customHeight="1">
      <c r="A936" s="120"/>
      <c r="B936" s="120"/>
      <c r="C936" s="120"/>
      <c r="D936" s="120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</row>
    <row r="937" ht="15.75" customHeight="1">
      <c r="A937" s="120"/>
      <c r="B937" s="120"/>
      <c r="C937" s="120"/>
      <c r="D937" s="120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</row>
    <row r="938" ht="15.75" customHeight="1">
      <c r="A938" s="120"/>
      <c r="B938" s="120"/>
      <c r="C938" s="120"/>
      <c r="D938" s="120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</row>
    <row r="939" ht="15.75" customHeight="1">
      <c r="A939" s="120"/>
      <c r="B939" s="120"/>
      <c r="C939" s="120"/>
      <c r="D939" s="120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</row>
    <row r="940" ht="15.75" customHeight="1">
      <c r="A940" s="120"/>
      <c r="B940" s="120"/>
      <c r="C940" s="120"/>
      <c r="D940" s="120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</row>
    <row r="941" ht="15.75" customHeight="1">
      <c r="A941" s="120"/>
      <c r="B941" s="120"/>
      <c r="C941" s="120"/>
      <c r="D941" s="120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</row>
    <row r="942" ht="15.75" customHeight="1">
      <c r="A942" s="120"/>
      <c r="B942" s="120"/>
      <c r="C942" s="120"/>
      <c r="D942" s="120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</row>
    <row r="943" ht="15.75" customHeight="1">
      <c r="A943" s="120"/>
      <c r="B943" s="120"/>
      <c r="C943" s="120"/>
      <c r="D943" s="120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</row>
    <row r="944" ht="15.75" customHeight="1">
      <c r="A944" s="120"/>
      <c r="B944" s="120"/>
      <c r="C944" s="120"/>
      <c r="D944" s="120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</row>
    <row r="945" ht="15.75" customHeight="1">
      <c r="A945" s="120"/>
      <c r="B945" s="120"/>
      <c r="C945" s="120"/>
      <c r="D945" s="120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</row>
    <row r="946" ht="15.75" customHeight="1">
      <c r="A946" s="120"/>
      <c r="B946" s="120"/>
      <c r="C946" s="120"/>
      <c r="D946" s="120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</row>
    <row r="947" ht="15.75" customHeight="1">
      <c r="A947" s="120"/>
      <c r="B947" s="120"/>
      <c r="C947" s="120"/>
      <c r="D947" s="120"/>
      <c r="E947" s="120"/>
      <c r="F947" s="120"/>
      <c r="G947" s="120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</row>
    <row r="948" ht="15.75" customHeight="1">
      <c r="A948" s="120"/>
      <c r="B948" s="120"/>
      <c r="C948" s="120"/>
      <c r="D948" s="120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</row>
    <row r="949" ht="15.75" customHeight="1">
      <c r="A949" s="120"/>
      <c r="B949" s="120"/>
      <c r="C949" s="120"/>
      <c r="D949" s="120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</row>
    <row r="950" ht="15.75" customHeight="1">
      <c r="A950" s="120"/>
      <c r="B950" s="120"/>
      <c r="C950" s="120"/>
      <c r="D950" s="120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</row>
    <row r="951" ht="15.75" customHeight="1">
      <c r="A951" s="120"/>
      <c r="B951" s="120"/>
      <c r="C951" s="120"/>
      <c r="D951" s="120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</row>
    <row r="952" ht="15.75" customHeight="1">
      <c r="A952" s="120"/>
      <c r="B952" s="120"/>
      <c r="C952" s="120"/>
      <c r="D952" s="120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</row>
    <row r="953" ht="15.75" customHeight="1">
      <c r="A953" s="120"/>
      <c r="B953" s="120"/>
      <c r="C953" s="120"/>
      <c r="D953" s="120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</row>
    <row r="954" ht="15.75" customHeight="1">
      <c r="A954" s="120"/>
      <c r="B954" s="120"/>
      <c r="C954" s="120"/>
      <c r="D954" s="120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</row>
    <row r="955" ht="15.75" customHeight="1">
      <c r="A955" s="120"/>
      <c r="B955" s="120"/>
      <c r="C955" s="120"/>
      <c r="D955" s="120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</row>
    <row r="956" ht="15.75" customHeight="1">
      <c r="A956" s="120"/>
      <c r="B956" s="120"/>
      <c r="C956" s="120"/>
      <c r="D956" s="120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</row>
    <row r="957" ht="15.75" customHeight="1">
      <c r="A957" s="120"/>
      <c r="B957" s="120"/>
      <c r="C957" s="120"/>
      <c r="D957" s="120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</row>
    <row r="958" ht="15.75" customHeight="1">
      <c r="A958" s="120"/>
      <c r="B958" s="120"/>
      <c r="C958" s="120"/>
      <c r="D958" s="120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</row>
    <row r="959" ht="15.75" customHeight="1">
      <c r="A959" s="120"/>
      <c r="B959" s="120"/>
      <c r="C959" s="120"/>
      <c r="D959" s="120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</row>
    <row r="960" ht="15.75" customHeight="1">
      <c r="A960" s="120"/>
      <c r="B960" s="120"/>
      <c r="C960" s="120"/>
      <c r="D960" s="120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</row>
    <row r="961" ht="15.75" customHeight="1">
      <c r="A961" s="120"/>
      <c r="B961" s="120"/>
      <c r="C961" s="120"/>
      <c r="D961" s="120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</row>
    <row r="962" ht="15.75" customHeight="1">
      <c r="A962" s="120"/>
      <c r="B962" s="120"/>
      <c r="C962" s="120"/>
      <c r="D962" s="120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</row>
    <row r="963" ht="15.75" customHeight="1">
      <c r="A963" s="120"/>
      <c r="B963" s="120"/>
      <c r="C963" s="120"/>
      <c r="D963" s="120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</row>
    <row r="964" ht="15.75" customHeight="1">
      <c r="A964" s="120"/>
      <c r="B964" s="120"/>
      <c r="C964" s="120"/>
      <c r="D964" s="120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</row>
    <row r="965" ht="15.75" customHeight="1">
      <c r="A965" s="120"/>
      <c r="B965" s="120"/>
      <c r="C965" s="120"/>
      <c r="D965" s="120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</row>
    <row r="966" ht="15.75" customHeight="1">
      <c r="A966" s="120"/>
      <c r="B966" s="120"/>
      <c r="C966" s="120"/>
      <c r="D966" s="120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</row>
    <row r="967" ht="15.75" customHeight="1">
      <c r="A967" s="120"/>
      <c r="B967" s="120"/>
      <c r="C967" s="120"/>
      <c r="D967" s="120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</row>
    <row r="968" ht="15.75" customHeight="1">
      <c r="A968" s="120"/>
      <c r="B968" s="120"/>
      <c r="C968" s="120"/>
      <c r="D968" s="120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</row>
    <row r="969" ht="15.75" customHeight="1">
      <c r="A969" s="120"/>
      <c r="B969" s="120"/>
      <c r="C969" s="120"/>
      <c r="D969" s="120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</row>
    <row r="970" ht="15.75" customHeight="1">
      <c r="A970" s="120"/>
      <c r="B970" s="120"/>
      <c r="C970" s="120"/>
      <c r="D970" s="120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</row>
    <row r="971" ht="15.75" customHeight="1">
      <c r="A971" s="120"/>
      <c r="B971" s="120"/>
      <c r="C971" s="120"/>
      <c r="D971" s="120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</row>
    <row r="972" ht="15.75" customHeight="1">
      <c r="A972" s="120"/>
      <c r="B972" s="120"/>
      <c r="C972" s="120"/>
      <c r="D972" s="120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</row>
    <row r="973" ht="15.75" customHeight="1">
      <c r="A973" s="120"/>
      <c r="B973" s="120"/>
      <c r="C973" s="120"/>
      <c r="D973" s="120"/>
      <c r="E973" s="120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</row>
    <row r="974" ht="15.75" customHeight="1">
      <c r="A974" s="120"/>
      <c r="B974" s="120"/>
      <c r="C974" s="120"/>
      <c r="D974" s="120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</row>
    <row r="975" ht="15.75" customHeight="1">
      <c r="A975" s="120"/>
      <c r="B975" s="120"/>
      <c r="C975" s="120"/>
      <c r="D975" s="120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</row>
    <row r="976" ht="15.75" customHeight="1">
      <c r="A976" s="120"/>
      <c r="B976" s="120"/>
      <c r="C976" s="120"/>
      <c r="D976" s="120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</row>
    <row r="977" ht="15.75" customHeight="1">
      <c r="A977" s="120"/>
      <c r="B977" s="120"/>
      <c r="C977" s="120"/>
      <c r="D977" s="120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</row>
    <row r="978" ht="15.75" customHeight="1">
      <c r="A978" s="120"/>
      <c r="B978" s="120"/>
      <c r="C978" s="120"/>
      <c r="D978" s="120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</row>
    <row r="979" ht="15.75" customHeight="1">
      <c r="A979" s="120"/>
      <c r="B979" s="120"/>
      <c r="C979" s="120"/>
      <c r="D979" s="120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</row>
    <row r="980" ht="15.75" customHeight="1">
      <c r="A980" s="120"/>
      <c r="B980" s="120"/>
      <c r="C980" s="120"/>
      <c r="D980" s="120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</row>
    <row r="981" ht="15.75" customHeight="1">
      <c r="A981" s="120"/>
      <c r="B981" s="120"/>
      <c r="C981" s="120"/>
      <c r="D981" s="120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</row>
    <row r="982" ht="15.75" customHeight="1">
      <c r="A982" s="120"/>
      <c r="B982" s="120"/>
      <c r="C982" s="120"/>
      <c r="D982" s="120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</row>
    <row r="983" ht="15.75" customHeight="1">
      <c r="A983" s="120"/>
      <c r="B983" s="120"/>
      <c r="C983" s="120"/>
      <c r="D983" s="120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</row>
    <row r="984" ht="15.75" customHeight="1">
      <c r="A984" s="120"/>
      <c r="B984" s="120"/>
      <c r="C984" s="120"/>
      <c r="D984" s="120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</row>
    <row r="985" ht="15.75" customHeight="1">
      <c r="A985" s="120"/>
      <c r="B985" s="120"/>
      <c r="C985" s="120"/>
      <c r="D985" s="120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</row>
    <row r="986" ht="15.75" customHeight="1">
      <c r="A986" s="120"/>
      <c r="B986" s="120"/>
      <c r="C986" s="120"/>
      <c r="D986" s="120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</row>
    <row r="987" ht="15.75" customHeight="1">
      <c r="A987" s="120"/>
      <c r="B987" s="120"/>
      <c r="C987" s="120"/>
      <c r="D987" s="120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</row>
    <row r="988" ht="15.75" customHeight="1">
      <c r="A988" s="120"/>
      <c r="B988" s="120"/>
      <c r="C988" s="120"/>
      <c r="D988" s="120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</row>
    <row r="989" ht="15.75" customHeight="1">
      <c r="A989" s="120"/>
      <c r="B989" s="120"/>
      <c r="C989" s="120"/>
      <c r="D989" s="120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</row>
    <row r="990" ht="15.75" customHeight="1">
      <c r="A990" s="120"/>
      <c r="B990" s="120"/>
      <c r="C990" s="120"/>
      <c r="D990" s="120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</row>
    <row r="991" ht="15.75" customHeight="1">
      <c r="A991" s="120"/>
      <c r="B991" s="120"/>
      <c r="C991" s="120"/>
      <c r="D991" s="120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</row>
    <row r="992" ht="15.75" customHeight="1">
      <c r="A992" s="120"/>
      <c r="B992" s="120"/>
      <c r="C992" s="120"/>
      <c r="D992" s="120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</row>
    <row r="993" ht="15.75" customHeight="1">
      <c r="A993" s="120"/>
      <c r="B993" s="120"/>
      <c r="C993" s="120"/>
      <c r="D993" s="120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</row>
    <row r="994" ht="15.75" customHeight="1">
      <c r="A994" s="120"/>
      <c r="B994" s="120"/>
      <c r="C994" s="120"/>
      <c r="D994" s="120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</row>
    <row r="995" ht="15.75" customHeight="1">
      <c r="A995" s="120"/>
      <c r="B995" s="120"/>
      <c r="C995" s="120"/>
      <c r="D995" s="120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</row>
    <row r="996" ht="15.75" customHeight="1">
      <c r="A996" s="120"/>
      <c r="B996" s="120"/>
      <c r="C996" s="120"/>
      <c r="D996" s="120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</row>
    <row r="997" ht="15.75" customHeight="1">
      <c r="A997" s="120"/>
      <c r="B997" s="120"/>
      <c r="C997" s="120"/>
      <c r="D997" s="120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</row>
    <row r="998" ht="15.75" customHeight="1">
      <c r="A998" s="120"/>
      <c r="B998" s="120"/>
      <c r="C998" s="120"/>
      <c r="D998" s="120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</row>
    <row r="999" ht="15.75" customHeight="1">
      <c r="A999" s="120"/>
      <c r="B999" s="120"/>
      <c r="C999" s="120"/>
      <c r="D999" s="120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</row>
    <row r="1000" ht="15.75" customHeight="1">
      <c r="A1000" s="120"/>
      <c r="B1000" s="120"/>
      <c r="C1000" s="120"/>
      <c r="D1000" s="120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</row>
  </sheetData>
  <mergeCells count="1">
    <mergeCell ref="D4:O4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1.57"/>
    <col customWidth="1" min="4" max="4" width="10.14"/>
    <col customWidth="1" min="5" max="5" width="16.0"/>
    <col customWidth="1" min="6" max="6" width="16.29"/>
    <col customWidth="1" min="7" max="7" width="11.57"/>
    <col customWidth="1" min="8" max="8" width="15.86"/>
    <col customWidth="1" min="9" max="9" width="16.43"/>
    <col customWidth="1" min="10" max="26" width="11.57"/>
  </cols>
  <sheetData>
    <row r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>
      <c r="A2" s="120"/>
      <c r="B2" s="126" t="s">
        <v>135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>
      <c r="A3" s="120"/>
      <c r="B3" s="120" t="s">
        <v>136</v>
      </c>
      <c r="C3" s="120"/>
      <c r="D3" s="127">
        <f>'GES AVANT NOTIFICATION'!AX45</f>
        <v>2832.01059</v>
      </c>
      <c r="E3" s="120" t="s">
        <v>137</v>
      </c>
      <c r="F3" s="120"/>
      <c r="G3" s="128">
        <f>D3/5/AVERAGE('SUIVI RABAIS PRODUCTION ET C '!D9:H9)</f>
        <v>1.721586985</v>
      </c>
      <c r="H3" s="120" t="s">
        <v>138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>
      <c r="A4" s="120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</row>
    <row r="5">
      <c r="A5" s="120"/>
      <c r="B5" s="120" t="s">
        <v>139</v>
      </c>
      <c r="C5" s="120"/>
      <c r="D5" s="129">
        <f>'GES APRES NOTIFICATION '!AX45</f>
        <v>466.3266984</v>
      </c>
      <c r="E5" s="120" t="s">
        <v>137</v>
      </c>
      <c r="F5" s="120"/>
      <c r="G5" s="128">
        <f>D5/5/AVERAGE('SUIVI RABAIS PRODUCTION ET C '!O9:S9)</f>
        <v>0.2800760951</v>
      </c>
      <c r="H5" s="120" t="s">
        <v>138</v>
      </c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</row>
    <row r="6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</row>
    <row r="7">
      <c r="A7" s="120"/>
      <c r="B7" s="130" t="s">
        <v>140</v>
      </c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</row>
    <row r="8">
      <c r="A8" s="120"/>
      <c r="G8" s="131">
        <f>G3-G5</f>
        <v>1.441510889</v>
      </c>
      <c r="H8" s="120" t="s">
        <v>138</v>
      </c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</row>
    <row r="9">
      <c r="A9" s="120"/>
      <c r="B9" s="130"/>
      <c r="C9" s="130"/>
      <c r="D9" s="130"/>
      <c r="E9" s="130"/>
      <c r="F9" s="130"/>
      <c r="G9" s="120"/>
      <c r="H9" s="120"/>
      <c r="I9" s="120"/>
      <c r="J9" s="120"/>
      <c r="K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</row>
    <row r="10">
      <c r="A10" s="120"/>
      <c r="B10" s="120"/>
      <c r="C10" s="120"/>
      <c r="D10" s="120"/>
      <c r="E10" s="132" t="s">
        <v>141</v>
      </c>
      <c r="F10" s="133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</row>
    <row r="11">
      <c r="A11" s="120"/>
      <c r="B11" s="120" t="s">
        <v>142</v>
      </c>
      <c r="C11" s="120"/>
      <c r="D11" s="120"/>
      <c r="E11" s="134" t="str">
        <f>IF(G11&gt;=0.3,"O","N")</f>
        <v>O</v>
      </c>
      <c r="F11" s="120"/>
      <c r="G11" s="135">
        <f>(SUM('GES AVANT NOTIFICATION'!E24,'GES AVANT NOTIFICATION'!I24,'GES AVANT NOTIFICATION'!M24,'GES AVANT NOTIFICATION'!Q24,'GES AVANT NOTIFICATION'!U24,'GES AVANT NOTIFICATION'!Y24,'GES AVANT NOTIFICATION'!BD24,'GES AVANT NOTIFICATION'!BS24,'GES AVANT NOTIFICATION'!CC24)-SUM('GES APRES NOTIFICATION '!E24,'GES APRES NOTIFICATION '!I24,'GES APRES NOTIFICATION '!M24,'GES APRES NOTIFICATION '!Q24,'GES APRES NOTIFICATION '!U24,'GES APRES NOTIFICATION '!Y24,'GES APRES NOTIFICATION '!BD24,'GES APRES NOTIFICATION '!BS24,'GES APRES NOTIFICATION '!CC24))/SUM('GES AVANT NOTIFICATION'!E24,'GES AVANT NOTIFICATION'!I24,'GES AVANT NOTIFICATION'!M24,'GES AVANT NOTIFICATION'!Q24,'GES AVANT NOTIFICATION'!U24,'GES AVANT NOTIFICATION'!Y24,'GES AVANT NOTIFICATION'!BD24,'GES AVANT NOTIFICATION'!BS24,'GES AVANT NOTIFICATION'!CC24)</f>
        <v>0.8012333966</v>
      </c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</row>
    <row r="12">
      <c r="A12" s="120"/>
      <c r="B12" s="126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</row>
    <row r="13">
      <c r="A13" s="120"/>
      <c r="B13" s="126" t="s">
        <v>143</v>
      </c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36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</row>
    <row r="14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</row>
    <row r="15">
      <c r="A15" s="120"/>
      <c r="B15" s="126"/>
      <c r="C15" s="120"/>
      <c r="D15" s="120"/>
      <c r="E15" s="132" t="s">
        <v>144</v>
      </c>
      <c r="F15" s="120"/>
      <c r="G15" s="132" t="s">
        <v>145</v>
      </c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</row>
    <row r="16">
      <c r="A16" s="120"/>
      <c r="B16" s="120" t="s">
        <v>146</v>
      </c>
      <c r="C16" s="120"/>
      <c r="D16" s="120"/>
      <c r="E16" s="134" t="str">
        <f>IF('CO-BENEFICES '!L22="le co-bénéfice préservation de la ressource en eau n'est pas effectif", "N", "O")</f>
        <v>O</v>
      </c>
      <c r="F16" s="120"/>
      <c r="G16" s="137">
        <f>'CO-BENEFICES '!P26</f>
        <v>0</v>
      </c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</row>
    <row r="17">
      <c r="A17" s="120"/>
      <c r="B17" s="120" t="s">
        <v>147</v>
      </c>
      <c r="C17" s="120"/>
      <c r="D17" s="120"/>
      <c r="E17" s="134" t="str">
        <f>IF(AND('CO-BENEFICES '!M13="les co-bénéfices basés sur les herbicides ne sont pas validés", 'CO-BENEFICES '!M16="les co-bénéfices basés sur les non-herbicides ne sont pas validés"), "N", "O")</f>
        <v>O</v>
      </c>
      <c r="F17" s="120"/>
      <c r="G17" s="134">
        <f>IF(E17="N", "/", 'CO-BENEFICES '!R18+'CO-BENEFICES '!R19)</f>
        <v>32</v>
      </c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</row>
    <row r="18">
      <c r="A18" s="120"/>
      <c r="B18" s="120" t="s">
        <v>148</v>
      </c>
      <c r="C18" s="120"/>
      <c r="D18" s="120"/>
      <c r="E18" s="134" t="str">
        <f>IF(AND('CO-BENEFICES '!M13="les co-bénéfices basés sur les herbicides ne sont pas validés", 'CO-BENEFICES '!M16="les co-bénéfices basés sur les non-herbicides ne sont pas validés"), "N", "O")</f>
        <v>O</v>
      </c>
      <c r="F18" s="120"/>
      <c r="G18" s="138">
        <f>IF(E18="N", "/", 'CO-BENEFICES '!R18+'CO-BENEFICES '!R19)</f>
        <v>32</v>
      </c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</row>
    <row r="19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</row>
    <row r="20">
      <c r="A20" s="120"/>
      <c r="B20" s="126" t="s">
        <v>149</v>
      </c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</row>
    <row r="21" ht="15.75" customHeight="1">
      <c r="A21" s="120"/>
      <c r="B21" s="126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</row>
    <row r="22" ht="17.25" customHeight="1">
      <c r="A22" s="120"/>
      <c r="B22" s="120" t="s">
        <v>150</v>
      </c>
      <c r="C22" s="120"/>
      <c r="D22" s="120"/>
      <c r="E22" s="134" t="str">
        <f>'SUIVI RABAIS PRODUCTION ET C '!C75</f>
        <v>Rabais</v>
      </c>
      <c r="F22" s="120"/>
      <c r="G22" s="135">
        <f>'SUIVI RABAIS PRODUCTION ET C '!D75</f>
        <v>-0.2444444444</v>
      </c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</row>
    <row r="23" ht="15.75" customHeight="1">
      <c r="A23" s="120"/>
      <c r="B23" s="126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</row>
    <row r="24" ht="15.75" customHeight="1">
      <c r="A24" s="120"/>
      <c r="B24" s="120"/>
      <c r="C24" s="120"/>
      <c r="D24" s="120"/>
      <c r="E24" s="132" t="s">
        <v>151</v>
      </c>
      <c r="F24" s="132"/>
      <c r="G24" s="132" t="s">
        <v>152</v>
      </c>
      <c r="H24" s="120"/>
      <c r="I24" s="120"/>
      <c r="J24" s="120"/>
      <c r="K24" s="120"/>
      <c r="L24" s="120"/>
      <c r="O24" s="139"/>
      <c r="P24" s="140"/>
      <c r="Q24" s="139"/>
      <c r="R24" s="139"/>
      <c r="S24" s="139"/>
      <c r="T24" s="120"/>
      <c r="U24" s="120"/>
      <c r="V24" s="120"/>
      <c r="W24" s="120"/>
      <c r="X24" s="120"/>
      <c r="Y24" s="120"/>
      <c r="Z24" s="120"/>
    </row>
    <row r="25" ht="15.75" customHeight="1">
      <c r="A25" s="120"/>
      <c r="B25" s="120" t="s">
        <v>153</v>
      </c>
      <c r="C25" s="120"/>
      <c r="D25" s="120"/>
      <c r="E25" s="134" t="str">
        <f>IF('SUIVI RABAIS PRODUCTION ET C '!M64="O","Rabais","/")</f>
        <v>/</v>
      </c>
      <c r="F25" s="120"/>
      <c r="G25" s="135">
        <f>IF('SUIVI RABAIS PRODUCTION ET C '!M64="O", -20%, 0)</f>
        <v>0</v>
      </c>
      <c r="H25" s="141"/>
      <c r="I25" s="120"/>
      <c r="J25" s="120"/>
      <c r="K25" s="120"/>
      <c r="L25" s="141"/>
      <c r="P25" s="142"/>
      <c r="T25" s="120"/>
      <c r="U25" s="120"/>
      <c r="V25" s="120"/>
      <c r="W25" s="120"/>
      <c r="X25" s="120"/>
      <c r="Y25" s="120"/>
      <c r="Z25" s="120"/>
    </row>
    <row r="26" ht="15.75" customHeight="1">
      <c r="A26" s="120"/>
      <c r="B26" s="120" t="s">
        <v>154</v>
      </c>
      <c r="C26" s="120"/>
      <c r="D26" s="120"/>
      <c r="E26" s="134" t="str">
        <f>IF('SUIVI RABAIS PRODUCTION ET C '!M66="O","Rabais","/")</f>
        <v>/</v>
      </c>
      <c r="F26" s="120"/>
      <c r="G26" s="135">
        <f>IF('SUIVI RABAIS PRODUCTION ET C '!M66="O", -20%, 0)</f>
        <v>0</v>
      </c>
      <c r="H26" s="141"/>
      <c r="I26" s="120"/>
      <c r="J26" s="120"/>
      <c r="K26" s="120"/>
      <c r="L26" s="141"/>
      <c r="P26" s="142"/>
      <c r="T26" s="120"/>
      <c r="U26" s="120"/>
      <c r="V26" s="120"/>
      <c r="W26" s="120"/>
      <c r="X26" s="120"/>
      <c r="Y26" s="120"/>
      <c r="Z26" s="120"/>
    </row>
    <row r="27" ht="15.75" customHeight="1">
      <c r="A27" s="120"/>
      <c r="B27" s="120" t="s">
        <v>155</v>
      </c>
      <c r="C27" s="120"/>
      <c r="D27" s="120"/>
      <c r="E27" s="138" t="str">
        <f>'SUIVI RABAIS PRODUCTION ET C '!AN21</f>
        <v>Rabais</v>
      </c>
      <c r="F27" s="120" t="str">
        <f>'SUIVI RABAIS PRODUCTION ET C '!AN21</f>
        <v>Rabais</v>
      </c>
      <c r="G27" s="135">
        <f>IF('SUIVI RABAIS PRODUCTION ET C '!AN21="Ni rabais ni bonus",0,'SUIVI RABAIS PRODUCTION ET C '!AO21)</f>
        <v>-0.2444444444</v>
      </c>
      <c r="H27" s="141"/>
      <c r="I27" s="120"/>
      <c r="J27" s="120"/>
      <c r="K27" s="120"/>
      <c r="L27" s="141"/>
      <c r="P27" s="142"/>
      <c r="T27" s="120"/>
      <c r="U27" s="120"/>
      <c r="V27" s="120"/>
      <c r="W27" s="120"/>
      <c r="X27" s="120"/>
      <c r="Y27" s="120"/>
      <c r="Z27" s="120"/>
    </row>
    <row r="28" ht="15.75" customHeight="1">
      <c r="A28" s="120"/>
      <c r="B28" s="120" t="s">
        <v>156</v>
      </c>
      <c r="C28" s="120"/>
      <c r="D28" s="120"/>
      <c r="E28" s="134" t="str">
        <f>'SUIVI RABAIS PRODUCTION ET C '!I54</f>
        <v>Ni rabais ni bonus</v>
      </c>
      <c r="F28" s="120" t="str">
        <f>'SUIVI RABAIS PRODUCTION ET C '!I54</f>
        <v>Ni rabais ni bonus</v>
      </c>
      <c r="G28" s="135">
        <f>IF(E28="Rabais",-'SUIVI RABAIS PRODUCTION ET C '!J54,IF(RECAPITULATIF!E28="Bonus",'SUIVI RABAIS PRODUCTION ET C '!J54,0))</f>
        <v>0</v>
      </c>
      <c r="H28" s="141"/>
      <c r="I28" s="120"/>
      <c r="J28" s="120"/>
      <c r="K28" s="120"/>
      <c r="L28" s="141"/>
      <c r="P28" s="142"/>
      <c r="T28" s="120"/>
      <c r="U28" s="120"/>
      <c r="V28" s="120"/>
      <c r="W28" s="120"/>
      <c r="X28" s="120"/>
      <c r="Y28" s="120"/>
      <c r="Z28" s="120"/>
    </row>
    <row r="29" ht="15.75" customHeight="1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41"/>
      <c r="S29" s="120"/>
      <c r="T29" s="120"/>
      <c r="U29" s="120"/>
      <c r="V29" s="120"/>
      <c r="W29" s="120"/>
      <c r="X29" s="120"/>
      <c r="Y29" s="120"/>
      <c r="Z29" s="120"/>
    </row>
    <row r="30" ht="15.75" customHeight="1">
      <c r="A30" s="120"/>
      <c r="B30" s="126" t="s">
        <v>157</v>
      </c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41"/>
      <c r="S30" s="120"/>
      <c r="T30" s="120"/>
      <c r="U30" s="120"/>
      <c r="V30" s="120"/>
      <c r="W30" s="120"/>
      <c r="X30" s="120"/>
      <c r="Y30" s="120"/>
      <c r="Z30" s="120"/>
    </row>
    <row r="31" ht="15.75" customHeight="1">
      <c r="A31" s="120"/>
      <c r="B31" s="120" t="str">
        <f>IF(AND(E11="O",E16="O",E17="O",E18="O"),"Les réductions d'émissions sont validables et atteignent","Les réductions d'émissions ne sont pas validables")</f>
        <v>Les réductions d'émissions sont validables et atteignent</v>
      </c>
      <c r="C31" s="120"/>
      <c r="D31" s="120"/>
      <c r="E31" s="120"/>
      <c r="F31" s="120"/>
      <c r="G31" s="134">
        <f>IF(B31="Les réductions d'émissions ne sont pas validables", "/", (D3-D5)*(1+G25)*(1+G26)*(1+G27)*(1+G28))</f>
        <v>1787.405607</v>
      </c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41"/>
      <c r="S31" s="120"/>
      <c r="T31" s="120"/>
      <c r="U31" s="120"/>
      <c r="V31" s="120"/>
      <c r="W31" s="120"/>
      <c r="X31" s="120"/>
      <c r="Y31" s="120"/>
      <c r="Z31" s="120"/>
    </row>
    <row r="32" ht="15.75" customHeight="1">
      <c r="A32" s="120"/>
      <c r="B32" s="120"/>
      <c r="C32" s="120"/>
      <c r="D32" s="120"/>
      <c r="E32" s="120"/>
      <c r="F32" s="120"/>
      <c r="G32" s="143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</row>
    <row r="33" ht="15.75" customHeight="1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</row>
    <row r="34" ht="15.75" customHeight="1">
      <c r="A34" s="120"/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</row>
    <row r="35" ht="15.75" customHeight="1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</row>
    <row r="36" ht="15.75" customHeight="1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</row>
    <row r="37" ht="15.75" customHeight="1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</row>
    <row r="38" ht="15.75" customHeight="1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</row>
    <row r="39" ht="15.75" customHeight="1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</row>
    <row r="40" ht="15.75" customHeight="1">
      <c r="A40" s="120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</row>
    <row r="41" ht="15.75" customHeight="1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</row>
    <row r="42" ht="15.75" customHeight="1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</row>
    <row r="43" ht="15.75" customHeight="1">
      <c r="A43" s="120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</row>
    <row r="44" ht="15.75" customHeight="1">
      <c r="A44" s="120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</row>
    <row r="45" ht="15.75" customHeight="1">
      <c r="A45" s="120"/>
      <c r="B45" s="120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</row>
    <row r="46" ht="15.75" customHeight="1">
      <c r="A46" s="120"/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</row>
    <row r="47" ht="15.75" customHeight="1">
      <c r="A47" s="120"/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</row>
    <row r="48" ht="15.75" customHeight="1">
      <c r="A48" s="12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</row>
    <row r="49" ht="15.75" customHeight="1">
      <c r="A49" s="120"/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</row>
    <row r="50" ht="15.75" customHeight="1">
      <c r="A50" s="120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</row>
    <row r="51" ht="15.75" customHeight="1">
      <c r="A51" s="120"/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</row>
    <row r="52" ht="15.75" customHeight="1">
      <c r="A52" s="120"/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</row>
    <row r="53" ht="15.75" customHeight="1">
      <c r="A53" s="120"/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</row>
    <row r="54" ht="15.75" customHeight="1">
      <c r="A54" s="120"/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</row>
    <row r="55" ht="15.75" customHeight="1">
      <c r="A55" s="120"/>
      <c r="B55" s="120"/>
      <c r="C55" s="120"/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</row>
    <row r="56" ht="15.75" customHeight="1">
      <c r="A56" s="120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</row>
    <row r="57" ht="15.75" customHeight="1">
      <c r="A57" s="120"/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</row>
    <row r="58" ht="15.75" customHeight="1">
      <c r="A58" s="120"/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</row>
    <row r="59" ht="15.75" customHeight="1">
      <c r="A59" s="120"/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</row>
    <row r="60" ht="15.75" customHeight="1">
      <c r="A60" s="120"/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</row>
    <row r="61" ht="15.75" customHeight="1">
      <c r="A61" s="120"/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</row>
    <row r="62" ht="15.75" customHeight="1">
      <c r="A62" s="120"/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</row>
    <row r="63" ht="15.75" customHeight="1">
      <c r="A63" s="120"/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ht="15.75" customHeight="1">
      <c r="A64" s="120"/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</row>
    <row r="65" ht="15.75" customHeight="1">
      <c r="A65" s="120"/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ht="15.75" customHeight="1">
      <c r="A66" s="120"/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</row>
    <row r="67" ht="15.75" customHeight="1">
      <c r="A67" s="120"/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</row>
    <row r="68" ht="15.75" customHeight="1">
      <c r="A68" s="120"/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</row>
    <row r="69" ht="15.75" customHeight="1">
      <c r="A69" s="120"/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ht="15.75" customHeight="1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</row>
    <row r="71" ht="15.75" customHeight="1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</row>
    <row r="72" ht="15.75" customHeight="1">
      <c r="A72" s="120"/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</row>
    <row r="73" ht="15.75" customHeight="1">
      <c r="A73" s="120"/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</row>
    <row r="74" ht="15.75" customHeight="1">
      <c r="A74" s="120"/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</row>
    <row r="75" ht="15.75" customHeight="1">
      <c r="A75" s="120"/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</row>
    <row r="76" ht="15.75" customHeight="1">
      <c r="A76" s="120"/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</row>
    <row r="77" ht="15.75" customHeight="1">
      <c r="A77" s="120"/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</row>
    <row r="78" ht="15.75" customHeight="1">
      <c r="A78" s="120"/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</row>
    <row r="79" ht="15.75" customHeight="1">
      <c r="A79" s="120"/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</row>
    <row r="80" ht="15.75" customHeight="1">
      <c r="A80" s="120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</row>
    <row r="81" ht="15.75" customHeight="1">
      <c r="A81" s="120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</row>
    <row r="82" ht="15.75" customHeight="1">
      <c r="A82" s="120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</row>
    <row r="83" ht="15.75" customHeight="1">
      <c r="A83" s="120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ht="15.75" customHeight="1">
      <c r="A84" s="120"/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</row>
    <row r="85" ht="15.75" customHeight="1">
      <c r="A85" s="120"/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</row>
    <row r="86" ht="15.75" customHeight="1">
      <c r="A86" s="120"/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</row>
    <row r="87" ht="15.75" customHeight="1">
      <c r="A87" s="120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</row>
    <row r="88" ht="15.75" customHeight="1">
      <c r="A88" s="120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</row>
    <row r="89" ht="15.75" customHeight="1">
      <c r="A89" s="120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</row>
    <row r="90" ht="15.75" customHeight="1">
      <c r="A90" s="120"/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</row>
    <row r="91" ht="15.75" customHeight="1">
      <c r="A91" s="120"/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</row>
    <row r="92" ht="15.75" customHeight="1">
      <c r="A92" s="120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</row>
    <row r="93" ht="15.75" customHeight="1">
      <c r="A93" s="120"/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</row>
    <row r="94" ht="15.75" customHeight="1">
      <c r="A94" s="120"/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</row>
    <row r="95" ht="15.75" customHeight="1">
      <c r="A95" s="120"/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</row>
    <row r="96" ht="15.75" customHeight="1">
      <c r="A96" s="120"/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</row>
    <row r="97" ht="15.75" customHeight="1">
      <c r="A97" s="120"/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</row>
    <row r="98" ht="15.75" customHeight="1">
      <c r="A98" s="120"/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ht="15.75" customHeight="1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</row>
    <row r="100" ht="15.75" customHeight="1">
      <c r="A100" s="120"/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</row>
    <row r="101" ht="15.75" customHeight="1">
      <c r="A101" s="120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</row>
    <row r="102" ht="15.75" customHeight="1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</row>
    <row r="103" ht="15.75" customHeight="1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</row>
    <row r="104" ht="15.75" customHeight="1">
      <c r="A104" s="120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</row>
    <row r="105" ht="15.75" customHeight="1">
      <c r="A105" s="120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</row>
    <row r="106" ht="15.75" customHeight="1">
      <c r="A106" s="120"/>
      <c r="B106" s="120"/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</row>
    <row r="107" ht="15.75" customHeight="1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</row>
    <row r="108" ht="15.75" customHeight="1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</row>
    <row r="109" ht="15.75" customHeight="1">
      <c r="A109" s="120"/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</row>
    <row r="110" ht="15.75" customHeight="1">
      <c r="A110" s="120"/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</row>
    <row r="111" ht="15.75" customHeight="1">
      <c r="A111" s="120"/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</row>
    <row r="112" ht="15.75" customHeight="1">
      <c r="A112" s="120"/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</row>
    <row r="113" ht="15.75" customHeight="1">
      <c r="A113" s="120"/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</row>
    <row r="114" ht="15.75" customHeight="1">
      <c r="A114" s="120"/>
      <c r="B114" s="120"/>
      <c r="C114" s="120"/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</row>
    <row r="115" ht="15.75" customHeight="1">
      <c r="A115" s="120"/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</row>
    <row r="116" ht="15.75" customHeight="1">
      <c r="A116" s="120"/>
      <c r="B116" s="120"/>
      <c r="C116" s="120"/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</row>
    <row r="117" ht="15.75" customHeight="1">
      <c r="A117" s="120"/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</row>
    <row r="118" ht="15.75" customHeight="1">
      <c r="A118" s="120"/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ht="15.75" customHeight="1">
      <c r="A119" s="120"/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ht="15.75" customHeight="1">
      <c r="A120" s="120"/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ht="15.75" customHeight="1">
      <c r="A121" s="120"/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</row>
    <row r="122" ht="15.75" customHeight="1">
      <c r="A122" s="120"/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</row>
    <row r="123" ht="15.75" customHeight="1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</row>
    <row r="124" ht="15.75" customHeight="1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</row>
    <row r="125" ht="15.75" customHeight="1">
      <c r="A125" s="120"/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</row>
    <row r="126" ht="15.75" customHeight="1">
      <c r="A126" s="120"/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</row>
    <row r="127" ht="15.75" customHeight="1">
      <c r="A127" s="120"/>
      <c r="B127" s="120"/>
      <c r="C127" s="120"/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</row>
    <row r="128" ht="15.75" customHeight="1">
      <c r="A128" s="120"/>
      <c r="B128" s="120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</row>
    <row r="129" ht="15.75" customHeight="1">
      <c r="A129" s="120"/>
      <c r="B129" s="120"/>
      <c r="C129" s="120"/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</row>
    <row r="130" ht="15.75" customHeight="1">
      <c r="A130" s="120"/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</row>
    <row r="131" ht="15.75" customHeight="1">
      <c r="A131" s="120"/>
      <c r="B131" s="120"/>
      <c r="C131" s="120"/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</row>
    <row r="132" ht="15.75" customHeight="1">
      <c r="A132" s="120"/>
      <c r="B132" s="120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</row>
    <row r="133" ht="15.75" customHeight="1">
      <c r="A133" s="120"/>
      <c r="B133" s="120"/>
      <c r="C133" s="120"/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</row>
    <row r="134" ht="15.75" customHeight="1">
      <c r="A134" s="120"/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</row>
    <row r="135" ht="15.75" customHeight="1">
      <c r="A135" s="120"/>
      <c r="B135" s="12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</row>
    <row r="136" ht="15.75" customHeight="1">
      <c r="A136" s="120"/>
      <c r="B136" s="120"/>
      <c r="C136" s="120"/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</row>
    <row r="137" ht="15.75" customHeight="1">
      <c r="A137" s="120"/>
      <c r="B137" s="12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</row>
    <row r="138" ht="15.75" customHeight="1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</row>
    <row r="139" ht="15.75" customHeight="1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</row>
    <row r="140" ht="15.75" customHeight="1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</row>
    <row r="141" ht="15.75" customHeight="1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ht="15.75" customHeight="1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</row>
    <row r="143" ht="15.75" customHeight="1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</row>
    <row r="144" ht="15.75" customHeight="1">
      <c r="A144" s="120"/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</row>
    <row r="145" ht="15.75" customHeight="1">
      <c r="A145" s="120"/>
      <c r="B145" s="120"/>
      <c r="C145" s="120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</row>
    <row r="146" ht="15.75" customHeight="1">
      <c r="A146" s="120"/>
      <c r="B146" s="120"/>
      <c r="C146" s="120"/>
      <c r="D146" s="120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</row>
    <row r="147" ht="15.75" customHeight="1">
      <c r="A147" s="120"/>
      <c r="B147" s="120"/>
      <c r="C147" s="120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</row>
    <row r="148" ht="15.75" customHeight="1">
      <c r="A148" s="120"/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</row>
    <row r="149" ht="15.75" customHeight="1">
      <c r="A149" s="120"/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</row>
    <row r="150" ht="15.75" customHeight="1">
      <c r="A150" s="120"/>
      <c r="B150" s="120"/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</row>
    <row r="151" ht="15.75" customHeight="1">
      <c r="A151" s="120"/>
      <c r="B151" s="120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</row>
    <row r="152" ht="15.75" customHeight="1">
      <c r="A152" s="120"/>
      <c r="B152" s="120"/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</row>
    <row r="153" ht="15.75" customHeight="1">
      <c r="A153" s="120"/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</row>
    <row r="154" ht="15.75" customHeight="1">
      <c r="A154" s="120"/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</row>
    <row r="155" ht="15.75" customHeight="1">
      <c r="A155" s="120"/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</row>
    <row r="156" ht="15.75" customHeight="1">
      <c r="A156" s="120"/>
      <c r="B156" s="120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</row>
    <row r="157" ht="15.75" customHeight="1">
      <c r="A157" s="120"/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</row>
    <row r="158" ht="15.75" customHeight="1">
      <c r="A158" s="120"/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</row>
    <row r="159" ht="15.75" customHeight="1">
      <c r="A159" s="120"/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</row>
    <row r="160" ht="15.75" customHeight="1">
      <c r="A160" s="120"/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</row>
    <row r="161" ht="15.75" customHeight="1">
      <c r="A161" s="120"/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</row>
    <row r="162" ht="15.75" customHeight="1">
      <c r="A162" s="120"/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</row>
    <row r="163" ht="15.75" customHeight="1">
      <c r="A163" s="120"/>
      <c r="B163" s="120"/>
      <c r="C163" s="120"/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</row>
    <row r="164" ht="15.75" customHeight="1">
      <c r="A164" s="120"/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</row>
    <row r="165" ht="15.75" customHeight="1">
      <c r="A165" s="120"/>
      <c r="B165" s="120"/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</row>
    <row r="166" ht="15.75" customHeight="1">
      <c r="A166" s="120"/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</row>
    <row r="167" ht="15.75" customHeight="1">
      <c r="A167" s="120"/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</row>
    <row r="168" ht="15.75" customHeight="1">
      <c r="A168" s="120"/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</row>
    <row r="169" ht="15.75" customHeight="1">
      <c r="A169" s="120"/>
      <c r="B169" s="120"/>
      <c r="C169" s="120"/>
      <c r="D169" s="120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</row>
    <row r="170" ht="15.75" customHeight="1">
      <c r="A170" s="120"/>
      <c r="B170" s="120"/>
      <c r="C170" s="120"/>
      <c r="D170" s="120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</row>
    <row r="171" ht="15.75" customHeight="1">
      <c r="A171" s="120"/>
      <c r="B171" s="120"/>
      <c r="C171" s="120"/>
      <c r="D171" s="120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</row>
    <row r="172" ht="15.75" customHeight="1">
      <c r="A172" s="120"/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</row>
    <row r="173" ht="15.75" customHeight="1">
      <c r="A173" s="120"/>
      <c r="B173" s="120"/>
      <c r="C173" s="120"/>
      <c r="D173" s="120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</row>
    <row r="174" ht="15.75" customHeight="1">
      <c r="A174" s="120"/>
      <c r="B174" s="120"/>
      <c r="C174" s="120"/>
      <c r="D174" s="120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</row>
    <row r="175" ht="15.75" customHeight="1">
      <c r="A175" s="120"/>
      <c r="B175" s="120"/>
      <c r="C175" s="120"/>
      <c r="D175" s="120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</row>
    <row r="176" ht="15.75" customHeight="1">
      <c r="A176" s="120"/>
      <c r="B176" s="120"/>
      <c r="C176" s="120"/>
      <c r="D176" s="120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</row>
    <row r="177" ht="15.75" customHeight="1">
      <c r="A177" s="120"/>
      <c r="B177" s="120"/>
      <c r="C177" s="120"/>
      <c r="D177" s="120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</row>
    <row r="178" ht="15.75" customHeight="1">
      <c r="A178" s="120"/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</row>
    <row r="179" ht="15.75" customHeight="1">
      <c r="A179" s="120"/>
      <c r="B179" s="120"/>
      <c r="C179" s="120"/>
      <c r="D179" s="120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</row>
    <row r="180" ht="15.75" customHeight="1">
      <c r="A180" s="120"/>
      <c r="B180" s="120"/>
      <c r="C180" s="120"/>
      <c r="D180" s="120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</row>
    <row r="181" ht="15.75" customHeight="1">
      <c r="A181" s="120"/>
      <c r="B181" s="120"/>
      <c r="C181" s="120"/>
      <c r="D181" s="120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</row>
    <row r="182" ht="15.75" customHeight="1">
      <c r="A182" s="120"/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</row>
    <row r="183" ht="15.75" customHeight="1">
      <c r="A183" s="120"/>
      <c r="B183" s="120"/>
      <c r="C183" s="120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</row>
    <row r="184" ht="15.75" customHeight="1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</row>
    <row r="185" ht="15.75" customHeight="1">
      <c r="A185" s="120"/>
      <c r="B185" s="120"/>
      <c r="C185" s="120"/>
      <c r="D185" s="120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</row>
    <row r="186" ht="15.75" customHeight="1">
      <c r="A186" s="120"/>
      <c r="B186" s="120"/>
      <c r="C186" s="120"/>
      <c r="D186" s="120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</row>
    <row r="187" ht="15.75" customHeight="1">
      <c r="A187" s="120"/>
      <c r="B187" s="120"/>
      <c r="C187" s="120"/>
      <c r="D187" s="120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</row>
    <row r="188" ht="15.75" customHeight="1">
      <c r="A188" s="120"/>
      <c r="B188" s="120"/>
      <c r="C188" s="120"/>
      <c r="D188" s="120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</row>
    <row r="189" ht="15.75" customHeight="1">
      <c r="A189" s="120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</row>
    <row r="190" ht="15.75" customHeight="1">
      <c r="A190" s="120"/>
      <c r="B190" s="120"/>
      <c r="C190" s="120"/>
      <c r="D190" s="120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</row>
    <row r="191" ht="15.75" customHeight="1">
      <c r="A191" s="120"/>
      <c r="B191" s="120"/>
      <c r="C191" s="120"/>
      <c r="D191" s="120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</row>
    <row r="192" ht="15.75" customHeight="1">
      <c r="A192" s="120"/>
      <c r="B192" s="120"/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</row>
    <row r="193" ht="15.75" customHeight="1">
      <c r="A193" s="120"/>
      <c r="B193" s="120"/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</row>
    <row r="194" ht="15.75" customHeight="1">
      <c r="A194" s="120"/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</row>
    <row r="195" ht="15.75" customHeight="1">
      <c r="A195" s="120"/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</row>
    <row r="196" ht="15.75" customHeight="1">
      <c r="A196" s="120"/>
      <c r="B196" s="120"/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</row>
    <row r="197" ht="15.75" customHeight="1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</row>
    <row r="198" ht="15.75" customHeight="1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</row>
    <row r="199" ht="15.75" customHeight="1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</row>
    <row r="200" ht="15.75" customHeight="1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</row>
    <row r="201" ht="15.75" customHeight="1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</row>
    <row r="202" ht="15.75" customHeight="1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0"/>
    </row>
    <row r="203" ht="15.75" customHeight="1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</row>
    <row r="204" ht="15.75" customHeight="1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</row>
    <row r="205" ht="15.75" customHeight="1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</row>
    <row r="206" ht="15.75" customHeight="1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</row>
    <row r="207" ht="15.75" customHeight="1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</row>
    <row r="208" ht="15.75" customHeight="1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</row>
    <row r="209" ht="15.75" customHeight="1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</row>
    <row r="210" ht="15.75" customHeight="1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</row>
    <row r="211" ht="15.75" customHeight="1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</row>
    <row r="212" ht="15.75" customHeight="1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</row>
    <row r="213" ht="15.75" customHeight="1">
      <c r="A213" s="120"/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</row>
    <row r="214" ht="15.75" customHeight="1">
      <c r="A214" s="120"/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</row>
    <row r="215" ht="15.75" customHeight="1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</row>
    <row r="216" ht="15.75" customHeight="1">
      <c r="A216" s="120"/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</row>
    <row r="217" ht="15.75" customHeight="1">
      <c r="A217" s="120"/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</row>
    <row r="218" ht="15.75" customHeight="1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</row>
    <row r="219" ht="15.75" customHeight="1">
      <c r="A219" s="120"/>
      <c r="B219" s="120"/>
      <c r="C219" s="120"/>
      <c r="D219" s="120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</row>
    <row r="220" ht="15.75" customHeight="1">
      <c r="A220" s="120"/>
      <c r="B220" s="120"/>
      <c r="C220" s="120"/>
      <c r="D220" s="120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</row>
    <row r="221" ht="15.75" customHeight="1">
      <c r="A221" s="120"/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</row>
    <row r="222" ht="15.75" customHeight="1">
      <c r="A222" s="120"/>
      <c r="B222" s="120"/>
      <c r="C222" s="120"/>
      <c r="D222" s="120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</row>
    <row r="223" ht="15.75" customHeight="1">
      <c r="A223" s="120"/>
      <c r="B223" s="120"/>
      <c r="C223" s="120"/>
      <c r="D223" s="120"/>
      <c r="E223" s="120"/>
      <c r="F223" s="120"/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</row>
    <row r="224" ht="15.75" customHeight="1">
      <c r="A224" s="120"/>
      <c r="B224" s="120"/>
      <c r="C224" s="120"/>
      <c r="D224" s="120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</row>
    <row r="225" ht="15.75" customHeight="1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</row>
    <row r="226" ht="15.75" customHeight="1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</row>
    <row r="227" ht="15.75" customHeight="1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</row>
    <row r="228" ht="15.75" customHeight="1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</row>
    <row r="229" ht="15.75" customHeight="1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</row>
    <row r="230" ht="15.75" customHeight="1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</row>
    <row r="231" ht="15.75" customHeight="1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</row>
    <row r="232" ht="15.75" customHeight="1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</row>
    <row r="233" ht="15.75" customHeight="1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</row>
    <row r="234" ht="15.75" customHeight="1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</row>
    <row r="235" ht="15.75" customHeight="1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</row>
    <row r="236" ht="15.75" customHeight="1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</row>
    <row r="237" ht="15.75" customHeight="1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</row>
    <row r="238" ht="15.75" customHeight="1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</row>
    <row r="239" ht="15.75" customHeight="1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</row>
    <row r="240" ht="15.75" customHeight="1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</row>
    <row r="241" ht="15.75" customHeight="1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</row>
    <row r="242" ht="15.75" customHeight="1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</row>
    <row r="243" ht="15.75" customHeight="1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</row>
    <row r="244" ht="15.75" customHeight="1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</row>
    <row r="245" ht="15.75" customHeight="1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</row>
    <row r="246" ht="15.75" customHeight="1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</row>
    <row r="247" ht="15.75" customHeight="1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</row>
    <row r="248" ht="15.75" customHeight="1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</row>
    <row r="249" ht="15.75" customHeight="1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</row>
    <row r="250" ht="15.75" customHeight="1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</row>
    <row r="251" ht="15.75" customHeight="1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</row>
    <row r="252" ht="15.75" customHeight="1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</row>
    <row r="253" ht="15.75" customHeight="1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</row>
    <row r="254" ht="15.75" customHeight="1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</row>
    <row r="255" ht="15.75" customHeight="1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</row>
    <row r="256" ht="15.75" customHeight="1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</row>
    <row r="257" ht="15.75" customHeight="1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</row>
    <row r="258" ht="15.75" customHeight="1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</row>
    <row r="259" ht="15.75" customHeight="1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</row>
    <row r="260" ht="15.75" customHeight="1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</row>
    <row r="261" ht="15.75" customHeight="1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</row>
    <row r="262" ht="15.75" customHeight="1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</row>
    <row r="263" ht="15.75" customHeight="1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</row>
    <row r="264" ht="15.75" customHeight="1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</row>
    <row r="265" ht="15.75" customHeight="1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</row>
    <row r="266" ht="15.75" customHeight="1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</row>
    <row r="267" ht="15.75" customHeight="1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</row>
    <row r="268" ht="15.75" customHeight="1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</row>
    <row r="269" ht="15.75" customHeight="1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</row>
    <row r="270" ht="15.75" customHeight="1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</row>
    <row r="271" ht="15.75" customHeight="1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</row>
    <row r="272" ht="15.75" customHeight="1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</row>
    <row r="273" ht="15.75" customHeight="1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</row>
    <row r="274" ht="15.75" customHeight="1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</row>
    <row r="275" ht="15.75" customHeight="1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</row>
    <row r="276" ht="15.75" customHeight="1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</row>
    <row r="277" ht="15.75" customHeight="1">
      <c r="A277" s="120"/>
      <c r="B277" s="120"/>
      <c r="C277" s="120"/>
      <c r="D277" s="120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</row>
    <row r="278" ht="15.75" customHeight="1">
      <c r="A278" s="120"/>
      <c r="B278" s="120"/>
      <c r="C278" s="120"/>
      <c r="D278" s="120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</row>
    <row r="279" ht="15.75" customHeight="1">
      <c r="A279" s="120"/>
      <c r="B279" s="120"/>
      <c r="C279" s="120"/>
      <c r="D279" s="120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</row>
    <row r="280" ht="15.75" customHeight="1">
      <c r="A280" s="120"/>
      <c r="B280" s="120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</row>
    <row r="281" ht="15.75" customHeight="1">
      <c r="A281" s="120"/>
      <c r="B281" s="120"/>
      <c r="C281" s="120"/>
      <c r="D281" s="120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</row>
    <row r="282" ht="15.75" customHeight="1">
      <c r="A282" s="120"/>
      <c r="B282" s="120"/>
      <c r="C282" s="120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</row>
    <row r="283" ht="15.75" customHeight="1">
      <c r="A283" s="120"/>
      <c r="B283" s="120"/>
      <c r="C283" s="120"/>
      <c r="D283" s="120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</row>
    <row r="284" ht="15.75" customHeight="1">
      <c r="A284" s="120"/>
      <c r="B284" s="120"/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</row>
    <row r="285" ht="15.75" customHeight="1">
      <c r="A285" s="120"/>
      <c r="B285" s="120"/>
      <c r="C285" s="120"/>
      <c r="D285" s="120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</row>
    <row r="286" ht="15.75" customHeight="1">
      <c r="A286" s="120"/>
      <c r="B286" s="120"/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</row>
    <row r="287" ht="15.75" customHeight="1">
      <c r="A287" s="120"/>
      <c r="B287" s="120"/>
      <c r="C287" s="120"/>
      <c r="D287" s="120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</row>
    <row r="288" ht="15.75" customHeight="1">
      <c r="A288" s="120"/>
      <c r="B288" s="120"/>
      <c r="C288" s="120"/>
      <c r="D288" s="120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</row>
    <row r="289" ht="15.75" customHeight="1">
      <c r="A289" s="120"/>
      <c r="B289" s="120"/>
      <c r="C289" s="120"/>
      <c r="D289" s="120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</row>
    <row r="290" ht="15.75" customHeight="1">
      <c r="A290" s="120"/>
      <c r="B290" s="120"/>
      <c r="C290" s="120"/>
      <c r="D290" s="120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</row>
    <row r="291" ht="15.75" customHeight="1">
      <c r="A291" s="120"/>
      <c r="B291" s="120"/>
      <c r="C291" s="120"/>
      <c r="D291" s="120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</row>
    <row r="292" ht="15.75" customHeight="1">
      <c r="A292" s="120"/>
      <c r="B292" s="120"/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</row>
    <row r="293" ht="15.75" customHeight="1">
      <c r="A293" s="120"/>
      <c r="B293" s="120"/>
      <c r="C293" s="120"/>
      <c r="D293" s="120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</row>
    <row r="294" ht="15.75" customHeight="1">
      <c r="A294" s="120"/>
      <c r="B294" s="120"/>
      <c r="C294" s="120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</row>
    <row r="295" ht="15.75" customHeight="1">
      <c r="A295" s="120"/>
      <c r="B295" s="120"/>
      <c r="C295" s="120"/>
      <c r="D295" s="120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</row>
    <row r="296" ht="15.75" customHeight="1">
      <c r="A296" s="120"/>
      <c r="B296" s="120"/>
      <c r="C296" s="120"/>
      <c r="D296" s="120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</row>
    <row r="297" ht="15.75" customHeight="1">
      <c r="A297" s="120"/>
      <c r="B297" s="120"/>
      <c r="C297" s="120"/>
      <c r="D297" s="120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</row>
    <row r="298" ht="15.75" customHeight="1">
      <c r="A298" s="120"/>
      <c r="B298" s="120"/>
      <c r="C298" s="120"/>
      <c r="D298" s="120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</row>
    <row r="299" ht="15.75" customHeight="1">
      <c r="A299" s="120"/>
      <c r="B299" s="120"/>
      <c r="C299" s="120"/>
      <c r="D299" s="120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</row>
    <row r="300" ht="15.75" customHeight="1">
      <c r="A300" s="120"/>
      <c r="B300" s="120"/>
      <c r="C300" s="120"/>
      <c r="D300" s="120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</row>
    <row r="301" ht="15.75" customHeight="1">
      <c r="A301" s="120"/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</row>
    <row r="302" ht="15.75" customHeight="1">
      <c r="A302" s="120"/>
      <c r="B302" s="120"/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</row>
    <row r="303" ht="15.75" customHeight="1">
      <c r="A303" s="120"/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</row>
    <row r="304" ht="15.75" customHeight="1">
      <c r="A304" s="120"/>
      <c r="B304" s="120"/>
      <c r="C304" s="120"/>
      <c r="D304" s="120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</row>
    <row r="305" ht="15.75" customHeight="1">
      <c r="A305" s="120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</row>
    <row r="306" ht="15.75" customHeight="1">
      <c r="A306" s="120"/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</row>
    <row r="307" ht="15.75" customHeight="1">
      <c r="A307" s="120"/>
      <c r="B307" s="120"/>
      <c r="C307" s="120"/>
      <c r="D307" s="120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</row>
    <row r="308" ht="15.75" customHeight="1">
      <c r="A308" s="120"/>
      <c r="B308" s="120"/>
      <c r="C308" s="120"/>
      <c r="D308" s="120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</row>
    <row r="309" ht="15.75" customHeight="1">
      <c r="A309" s="120"/>
      <c r="B309" s="120"/>
      <c r="C309" s="120"/>
      <c r="D309" s="120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</row>
    <row r="310" ht="15.75" customHeight="1">
      <c r="A310" s="120"/>
      <c r="B310" s="120"/>
      <c r="C310" s="120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</row>
    <row r="311" ht="15.75" customHeight="1">
      <c r="A311" s="120"/>
      <c r="B311" s="120"/>
      <c r="C311" s="120"/>
      <c r="D311" s="120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</row>
    <row r="312" ht="15.75" customHeight="1">
      <c r="A312" s="120"/>
      <c r="B312" s="120"/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</row>
    <row r="313" ht="15.75" customHeight="1">
      <c r="A313" s="120"/>
      <c r="B313" s="120"/>
      <c r="C313" s="120"/>
      <c r="D313" s="120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</row>
    <row r="314" ht="15.75" customHeight="1">
      <c r="A314" s="120"/>
      <c r="B314" s="120"/>
      <c r="C314" s="120"/>
      <c r="D314" s="120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</row>
    <row r="315" ht="15.75" customHeight="1">
      <c r="A315" s="120"/>
      <c r="B315" s="120"/>
      <c r="C315" s="120"/>
      <c r="D315" s="120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</row>
    <row r="316" ht="15.75" customHeight="1">
      <c r="A316" s="120"/>
      <c r="B316" s="120"/>
      <c r="C316" s="120"/>
      <c r="D316" s="120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</row>
    <row r="317" ht="15.75" customHeight="1">
      <c r="A317" s="120"/>
      <c r="B317" s="120"/>
      <c r="C317" s="120"/>
      <c r="D317" s="120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</row>
    <row r="318" ht="15.75" customHeight="1">
      <c r="A318" s="120"/>
      <c r="B318" s="120"/>
      <c r="C318" s="120"/>
      <c r="D318" s="120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</row>
    <row r="319" ht="15.75" customHeight="1">
      <c r="A319" s="120"/>
      <c r="B319" s="120"/>
      <c r="C319" s="120"/>
      <c r="D319" s="120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</row>
    <row r="320" ht="15.75" customHeight="1">
      <c r="A320" s="120"/>
      <c r="B320" s="120"/>
      <c r="C320" s="120"/>
      <c r="D320" s="120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</row>
    <row r="321" ht="15.75" customHeight="1">
      <c r="A321" s="120"/>
      <c r="B321" s="120"/>
      <c r="C321" s="120"/>
      <c r="D321" s="120"/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</row>
    <row r="322" ht="15.75" customHeight="1">
      <c r="A322" s="120"/>
      <c r="B322" s="120"/>
      <c r="C322" s="120"/>
      <c r="D322" s="120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</row>
    <row r="323" ht="15.75" customHeight="1">
      <c r="A323" s="120"/>
      <c r="B323" s="120"/>
      <c r="C323" s="120"/>
      <c r="D323" s="120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</row>
    <row r="324" ht="15.75" customHeight="1">
      <c r="A324" s="120"/>
      <c r="B324" s="120"/>
      <c r="C324" s="120"/>
      <c r="D324" s="120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</row>
    <row r="325" ht="15.75" customHeight="1">
      <c r="A325" s="120"/>
      <c r="B325" s="120"/>
      <c r="C325" s="120"/>
      <c r="D325" s="120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</row>
    <row r="326" ht="15.75" customHeight="1">
      <c r="A326" s="120"/>
      <c r="B326" s="120"/>
      <c r="C326" s="120"/>
      <c r="D326" s="120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</row>
    <row r="327" ht="15.75" customHeight="1">
      <c r="A327" s="120"/>
      <c r="B327" s="120"/>
      <c r="C327" s="120"/>
      <c r="D327" s="120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</row>
    <row r="328" ht="15.75" customHeight="1">
      <c r="A328" s="120"/>
      <c r="B328" s="120"/>
      <c r="C328" s="120"/>
      <c r="D328" s="120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</row>
    <row r="329" ht="15.75" customHeight="1">
      <c r="A329" s="120"/>
      <c r="B329" s="120"/>
      <c r="C329" s="120"/>
      <c r="D329" s="120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</row>
    <row r="330" ht="15.75" customHeight="1">
      <c r="A330" s="120"/>
      <c r="B330" s="120"/>
      <c r="C330" s="120"/>
      <c r="D330" s="120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</row>
    <row r="331" ht="15.75" customHeight="1">
      <c r="A331" s="120"/>
      <c r="B331" s="120"/>
      <c r="C331" s="120"/>
      <c r="D331" s="120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</row>
    <row r="332" ht="15.75" customHeight="1">
      <c r="A332" s="120"/>
      <c r="B332" s="120"/>
      <c r="C332" s="120"/>
      <c r="D332" s="120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</row>
    <row r="333" ht="15.75" customHeight="1">
      <c r="A333" s="120"/>
      <c r="B333" s="120"/>
      <c r="C333" s="120"/>
      <c r="D333" s="120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</row>
    <row r="334" ht="15.75" customHeight="1">
      <c r="A334" s="120"/>
      <c r="B334" s="120"/>
      <c r="C334" s="120"/>
      <c r="D334" s="120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</row>
    <row r="335" ht="15.75" customHeight="1">
      <c r="A335" s="120"/>
      <c r="B335" s="120"/>
      <c r="C335" s="120"/>
      <c r="D335" s="120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</row>
    <row r="336" ht="15.75" customHeight="1">
      <c r="A336" s="120"/>
      <c r="B336" s="120"/>
      <c r="C336" s="120"/>
      <c r="D336" s="120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</row>
    <row r="337" ht="15.75" customHeight="1">
      <c r="A337" s="120"/>
      <c r="B337" s="120"/>
      <c r="C337" s="120"/>
      <c r="D337" s="120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</row>
    <row r="338" ht="15.75" customHeight="1">
      <c r="A338" s="120"/>
      <c r="B338" s="120"/>
      <c r="C338" s="120"/>
      <c r="D338" s="120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</row>
    <row r="339" ht="15.75" customHeight="1">
      <c r="A339" s="120"/>
      <c r="B339" s="120"/>
      <c r="C339" s="120"/>
      <c r="D339" s="120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</row>
    <row r="340" ht="15.75" customHeight="1">
      <c r="A340" s="120"/>
      <c r="B340" s="120"/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</row>
    <row r="341" ht="15.75" customHeight="1">
      <c r="A341" s="120"/>
      <c r="B341" s="120"/>
      <c r="C341" s="120"/>
      <c r="D341" s="120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</row>
    <row r="342" ht="15.75" customHeight="1">
      <c r="A342" s="120"/>
      <c r="B342" s="120"/>
      <c r="C342" s="120"/>
      <c r="D342" s="120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</row>
    <row r="343" ht="15.75" customHeight="1">
      <c r="A343" s="120"/>
      <c r="B343" s="120"/>
      <c r="C343" s="120"/>
      <c r="D343" s="120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</row>
    <row r="344" ht="15.75" customHeight="1">
      <c r="A344" s="120"/>
      <c r="B344" s="120"/>
      <c r="C344" s="120"/>
      <c r="D344" s="120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</row>
    <row r="345" ht="15.75" customHeight="1">
      <c r="A345" s="120"/>
      <c r="B345" s="120"/>
      <c r="C345" s="120"/>
      <c r="D345" s="120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</row>
    <row r="346" ht="15.75" customHeight="1">
      <c r="A346" s="120"/>
      <c r="B346" s="120"/>
      <c r="C346" s="120"/>
      <c r="D346" s="120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</row>
    <row r="347" ht="15.75" customHeight="1">
      <c r="A347" s="120"/>
      <c r="B347" s="120"/>
      <c r="C347" s="120"/>
      <c r="D347" s="120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</row>
    <row r="348" ht="15.75" customHeight="1">
      <c r="A348" s="120"/>
      <c r="B348" s="120"/>
      <c r="C348" s="120"/>
      <c r="D348" s="120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</row>
    <row r="349" ht="15.75" customHeight="1">
      <c r="A349" s="120"/>
      <c r="B349" s="120"/>
      <c r="C349" s="120"/>
      <c r="D349" s="120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</row>
    <row r="350" ht="15.75" customHeight="1">
      <c r="A350" s="120"/>
      <c r="B350" s="120"/>
      <c r="C350" s="120"/>
      <c r="D350" s="120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</row>
    <row r="351" ht="15.75" customHeight="1">
      <c r="A351" s="120"/>
      <c r="B351" s="120"/>
      <c r="C351" s="120"/>
      <c r="D351" s="120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</row>
    <row r="352" ht="15.75" customHeight="1">
      <c r="A352" s="120"/>
      <c r="B352" s="120"/>
      <c r="C352" s="120"/>
      <c r="D352" s="120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</row>
    <row r="353" ht="15.75" customHeight="1">
      <c r="A353" s="120"/>
      <c r="B353" s="120"/>
      <c r="C353" s="120"/>
      <c r="D353" s="120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</row>
    <row r="354" ht="15.75" customHeight="1">
      <c r="A354" s="120"/>
      <c r="B354" s="120"/>
      <c r="C354" s="120"/>
      <c r="D354" s="120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</row>
    <row r="355" ht="15.75" customHeight="1">
      <c r="A355" s="120"/>
      <c r="B355" s="120"/>
      <c r="C355" s="120"/>
      <c r="D355" s="120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</row>
    <row r="356" ht="15.75" customHeight="1">
      <c r="A356" s="120"/>
      <c r="B356" s="120"/>
      <c r="C356" s="120"/>
      <c r="D356" s="120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</row>
    <row r="357" ht="15.75" customHeight="1">
      <c r="A357" s="120"/>
      <c r="B357" s="120"/>
      <c r="C357" s="120"/>
      <c r="D357" s="120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</row>
    <row r="358" ht="15.75" customHeight="1">
      <c r="A358" s="120"/>
      <c r="B358" s="120"/>
      <c r="C358" s="120"/>
      <c r="D358" s="120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</row>
    <row r="359" ht="15.75" customHeight="1">
      <c r="A359" s="120"/>
      <c r="B359" s="120"/>
      <c r="C359" s="120"/>
      <c r="D359" s="120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</row>
    <row r="360" ht="15.75" customHeight="1">
      <c r="A360" s="120"/>
      <c r="B360" s="120"/>
      <c r="C360" s="120"/>
      <c r="D360" s="120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</row>
    <row r="361" ht="15.75" customHeight="1">
      <c r="A361" s="120"/>
      <c r="B361" s="120"/>
      <c r="C361" s="120"/>
      <c r="D361" s="120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</row>
    <row r="362" ht="15.75" customHeight="1">
      <c r="A362" s="120"/>
      <c r="B362" s="120"/>
      <c r="C362" s="120"/>
      <c r="D362" s="120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</row>
    <row r="363" ht="15.75" customHeight="1">
      <c r="A363" s="120"/>
      <c r="B363" s="120"/>
      <c r="C363" s="120"/>
      <c r="D363" s="120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</row>
    <row r="364" ht="15.75" customHeight="1">
      <c r="A364" s="120"/>
      <c r="B364" s="120"/>
      <c r="C364" s="120"/>
      <c r="D364" s="120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</row>
    <row r="365" ht="15.75" customHeight="1">
      <c r="A365" s="120"/>
      <c r="B365" s="120"/>
      <c r="C365" s="120"/>
      <c r="D365" s="120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</row>
    <row r="366" ht="15.75" customHeight="1">
      <c r="A366" s="120"/>
      <c r="B366" s="120"/>
      <c r="C366" s="120"/>
      <c r="D366" s="120"/>
      <c r="E366" s="120"/>
      <c r="F366" s="120"/>
      <c r="G366" s="120"/>
      <c r="H366" s="120"/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  <c r="X366" s="120"/>
      <c r="Y366" s="120"/>
      <c r="Z366" s="120"/>
    </row>
    <row r="367" ht="15.75" customHeight="1">
      <c r="A367" s="120"/>
      <c r="B367" s="120"/>
      <c r="C367" s="120"/>
      <c r="D367" s="120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</row>
    <row r="368" ht="15.75" customHeight="1">
      <c r="A368" s="120"/>
      <c r="B368" s="120"/>
      <c r="C368" s="120"/>
      <c r="D368" s="120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</row>
    <row r="369" ht="15.75" customHeight="1">
      <c r="A369" s="120"/>
      <c r="B369" s="120"/>
      <c r="C369" s="120"/>
      <c r="D369" s="120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</row>
    <row r="370" ht="15.75" customHeight="1">
      <c r="A370" s="120"/>
      <c r="B370" s="120"/>
      <c r="C370" s="120"/>
      <c r="D370" s="120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</row>
    <row r="371" ht="15.75" customHeight="1">
      <c r="A371" s="120"/>
      <c r="B371" s="120"/>
      <c r="C371" s="120"/>
      <c r="D371" s="120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</row>
    <row r="372" ht="15.75" customHeight="1">
      <c r="A372" s="120"/>
      <c r="B372" s="120"/>
      <c r="C372" s="120"/>
      <c r="D372" s="120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</row>
    <row r="373" ht="15.75" customHeight="1">
      <c r="A373" s="120"/>
      <c r="B373" s="120"/>
      <c r="C373" s="120"/>
      <c r="D373" s="120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</row>
    <row r="374" ht="15.75" customHeight="1">
      <c r="A374" s="120"/>
      <c r="B374" s="120"/>
      <c r="C374" s="120"/>
      <c r="D374" s="120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</row>
    <row r="375" ht="15.75" customHeight="1">
      <c r="A375" s="120"/>
      <c r="B375" s="120"/>
      <c r="C375" s="120"/>
      <c r="D375" s="120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</row>
    <row r="376" ht="15.75" customHeight="1">
      <c r="A376" s="120"/>
      <c r="B376" s="120"/>
      <c r="C376" s="120"/>
      <c r="D376" s="120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</row>
    <row r="377" ht="15.75" customHeight="1">
      <c r="A377" s="120"/>
      <c r="B377" s="120"/>
      <c r="C377" s="120"/>
      <c r="D377" s="120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</row>
    <row r="378" ht="15.75" customHeight="1">
      <c r="A378" s="120"/>
      <c r="B378" s="120"/>
      <c r="C378" s="120"/>
      <c r="D378" s="120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</row>
    <row r="379" ht="15.75" customHeight="1">
      <c r="A379" s="120"/>
      <c r="B379" s="120"/>
      <c r="C379" s="120"/>
      <c r="D379" s="120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</row>
    <row r="380" ht="15.75" customHeight="1">
      <c r="A380" s="120"/>
      <c r="B380" s="120"/>
      <c r="C380" s="120"/>
      <c r="D380" s="120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</row>
    <row r="381" ht="15.75" customHeight="1">
      <c r="A381" s="120"/>
      <c r="B381" s="120"/>
      <c r="C381" s="120"/>
      <c r="D381" s="120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</row>
    <row r="382" ht="15.75" customHeight="1">
      <c r="A382" s="120"/>
      <c r="B382" s="120"/>
      <c r="C382" s="120"/>
      <c r="D382" s="120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</row>
    <row r="383" ht="15.75" customHeight="1">
      <c r="A383" s="120"/>
      <c r="B383" s="120"/>
      <c r="C383" s="120"/>
      <c r="D383" s="120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</row>
    <row r="384" ht="15.75" customHeight="1">
      <c r="A384" s="120"/>
      <c r="B384" s="120"/>
      <c r="C384" s="120"/>
      <c r="D384" s="120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</row>
    <row r="385" ht="15.75" customHeight="1">
      <c r="A385" s="120"/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</row>
    <row r="386" ht="15.75" customHeight="1">
      <c r="A386" s="120"/>
      <c r="B386" s="120"/>
      <c r="C386" s="120"/>
      <c r="D386" s="120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</row>
    <row r="387" ht="15.75" customHeight="1">
      <c r="A387" s="120"/>
      <c r="B387" s="120"/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</row>
    <row r="388" ht="15.75" customHeight="1">
      <c r="A388" s="120"/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</row>
    <row r="389" ht="15.75" customHeight="1">
      <c r="A389" s="120"/>
      <c r="B389" s="120"/>
      <c r="C389" s="120"/>
      <c r="D389" s="120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</row>
    <row r="390" ht="15.75" customHeight="1">
      <c r="A390" s="120"/>
      <c r="B390" s="120"/>
      <c r="C390" s="120"/>
      <c r="D390" s="120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</row>
    <row r="391" ht="15.75" customHeight="1">
      <c r="A391" s="120"/>
      <c r="B391" s="120"/>
      <c r="C391" s="120"/>
      <c r="D391" s="120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</row>
    <row r="392" ht="15.75" customHeight="1">
      <c r="A392" s="120"/>
      <c r="B392" s="120"/>
      <c r="C392" s="120"/>
      <c r="D392" s="120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</row>
    <row r="393" ht="15.75" customHeight="1">
      <c r="A393" s="120"/>
      <c r="B393" s="120"/>
      <c r="C393" s="120"/>
      <c r="D393" s="120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</row>
    <row r="394" ht="15.75" customHeight="1">
      <c r="A394" s="120"/>
      <c r="B394" s="120"/>
      <c r="C394" s="120"/>
      <c r="D394" s="120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</row>
    <row r="395" ht="15.75" customHeight="1">
      <c r="A395" s="120"/>
      <c r="B395" s="120"/>
      <c r="C395" s="120"/>
      <c r="D395" s="120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</row>
    <row r="396" ht="15.75" customHeight="1">
      <c r="A396" s="120"/>
      <c r="B396" s="120"/>
      <c r="C396" s="120"/>
      <c r="D396" s="120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</row>
    <row r="397" ht="15.75" customHeight="1">
      <c r="A397" s="120"/>
      <c r="B397" s="120"/>
      <c r="C397" s="120"/>
      <c r="D397" s="120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</row>
    <row r="398" ht="15.75" customHeight="1">
      <c r="A398" s="120"/>
      <c r="B398" s="120"/>
      <c r="C398" s="120"/>
      <c r="D398" s="120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</row>
    <row r="399" ht="15.75" customHeight="1">
      <c r="A399" s="120"/>
      <c r="B399" s="120"/>
      <c r="C399" s="120"/>
      <c r="D399" s="120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</row>
    <row r="400" ht="15.75" customHeight="1">
      <c r="A400" s="120"/>
      <c r="B400" s="120"/>
      <c r="C400" s="120"/>
      <c r="D400" s="120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</row>
    <row r="401" ht="15.75" customHeight="1">
      <c r="A401" s="120"/>
      <c r="B401" s="120"/>
      <c r="C401" s="120"/>
      <c r="D401" s="120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</row>
    <row r="402" ht="15.75" customHeight="1">
      <c r="A402" s="120"/>
      <c r="B402" s="120"/>
      <c r="C402" s="120"/>
      <c r="D402" s="120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</row>
    <row r="403" ht="15.75" customHeight="1">
      <c r="A403" s="120"/>
      <c r="B403" s="120"/>
      <c r="C403" s="120"/>
      <c r="D403" s="120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</row>
    <row r="404" ht="15.75" customHeight="1">
      <c r="A404" s="120"/>
      <c r="B404" s="120"/>
      <c r="C404" s="120"/>
      <c r="D404" s="120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</row>
    <row r="405" ht="15.75" customHeight="1">
      <c r="A405" s="120"/>
      <c r="B405" s="120"/>
      <c r="C405" s="120"/>
      <c r="D405" s="120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</row>
    <row r="406" ht="15.75" customHeight="1">
      <c r="A406" s="120"/>
      <c r="B406" s="120"/>
      <c r="C406" s="120"/>
      <c r="D406" s="120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</row>
    <row r="407" ht="15.75" customHeight="1">
      <c r="A407" s="120"/>
      <c r="B407" s="120"/>
      <c r="C407" s="120"/>
      <c r="D407" s="120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</row>
    <row r="408" ht="15.75" customHeight="1">
      <c r="A408" s="120"/>
      <c r="B408" s="120"/>
      <c r="C408" s="120"/>
      <c r="D408" s="120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  <c r="X408" s="120"/>
      <c r="Y408" s="120"/>
      <c r="Z408" s="120"/>
    </row>
    <row r="409" ht="15.75" customHeight="1">
      <c r="A409" s="120"/>
      <c r="B409" s="120"/>
      <c r="C409" s="120"/>
      <c r="D409" s="120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</row>
    <row r="410" ht="15.75" customHeight="1">
      <c r="A410" s="120"/>
      <c r="B410" s="120"/>
      <c r="C410" s="120"/>
      <c r="D410" s="120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</row>
    <row r="411" ht="15.75" customHeight="1">
      <c r="A411" s="120"/>
      <c r="B411" s="120"/>
      <c r="C411" s="120"/>
      <c r="D411" s="120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</row>
    <row r="412" ht="15.75" customHeight="1">
      <c r="A412" s="120"/>
      <c r="B412" s="120"/>
      <c r="C412" s="120"/>
      <c r="D412" s="120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</row>
    <row r="413" ht="15.75" customHeight="1">
      <c r="A413" s="120"/>
      <c r="B413" s="120"/>
      <c r="C413" s="120"/>
      <c r="D413" s="120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</row>
    <row r="414" ht="15.75" customHeight="1">
      <c r="A414" s="120"/>
      <c r="B414" s="120"/>
      <c r="C414" s="120"/>
      <c r="D414" s="120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</row>
    <row r="415" ht="15.75" customHeight="1">
      <c r="A415" s="120"/>
      <c r="B415" s="120"/>
      <c r="C415" s="120"/>
      <c r="D415" s="120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</row>
    <row r="416" ht="15.75" customHeight="1">
      <c r="A416" s="120"/>
      <c r="B416" s="120"/>
      <c r="C416" s="120"/>
      <c r="D416" s="120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</row>
    <row r="417" ht="15.75" customHeight="1">
      <c r="A417" s="120"/>
      <c r="B417" s="120"/>
      <c r="C417" s="120"/>
      <c r="D417" s="120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</row>
    <row r="418" ht="15.75" customHeight="1">
      <c r="A418" s="120"/>
      <c r="B418" s="120"/>
      <c r="C418" s="120"/>
      <c r="D418" s="120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</row>
    <row r="419" ht="15.75" customHeight="1">
      <c r="A419" s="120"/>
      <c r="B419" s="120"/>
      <c r="C419" s="120"/>
      <c r="D419" s="120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</row>
    <row r="420" ht="15.75" customHeight="1">
      <c r="A420" s="120"/>
      <c r="B420" s="120"/>
      <c r="C420" s="120"/>
      <c r="D420" s="120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</row>
    <row r="421" ht="15.75" customHeight="1">
      <c r="A421" s="120"/>
      <c r="B421" s="120"/>
      <c r="C421" s="120"/>
      <c r="D421" s="120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</row>
    <row r="422" ht="15.75" customHeight="1">
      <c r="A422" s="120"/>
      <c r="B422" s="120"/>
      <c r="C422" s="120"/>
      <c r="D422" s="120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</row>
    <row r="423" ht="15.75" customHeight="1">
      <c r="A423" s="120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</row>
    <row r="424" ht="15.75" customHeight="1">
      <c r="A424" s="120"/>
      <c r="B424" s="120"/>
      <c r="C424" s="120"/>
      <c r="D424" s="120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</row>
    <row r="425" ht="15.75" customHeight="1">
      <c r="A425" s="120"/>
      <c r="B425" s="120"/>
      <c r="C425" s="120"/>
      <c r="D425" s="120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</row>
    <row r="426" ht="15.75" customHeight="1">
      <c r="A426" s="120"/>
      <c r="B426" s="120"/>
      <c r="C426" s="120"/>
      <c r="D426" s="120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</row>
    <row r="427" ht="15.75" customHeight="1">
      <c r="A427" s="120"/>
      <c r="B427" s="120"/>
      <c r="C427" s="120"/>
      <c r="D427" s="120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</row>
    <row r="428" ht="15.75" customHeight="1">
      <c r="A428" s="120"/>
      <c r="B428" s="120"/>
      <c r="C428" s="120"/>
      <c r="D428" s="120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</row>
    <row r="429" ht="15.75" customHeight="1">
      <c r="A429" s="120"/>
      <c r="B429" s="120"/>
      <c r="C429" s="120"/>
      <c r="D429" s="120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</row>
    <row r="430" ht="15.75" customHeight="1">
      <c r="A430" s="120"/>
      <c r="B430" s="120"/>
      <c r="C430" s="120"/>
      <c r="D430" s="120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</row>
    <row r="431" ht="15.75" customHeight="1">
      <c r="A431" s="120"/>
      <c r="B431" s="120"/>
      <c r="C431" s="120"/>
      <c r="D431" s="120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</row>
    <row r="432" ht="15.75" customHeight="1">
      <c r="A432" s="120"/>
      <c r="B432" s="120"/>
      <c r="C432" s="120"/>
      <c r="D432" s="120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</row>
    <row r="433" ht="15.75" customHeight="1">
      <c r="A433" s="120"/>
      <c r="B433" s="120"/>
      <c r="C433" s="120"/>
      <c r="D433" s="120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</row>
    <row r="434" ht="15.75" customHeight="1">
      <c r="A434" s="120"/>
      <c r="B434" s="120"/>
      <c r="C434" s="120"/>
      <c r="D434" s="120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</row>
    <row r="435" ht="15.75" customHeight="1">
      <c r="A435" s="120"/>
      <c r="B435" s="120"/>
      <c r="C435" s="120"/>
      <c r="D435" s="120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</row>
    <row r="436" ht="15.75" customHeight="1">
      <c r="A436" s="120"/>
      <c r="B436" s="120"/>
      <c r="C436" s="120"/>
      <c r="D436" s="120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</row>
    <row r="437" ht="15.75" customHeight="1">
      <c r="A437" s="120"/>
      <c r="B437" s="120"/>
      <c r="C437" s="120"/>
      <c r="D437" s="120"/>
      <c r="E437" s="120"/>
      <c r="F437" s="120"/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  <c r="X437" s="120"/>
      <c r="Y437" s="120"/>
      <c r="Z437" s="120"/>
    </row>
    <row r="438" ht="15.75" customHeight="1">
      <c r="A438" s="120"/>
      <c r="B438" s="120"/>
      <c r="C438" s="120"/>
      <c r="D438" s="120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</row>
    <row r="439" ht="15.75" customHeight="1">
      <c r="A439" s="120"/>
      <c r="B439" s="120"/>
      <c r="C439" s="120"/>
      <c r="D439" s="120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</row>
    <row r="440" ht="15.75" customHeight="1">
      <c r="A440" s="120"/>
      <c r="B440" s="120"/>
      <c r="C440" s="120"/>
      <c r="D440" s="120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</row>
    <row r="441" ht="15.75" customHeight="1">
      <c r="A441" s="120"/>
      <c r="B441" s="120"/>
      <c r="C441" s="120"/>
      <c r="D441" s="120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</row>
    <row r="442" ht="15.75" customHeight="1">
      <c r="A442" s="120"/>
      <c r="B442" s="120"/>
      <c r="C442" s="120"/>
      <c r="D442" s="120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</row>
    <row r="443" ht="15.75" customHeight="1">
      <c r="A443" s="120"/>
      <c r="B443" s="120"/>
      <c r="C443" s="120"/>
      <c r="D443" s="120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</row>
    <row r="444" ht="15.75" customHeight="1">
      <c r="A444" s="120"/>
      <c r="B444" s="120"/>
      <c r="C444" s="120"/>
      <c r="D444" s="120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</row>
    <row r="445" ht="15.75" customHeight="1">
      <c r="A445" s="120"/>
      <c r="B445" s="120"/>
      <c r="C445" s="120"/>
      <c r="D445" s="120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</row>
    <row r="446" ht="15.75" customHeight="1">
      <c r="A446" s="120"/>
      <c r="B446" s="120"/>
      <c r="C446" s="120"/>
      <c r="D446" s="120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</row>
    <row r="447" ht="15.75" customHeight="1">
      <c r="A447" s="120"/>
      <c r="B447" s="120"/>
      <c r="C447" s="120"/>
      <c r="D447" s="120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</row>
    <row r="448" ht="15.75" customHeight="1">
      <c r="A448" s="120"/>
      <c r="B448" s="120"/>
      <c r="C448" s="120"/>
      <c r="D448" s="120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</row>
    <row r="449" ht="15.75" customHeight="1">
      <c r="A449" s="120"/>
      <c r="B449" s="120"/>
      <c r="C449" s="120"/>
      <c r="D449" s="120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</row>
    <row r="450" ht="15.75" customHeight="1">
      <c r="A450" s="120"/>
      <c r="B450" s="120"/>
      <c r="C450" s="120"/>
      <c r="D450" s="120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</row>
    <row r="451" ht="15.75" customHeight="1">
      <c r="A451" s="120"/>
      <c r="B451" s="120"/>
      <c r="C451" s="120"/>
      <c r="D451" s="120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</row>
    <row r="452" ht="15.75" customHeight="1">
      <c r="A452" s="120"/>
      <c r="B452" s="120"/>
      <c r="C452" s="120"/>
      <c r="D452" s="120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</row>
    <row r="453" ht="15.75" customHeight="1">
      <c r="A453" s="120"/>
      <c r="B453" s="120"/>
      <c r="C453" s="120"/>
      <c r="D453" s="120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</row>
    <row r="454" ht="15.75" customHeight="1">
      <c r="A454" s="120"/>
      <c r="B454" s="120"/>
      <c r="C454" s="120"/>
      <c r="D454" s="120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</row>
    <row r="455" ht="15.75" customHeight="1">
      <c r="A455" s="120"/>
      <c r="B455" s="120"/>
      <c r="C455" s="120"/>
      <c r="D455" s="120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</row>
    <row r="456" ht="15.75" customHeight="1">
      <c r="A456" s="120"/>
      <c r="B456" s="120"/>
      <c r="C456" s="120"/>
      <c r="D456" s="120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</row>
    <row r="457" ht="15.75" customHeight="1">
      <c r="A457" s="120"/>
      <c r="B457" s="120"/>
      <c r="C457" s="120"/>
      <c r="D457" s="120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</row>
    <row r="458" ht="15.75" customHeight="1">
      <c r="A458" s="120"/>
      <c r="B458" s="120"/>
      <c r="C458" s="120"/>
      <c r="D458" s="120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</row>
    <row r="459" ht="15.75" customHeight="1">
      <c r="A459" s="120"/>
      <c r="B459" s="120"/>
      <c r="C459" s="120"/>
      <c r="D459" s="120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</row>
    <row r="460" ht="15.75" customHeight="1">
      <c r="A460" s="120"/>
      <c r="B460" s="120"/>
      <c r="C460" s="120"/>
      <c r="D460" s="120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</row>
    <row r="461" ht="15.75" customHeight="1">
      <c r="A461" s="120"/>
      <c r="B461" s="120"/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</row>
    <row r="462" ht="15.75" customHeight="1">
      <c r="A462" s="120"/>
      <c r="B462" s="120"/>
      <c r="C462" s="120"/>
      <c r="D462" s="120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</row>
    <row r="463" ht="15.75" customHeight="1">
      <c r="A463" s="120"/>
      <c r="B463" s="120"/>
      <c r="C463" s="120"/>
      <c r="D463" s="120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</row>
    <row r="464" ht="15.75" customHeight="1">
      <c r="A464" s="120"/>
      <c r="B464" s="120"/>
      <c r="C464" s="120"/>
      <c r="D464" s="120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</row>
    <row r="465" ht="15.75" customHeight="1">
      <c r="A465" s="120"/>
      <c r="B465" s="120"/>
      <c r="C465" s="120"/>
      <c r="D465" s="120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</row>
    <row r="466" ht="15.75" customHeight="1">
      <c r="A466" s="120"/>
      <c r="B466" s="120"/>
      <c r="C466" s="120"/>
      <c r="D466" s="120"/>
      <c r="E466" s="120"/>
      <c r="F466" s="120"/>
      <c r="G466" s="120"/>
      <c r="H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  <c r="X466" s="120"/>
      <c r="Y466" s="120"/>
      <c r="Z466" s="120"/>
    </row>
    <row r="467" ht="15.75" customHeight="1">
      <c r="A467" s="120"/>
      <c r="B467" s="120"/>
      <c r="C467" s="120"/>
      <c r="D467" s="120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</row>
    <row r="468" ht="15.75" customHeight="1">
      <c r="A468" s="120"/>
      <c r="B468" s="120"/>
      <c r="C468" s="120"/>
      <c r="D468" s="120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</row>
    <row r="469" ht="15.75" customHeight="1">
      <c r="A469" s="120"/>
      <c r="B469" s="120"/>
      <c r="C469" s="120"/>
      <c r="D469" s="120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</row>
    <row r="470" ht="15.75" customHeight="1">
      <c r="A470" s="120"/>
      <c r="B470" s="120"/>
      <c r="C470" s="120"/>
      <c r="D470" s="120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</row>
    <row r="471" ht="15.75" customHeight="1">
      <c r="A471" s="120"/>
      <c r="B471" s="120"/>
      <c r="C471" s="120"/>
      <c r="D471" s="120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</row>
    <row r="472" ht="15.75" customHeight="1">
      <c r="A472" s="120"/>
      <c r="B472" s="120"/>
      <c r="C472" s="120"/>
      <c r="D472" s="120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</row>
    <row r="473" ht="15.75" customHeight="1">
      <c r="A473" s="120"/>
      <c r="B473" s="120"/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</row>
    <row r="474" ht="15.75" customHeight="1">
      <c r="A474" s="120"/>
      <c r="B474" s="120"/>
      <c r="C474" s="120"/>
      <c r="D474" s="120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</row>
    <row r="475" ht="15.75" customHeight="1">
      <c r="A475" s="120"/>
      <c r="B475" s="120"/>
      <c r="C475" s="120"/>
      <c r="D475" s="120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</row>
    <row r="476" ht="15.75" customHeight="1">
      <c r="A476" s="120"/>
      <c r="B476" s="120"/>
      <c r="C476" s="120"/>
      <c r="D476" s="120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</row>
    <row r="477" ht="15.75" customHeight="1">
      <c r="A477" s="120"/>
      <c r="B477" s="120"/>
      <c r="C477" s="120"/>
      <c r="D477" s="120"/>
      <c r="E477" s="120"/>
      <c r="F477" s="120"/>
      <c r="G477" s="120"/>
      <c r="H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  <c r="X477" s="120"/>
      <c r="Y477" s="120"/>
      <c r="Z477" s="120"/>
    </row>
    <row r="478" ht="15.75" customHeight="1">
      <c r="A478" s="120"/>
      <c r="B478" s="120"/>
      <c r="C478" s="120"/>
      <c r="D478" s="120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</row>
    <row r="479" ht="15.75" customHeight="1">
      <c r="A479" s="120"/>
      <c r="B479" s="120"/>
      <c r="C479" s="120"/>
      <c r="D479" s="120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</row>
    <row r="480" ht="15.75" customHeight="1">
      <c r="A480" s="120"/>
      <c r="B480" s="120"/>
      <c r="C480" s="120"/>
      <c r="D480" s="120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</row>
    <row r="481" ht="15.75" customHeight="1">
      <c r="A481" s="120"/>
      <c r="B481" s="120"/>
      <c r="C481" s="120"/>
      <c r="D481" s="120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</row>
    <row r="482" ht="15.75" customHeight="1">
      <c r="A482" s="120"/>
      <c r="B482" s="120"/>
      <c r="C482" s="120"/>
      <c r="D482" s="120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</row>
    <row r="483" ht="15.75" customHeight="1">
      <c r="A483" s="120"/>
      <c r="B483" s="120"/>
      <c r="C483" s="120"/>
      <c r="D483" s="120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</row>
    <row r="484" ht="15.75" customHeight="1">
      <c r="A484" s="120"/>
      <c r="B484" s="120"/>
      <c r="C484" s="120"/>
      <c r="D484" s="120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</row>
    <row r="485" ht="15.75" customHeight="1">
      <c r="A485" s="120"/>
      <c r="B485" s="120"/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</row>
    <row r="486" ht="15.75" customHeight="1">
      <c r="A486" s="120"/>
      <c r="B486" s="120"/>
      <c r="C486" s="120"/>
      <c r="D486" s="120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</row>
    <row r="487" ht="15.75" customHeight="1">
      <c r="A487" s="120"/>
      <c r="B487" s="120"/>
      <c r="C487" s="120"/>
      <c r="D487" s="120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</row>
    <row r="488" ht="15.75" customHeight="1">
      <c r="A488" s="120"/>
      <c r="B488" s="120"/>
      <c r="C488" s="120"/>
      <c r="D488" s="120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</row>
    <row r="489" ht="15.75" customHeight="1">
      <c r="A489" s="120"/>
      <c r="B489" s="120"/>
      <c r="C489" s="120"/>
      <c r="D489" s="120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</row>
    <row r="490" ht="15.75" customHeight="1">
      <c r="A490" s="120"/>
      <c r="B490" s="120"/>
      <c r="C490" s="120"/>
      <c r="D490" s="120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</row>
    <row r="491" ht="15.75" customHeight="1">
      <c r="A491" s="120"/>
      <c r="B491" s="120"/>
      <c r="C491" s="120"/>
      <c r="D491" s="120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</row>
    <row r="492" ht="15.75" customHeight="1">
      <c r="A492" s="120"/>
      <c r="B492" s="120"/>
      <c r="C492" s="120"/>
      <c r="D492" s="120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</row>
    <row r="493" ht="15.75" customHeight="1">
      <c r="A493" s="120"/>
      <c r="B493" s="120"/>
      <c r="C493" s="120"/>
      <c r="D493" s="120"/>
      <c r="E493" s="120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</row>
    <row r="494" ht="15.75" customHeight="1">
      <c r="A494" s="120"/>
      <c r="B494" s="120"/>
      <c r="C494" s="120"/>
      <c r="D494" s="120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</row>
    <row r="495" ht="15.75" customHeight="1">
      <c r="A495" s="120"/>
      <c r="B495" s="120"/>
      <c r="C495" s="120"/>
      <c r="D495" s="120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</row>
    <row r="496" ht="15.75" customHeight="1">
      <c r="A496" s="120"/>
      <c r="B496" s="120"/>
      <c r="C496" s="120"/>
      <c r="D496" s="120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</row>
    <row r="497" ht="15.75" customHeight="1">
      <c r="A497" s="120"/>
      <c r="B497" s="120"/>
      <c r="C497" s="120"/>
      <c r="D497" s="120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</row>
    <row r="498" ht="15.75" customHeight="1">
      <c r="A498" s="120"/>
      <c r="B498" s="120"/>
      <c r="C498" s="120"/>
      <c r="D498" s="120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</row>
    <row r="499" ht="15.75" customHeight="1">
      <c r="A499" s="120"/>
      <c r="B499" s="120"/>
      <c r="C499" s="120"/>
      <c r="D499" s="120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</row>
    <row r="500" ht="15.75" customHeight="1">
      <c r="A500" s="120"/>
      <c r="B500" s="120"/>
      <c r="C500" s="120"/>
      <c r="D500" s="120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</row>
    <row r="501" ht="15.75" customHeight="1">
      <c r="A501" s="120"/>
      <c r="B501" s="120"/>
      <c r="C501" s="120"/>
      <c r="D501" s="120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</row>
    <row r="502" ht="15.75" customHeight="1">
      <c r="A502" s="120"/>
      <c r="B502" s="120"/>
      <c r="C502" s="120"/>
      <c r="D502" s="120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</row>
    <row r="503" ht="15.75" customHeight="1">
      <c r="A503" s="120"/>
      <c r="B503" s="120"/>
      <c r="C503" s="120"/>
      <c r="D503" s="120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</row>
    <row r="504" ht="15.75" customHeight="1">
      <c r="A504" s="120"/>
      <c r="B504" s="120"/>
      <c r="C504" s="120"/>
      <c r="D504" s="120"/>
      <c r="E504" s="120"/>
      <c r="F504" s="120"/>
      <c r="G504" s="120"/>
      <c r="H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</row>
    <row r="505" ht="15.75" customHeight="1">
      <c r="A505" s="120"/>
      <c r="B505" s="120"/>
      <c r="C505" s="120"/>
      <c r="D505" s="120"/>
      <c r="E505" s="120"/>
      <c r="F505" s="120"/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</row>
    <row r="506" ht="15.75" customHeight="1">
      <c r="A506" s="120"/>
      <c r="B506" s="120"/>
      <c r="C506" s="120"/>
      <c r="D506" s="120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</row>
    <row r="507" ht="15.75" customHeight="1">
      <c r="A507" s="120"/>
      <c r="B507" s="120"/>
      <c r="C507" s="120"/>
      <c r="D507" s="120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</row>
    <row r="508" ht="15.75" customHeight="1">
      <c r="A508" s="120"/>
      <c r="B508" s="120"/>
      <c r="C508" s="120"/>
      <c r="D508" s="120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</row>
    <row r="509" ht="15.75" customHeight="1">
      <c r="A509" s="120"/>
      <c r="B509" s="120"/>
      <c r="C509" s="120"/>
      <c r="D509" s="120"/>
      <c r="E509" s="120"/>
      <c r="F509" s="120"/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</row>
    <row r="510" ht="15.75" customHeight="1">
      <c r="A510" s="120"/>
      <c r="B510" s="120"/>
      <c r="C510" s="120"/>
      <c r="D510" s="120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</row>
    <row r="511" ht="15.75" customHeight="1">
      <c r="A511" s="120"/>
      <c r="B511" s="120"/>
      <c r="C511" s="120"/>
      <c r="D511" s="120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</row>
    <row r="512" ht="15.75" customHeight="1">
      <c r="A512" s="120"/>
      <c r="B512" s="120"/>
      <c r="C512" s="120"/>
      <c r="D512" s="120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</row>
    <row r="513" ht="15.75" customHeight="1">
      <c r="A513" s="120"/>
      <c r="B513" s="120"/>
      <c r="C513" s="120"/>
      <c r="D513" s="120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</row>
    <row r="514" ht="15.75" customHeight="1">
      <c r="A514" s="120"/>
      <c r="B514" s="120"/>
      <c r="C514" s="120"/>
      <c r="D514" s="120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</row>
    <row r="515" ht="15.75" customHeight="1">
      <c r="A515" s="120"/>
      <c r="B515" s="120"/>
      <c r="C515" s="120"/>
      <c r="D515" s="120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</row>
    <row r="516" ht="15.75" customHeight="1">
      <c r="A516" s="120"/>
      <c r="B516" s="120"/>
      <c r="C516" s="120"/>
      <c r="D516" s="120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</row>
    <row r="517" ht="15.75" customHeight="1">
      <c r="A517" s="120"/>
      <c r="B517" s="120"/>
      <c r="C517" s="120"/>
      <c r="D517" s="120"/>
      <c r="E517" s="120"/>
      <c r="F517" s="120"/>
      <c r="G517" s="120"/>
      <c r="H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  <c r="X517" s="120"/>
      <c r="Y517" s="120"/>
      <c r="Z517" s="120"/>
    </row>
    <row r="518" ht="15.75" customHeight="1">
      <c r="A518" s="120"/>
      <c r="B518" s="120"/>
      <c r="C518" s="120"/>
      <c r="D518" s="120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</row>
    <row r="519" ht="15.75" customHeight="1">
      <c r="A519" s="120"/>
      <c r="B519" s="120"/>
      <c r="C519" s="120"/>
      <c r="D519" s="120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</row>
    <row r="520" ht="15.75" customHeight="1">
      <c r="A520" s="120"/>
      <c r="B520" s="120"/>
      <c r="C520" s="120"/>
      <c r="D520" s="120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</row>
    <row r="521" ht="15.75" customHeight="1">
      <c r="A521" s="120"/>
      <c r="B521" s="120"/>
      <c r="C521" s="120"/>
      <c r="D521" s="120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</row>
    <row r="522" ht="15.75" customHeight="1">
      <c r="A522" s="120"/>
      <c r="B522" s="120"/>
      <c r="C522" s="120"/>
      <c r="D522" s="120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</row>
    <row r="523" ht="15.75" customHeight="1">
      <c r="A523" s="120"/>
      <c r="B523" s="120"/>
      <c r="C523" s="120"/>
      <c r="D523" s="120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</row>
    <row r="524" ht="15.75" customHeight="1">
      <c r="A524" s="120"/>
      <c r="B524" s="120"/>
      <c r="C524" s="120"/>
      <c r="D524" s="120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</row>
    <row r="525" ht="15.75" customHeight="1">
      <c r="A525" s="120"/>
      <c r="B525" s="120"/>
      <c r="C525" s="120"/>
      <c r="D525" s="120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</row>
    <row r="526" ht="15.75" customHeight="1">
      <c r="A526" s="120"/>
      <c r="B526" s="120"/>
      <c r="C526" s="120"/>
      <c r="D526" s="120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</row>
    <row r="527" ht="15.75" customHeight="1">
      <c r="A527" s="120"/>
      <c r="B527" s="120"/>
      <c r="C527" s="120"/>
      <c r="D527" s="120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</row>
    <row r="528" ht="15.75" customHeight="1">
      <c r="A528" s="120"/>
      <c r="B528" s="120"/>
      <c r="C528" s="120"/>
      <c r="D528" s="120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</row>
    <row r="529" ht="15.75" customHeight="1">
      <c r="A529" s="120"/>
      <c r="B529" s="120"/>
      <c r="C529" s="120"/>
      <c r="D529" s="120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</row>
    <row r="530" ht="15.75" customHeight="1">
      <c r="A530" s="120"/>
      <c r="B530" s="120"/>
      <c r="C530" s="120"/>
      <c r="D530" s="120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</row>
    <row r="531" ht="15.75" customHeight="1">
      <c r="A531" s="120"/>
      <c r="B531" s="120"/>
      <c r="C531" s="120"/>
      <c r="D531" s="120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</row>
    <row r="532" ht="15.75" customHeight="1">
      <c r="A532" s="120"/>
      <c r="B532" s="120"/>
      <c r="C532" s="120"/>
      <c r="D532" s="120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</row>
    <row r="533" ht="15.75" customHeight="1">
      <c r="A533" s="120"/>
      <c r="B533" s="120"/>
      <c r="C533" s="120"/>
      <c r="D533" s="120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</row>
    <row r="534" ht="15.75" customHeight="1">
      <c r="A534" s="120"/>
      <c r="B534" s="120"/>
      <c r="C534" s="120"/>
      <c r="D534" s="120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</row>
    <row r="535" ht="15.75" customHeight="1">
      <c r="A535" s="120"/>
      <c r="B535" s="120"/>
      <c r="C535" s="120"/>
      <c r="D535" s="120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</row>
    <row r="536" ht="15.75" customHeight="1">
      <c r="A536" s="120"/>
      <c r="B536" s="120"/>
      <c r="C536" s="120"/>
      <c r="D536" s="120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</row>
    <row r="537" ht="15.75" customHeight="1">
      <c r="A537" s="120"/>
      <c r="B537" s="120"/>
      <c r="C537" s="120"/>
      <c r="D537" s="120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</row>
    <row r="538" ht="15.75" customHeight="1">
      <c r="A538" s="120"/>
      <c r="B538" s="120"/>
      <c r="C538" s="120"/>
      <c r="D538" s="120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</row>
    <row r="539" ht="15.75" customHeight="1">
      <c r="A539" s="120"/>
      <c r="B539" s="120"/>
      <c r="C539" s="120"/>
      <c r="D539" s="120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</row>
    <row r="540" ht="15.75" customHeight="1">
      <c r="A540" s="120"/>
      <c r="B540" s="120"/>
      <c r="C540" s="120"/>
      <c r="D540" s="120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</row>
    <row r="541" ht="15.75" customHeight="1">
      <c r="A541" s="120"/>
      <c r="B541" s="120"/>
      <c r="C541" s="120"/>
      <c r="D541" s="120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</row>
    <row r="542" ht="15.75" customHeight="1">
      <c r="A542" s="120"/>
      <c r="B542" s="120"/>
      <c r="C542" s="120"/>
      <c r="D542" s="120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</row>
    <row r="543" ht="15.75" customHeight="1">
      <c r="A543" s="120"/>
      <c r="B543" s="120"/>
      <c r="C543" s="120"/>
      <c r="D543" s="120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</row>
    <row r="544" ht="15.75" customHeight="1">
      <c r="A544" s="120"/>
      <c r="B544" s="120"/>
      <c r="C544" s="120"/>
      <c r="D544" s="120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</row>
    <row r="545" ht="15.75" customHeight="1">
      <c r="A545" s="120"/>
      <c r="B545" s="120"/>
      <c r="C545" s="120"/>
      <c r="D545" s="120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</row>
    <row r="546" ht="15.75" customHeight="1">
      <c r="A546" s="120"/>
      <c r="B546" s="120"/>
      <c r="C546" s="120"/>
      <c r="D546" s="120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</row>
    <row r="547" ht="15.75" customHeight="1">
      <c r="A547" s="120"/>
      <c r="B547" s="120"/>
      <c r="C547" s="120"/>
      <c r="D547" s="120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</row>
    <row r="548" ht="15.75" customHeight="1">
      <c r="A548" s="120"/>
      <c r="B548" s="120"/>
      <c r="C548" s="120"/>
      <c r="D548" s="120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</row>
    <row r="549" ht="15.75" customHeight="1">
      <c r="A549" s="120"/>
      <c r="B549" s="120"/>
      <c r="C549" s="120"/>
      <c r="D549" s="120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</row>
    <row r="550" ht="15.75" customHeight="1">
      <c r="A550" s="120"/>
      <c r="B550" s="120"/>
      <c r="C550" s="120"/>
      <c r="D550" s="120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</row>
    <row r="551" ht="15.75" customHeight="1">
      <c r="A551" s="120"/>
      <c r="B551" s="120"/>
      <c r="C551" s="120"/>
      <c r="D551" s="120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</row>
    <row r="552" ht="15.75" customHeight="1">
      <c r="A552" s="120"/>
      <c r="B552" s="120"/>
      <c r="C552" s="120"/>
      <c r="D552" s="120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</row>
    <row r="553" ht="15.75" customHeight="1">
      <c r="A553" s="120"/>
      <c r="B553" s="120"/>
      <c r="C553" s="120"/>
      <c r="D553" s="120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</row>
    <row r="554" ht="15.75" customHeight="1">
      <c r="A554" s="120"/>
      <c r="B554" s="120"/>
      <c r="C554" s="120"/>
      <c r="D554" s="120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</row>
    <row r="555" ht="15.75" customHeight="1">
      <c r="A555" s="120"/>
      <c r="B555" s="120"/>
      <c r="C555" s="120"/>
      <c r="D555" s="120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</row>
    <row r="556" ht="15.75" customHeight="1">
      <c r="A556" s="120"/>
      <c r="B556" s="120"/>
      <c r="C556" s="120"/>
      <c r="D556" s="120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</row>
    <row r="557" ht="15.75" customHeight="1">
      <c r="A557" s="120"/>
      <c r="B557" s="120"/>
      <c r="C557" s="120"/>
      <c r="D557" s="120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</row>
    <row r="558" ht="15.75" customHeight="1">
      <c r="A558" s="120"/>
      <c r="B558" s="120"/>
      <c r="C558" s="120"/>
      <c r="D558" s="120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</row>
    <row r="559" ht="15.75" customHeight="1">
      <c r="A559" s="120"/>
      <c r="B559" s="120"/>
      <c r="C559" s="120"/>
      <c r="D559" s="120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</row>
    <row r="560" ht="15.75" customHeight="1">
      <c r="A560" s="120"/>
      <c r="B560" s="120"/>
      <c r="C560" s="120"/>
      <c r="D560" s="120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</row>
    <row r="561" ht="15.75" customHeight="1">
      <c r="A561" s="120"/>
      <c r="B561" s="120"/>
      <c r="C561" s="120"/>
      <c r="D561" s="120"/>
      <c r="E561" s="120"/>
      <c r="F561" s="120"/>
      <c r="G561" s="120"/>
      <c r="H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  <c r="X561" s="120"/>
      <c r="Y561" s="120"/>
      <c r="Z561" s="120"/>
    </row>
    <row r="562" ht="15.75" customHeight="1">
      <c r="A562" s="120"/>
      <c r="B562" s="120"/>
      <c r="C562" s="120"/>
      <c r="D562" s="120"/>
      <c r="E562" s="120"/>
      <c r="F562" s="120"/>
      <c r="G562" s="120"/>
      <c r="H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  <c r="X562" s="120"/>
      <c r="Y562" s="120"/>
      <c r="Z562" s="120"/>
    </row>
    <row r="563" ht="15.75" customHeight="1">
      <c r="A563" s="120"/>
      <c r="B563" s="120"/>
      <c r="C563" s="120"/>
      <c r="D563" s="120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</row>
    <row r="564" ht="15.75" customHeight="1">
      <c r="A564" s="120"/>
      <c r="B564" s="120"/>
      <c r="C564" s="120"/>
      <c r="D564" s="120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</row>
    <row r="565" ht="15.75" customHeight="1">
      <c r="A565" s="120"/>
      <c r="B565" s="120"/>
      <c r="C565" s="120"/>
      <c r="D565" s="120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</row>
    <row r="566" ht="15.75" customHeight="1">
      <c r="A566" s="120"/>
      <c r="B566" s="120"/>
      <c r="C566" s="120"/>
      <c r="D566" s="120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</row>
    <row r="567" ht="15.75" customHeight="1">
      <c r="A567" s="120"/>
      <c r="B567" s="120"/>
      <c r="C567" s="120"/>
      <c r="D567" s="120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</row>
    <row r="568" ht="15.75" customHeight="1">
      <c r="A568" s="120"/>
      <c r="B568" s="120"/>
      <c r="C568" s="120"/>
      <c r="D568" s="120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</row>
    <row r="569" ht="15.75" customHeight="1">
      <c r="A569" s="120"/>
      <c r="B569" s="120"/>
      <c r="C569" s="120"/>
      <c r="D569" s="120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</row>
    <row r="570" ht="15.75" customHeight="1">
      <c r="A570" s="120"/>
      <c r="B570" s="120"/>
      <c r="C570" s="120"/>
      <c r="D570" s="120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</row>
    <row r="571" ht="15.75" customHeight="1">
      <c r="A571" s="120"/>
      <c r="B571" s="120"/>
      <c r="C571" s="120"/>
      <c r="D571" s="120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</row>
    <row r="572" ht="15.75" customHeight="1">
      <c r="A572" s="120"/>
      <c r="B572" s="120"/>
      <c r="C572" s="120"/>
      <c r="D572" s="120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</row>
    <row r="573" ht="15.75" customHeight="1">
      <c r="A573" s="120"/>
      <c r="B573" s="120"/>
      <c r="C573" s="120"/>
      <c r="D573" s="120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</row>
    <row r="574" ht="15.75" customHeight="1">
      <c r="A574" s="120"/>
      <c r="B574" s="120"/>
      <c r="C574" s="120"/>
      <c r="D574" s="120"/>
      <c r="E574" s="120"/>
      <c r="F574" s="120"/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</row>
    <row r="575" ht="15.75" customHeight="1">
      <c r="A575" s="120"/>
      <c r="B575" s="120"/>
      <c r="C575" s="120"/>
      <c r="D575" s="120"/>
      <c r="E575" s="120"/>
      <c r="F575" s="120"/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  <c r="X575" s="120"/>
      <c r="Y575" s="120"/>
      <c r="Z575" s="120"/>
    </row>
    <row r="576" ht="15.75" customHeight="1">
      <c r="A576" s="120"/>
      <c r="B576" s="120"/>
      <c r="C576" s="120"/>
      <c r="D576" s="120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</row>
    <row r="577" ht="15.75" customHeight="1">
      <c r="A577" s="120"/>
      <c r="B577" s="120"/>
      <c r="C577" s="120"/>
      <c r="D577" s="120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</row>
    <row r="578" ht="15.75" customHeight="1">
      <c r="A578" s="120"/>
      <c r="B578" s="120"/>
      <c r="C578" s="120"/>
      <c r="D578" s="120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</row>
    <row r="579" ht="15.75" customHeight="1">
      <c r="A579" s="120"/>
      <c r="B579" s="120"/>
      <c r="C579" s="120"/>
      <c r="D579" s="120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</row>
    <row r="580" ht="15.75" customHeight="1">
      <c r="A580" s="120"/>
      <c r="B580" s="120"/>
      <c r="C580" s="120"/>
      <c r="D580" s="120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</row>
    <row r="581" ht="15.75" customHeight="1">
      <c r="A581" s="120"/>
      <c r="B581" s="120"/>
      <c r="C581" s="120"/>
      <c r="D581" s="120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</row>
    <row r="582" ht="15.75" customHeight="1">
      <c r="A582" s="120"/>
      <c r="B582" s="120"/>
      <c r="C582" s="120"/>
      <c r="D582" s="120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</row>
    <row r="583" ht="15.75" customHeight="1">
      <c r="A583" s="120"/>
      <c r="B583" s="120"/>
      <c r="C583" s="120"/>
      <c r="D583" s="120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</row>
    <row r="584" ht="15.75" customHeight="1">
      <c r="A584" s="120"/>
      <c r="B584" s="120"/>
      <c r="C584" s="120"/>
      <c r="D584" s="120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</row>
    <row r="585" ht="15.75" customHeight="1">
      <c r="A585" s="120"/>
      <c r="B585" s="120"/>
      <c r="C585" s="120"/>
      <c r="D585" s="120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</row>
    <row r="586" ht="15.75" customHeight="1">
      <c r="A586" s="120"/>
      <c r="B586" s="120"/>
      <c r="C586" s="120"/>
      <c r="D586" s="120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</row>
    <row r="587" ht="15.75" customHeight="1">
      <c r="A587" s="120"/>
      <c r="B587" s="120"/>
      <c r="C587" s="120"/>
      <c r="D587" s="120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</row>
    <row r="588" ht="15.75" customHeight="1">
      <c r="A588" s="120"/>
      <c r="B588" s="120"/>
      <c r="C588" s="120"/>
      <c r="D588" s="120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</row>
    <row r="589" ht="15.75" customHeight="1">
      <c r="A589" s="120"/>
      <c r="B589" s="120"/>
      <c r="C589" s="120"/>
      <c r="D589" s="120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</row>
    <row r="590" ht="15.75" customHeight="1">
      <c r="A590" s="120"/>
      <c r="B590" s="120"/>
      <c r="C590" s="120"/>
      <c r="D590" s="120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</row>
    <row r="591" ht="15.75" customHeight="1">
      <c r="A591" s="120"/>
      <c r="B591" s="120"/>
      <c r="C591" s="120"/>
      <c r="D591" s="120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</row>
    <row r="592" ht="15.75" customHeight="1">
      <c r="A592" s="120"/>
      <c r="B592" s="120"/>
      <c r="C592" s="120"/>
      <c r="D592" s="120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</row>
    <row r="593" ht="15.75" customHeight="1">
      <c r="A593" s="120"/>
      <c r="B593" s="120"/>
      <c r="C593" s="120"/>
      <c r="D593" s="120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</row>
    <row r="594" ht="15.75" customHeight="1">
      <c r="A594" s="120"/>
      <c r="B594" s="120"/>
      <c r="C594" s="120"/>
      <c r="D594" s="120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</row>
    <row r="595" ht="15.75" customHeight="1">
      <c r="A595" s="120"/>
      <c r="B595" s="120"/>
      <c r="C595" s="120"/>
      <c r="D595" s="120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</row>
    <row r="596" ht="15.75" customHeight="1">
      <c r="A596" s="120"/>
      <c r="B596" s="120"/>
      <c r="C596" s="120"/>
      <c r="D596" s="120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</row>
    <row r="597" ht="15.75" customHeight="1">
      <c r="A597" s="120"/>
      <c r="B597" s="120"/>
      <c r="C597" s="120"/>
      <c r="D597" s="120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</row>
    <row r="598" ht="15.75" customHeight="1">
      <c r="A598" s="120"/>
      <c r="B598" s="120"/>
      <c r="C598" s="120"/>
      <c r="D598" s="120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</row>
    <row r="599" ht="15.75" customHeight="1">
      <c r="A599" s="120"/>
      <c r="B599" s="120"/>
      <c r="C599" s="120"/>
      <c r="D599" s="120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</row>
    <row r="600" ht="15.75" customHeight="1">
      <c r="A600" s="120"/>
      <c r="B600" s="120"/>
      <c r="C600" s="120"/>
      <c r="D600" s="120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</row>
    <row r="601" ht="15.75" customHeight="1">
      <c r="A601" s="120"/>
      <c r="B601" s="120"/>
      <c r="C601" s="120"/>
      <c r="D601" s="120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</row>
    <row r="602" ht="15.75" customHeight="1">
      <c r="A602" s="120"/>
      <c r="B602" s="120"/>
      <c r="C602" s="120"/>
      <c r="D602" s="120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</row>
    <row r="603" ht="15.75" customHeight="1">
      <c r="A603" s="120"/>
      <c r="B603" s="120"/>
      <c r="C603" s="120"/>
      <c r="D603" s="120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</row>
    <row r="604" ht="15.75" customHeight="1">
      <c r="A604" s="120"/>
      <c r="B604" s="120"/>
      <c r="C604" s="120"/>
      <c r="D604" s="120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</row>
    <row r="605" ht="15.75" customHeight="1">
      <c r="A605" s="120"/>
      <c r="B605" s="120"/>
      <c r="C605" s="120"/>
      <c r="D605" s="120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</row>
    <row r="606" ht="15.75" customHeight="1">
      <c r="A606" s="120"/>
      <c r="B606" s="120"/>
      <c r="C606" s="120"/>
      <c r="D606" s="120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</row>
    <row r="607" ht="15.75" customHeight="1">
      <c r="A607" s="120"/>
      <c r="B607" s="120"/>
      <c r="C607" s="120"/>
      <c r="D607" s="120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</row>
    <row r="608" ht="15.75" customHeight="1">
      <c r="A608" s="120"/>
      <c r="B608" s="120"/>
      <c r="C608" s="120"/>
      <c r="D608" s="120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</row>
    <row r="609" ht="15.75" customHeight="1">
      <c r="A609" s="120"/>
      <c r="B609" s="120"/>
      <c r="C609" s="120"/>
      <c r="D609" s="120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</row>
    <row r="610" ht="15.75" customHeight="1">
      <c r="A610" s="120"/>
      <c r="B610" s="120"/>
      <c r="C610" s="120"/>
      <c r="D610" s="120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</row>
    <row r="611" ht="15.75" customHeight="1">
      <c r="A611" s="120"/>
      <c r="B611" s="120"/>
      <c r="C611" s="120"/>
      <c r="D611" s="120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</row>
    <row r="612" ht="15.75" customHeight="1">
      <c r="A612" s="120"/>
      <c r="B612" s="120"/>
      <c r="C612" s="120"/>
      <c r="D612" s="120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</row>
    <row r="613" ht="15.75" customHeight="1">
      <c r="A613" s="120"/>
      <c r="B613" s="120"/>
      <c r="C613" s="120"/>
      <c r="D613" s="120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</row>
    <row r="614" ht="15.75" customHeight="1">
      <c r="A614" s="120"/>
      <c r="B614" s="120"/>
      <c r="C614" s="120"/>
      <c r="D614" s="120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</row>
    <row r="615" ht="15.75" customHeight="1">
      <c r="A615" s="120"/>
      <c r="B615" s="120"/>
      <c r="C615" s="120"/>
      <c r="D615" s="120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</row>
    <row r="616" ht="15.75" customHeight="1">
      <c r="A616" s="120"/>
      <c r="B616" s="120"/>
      <c r="C616" s="120"/>
      <c r="D616" s="120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</row>
    <row r="617" ht="15.75" customHeight="1">
      <c r="A617" s="120"/>
      <c r="B617" s="120"/>
      <c r="C617" s="120"/>
      <c r="D617" s="120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</row>
    <row r="618" ht="15.75" customHeight="1">
      <c r="A618" s="120"/>
      <c r="B618" s="120"/>
      <c r="C618" s="120"/>
      <c r="D618" s="120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</row>
    <row r="619" ht="15.75" customHeight="1">
      <c r="A619" s="120"/>
      <c r="B619" s="120"/>
      <c r="C619" s="120"/>
      <c r="D619" s="120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</row>
    <row r="620" ht="15.75" customHeight="1">
      <c r="A620" s="120"/>
      <c r="B620" s="120"/>
      <c r="C620" s="120"/>
      <c r="D620" s="120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</row>
    <row r="621" ht="15.75" customHeight="1">
      <c r="A621" s="120"/>
      <c r="B621" s="120"/>
      <c r="C621" s="120"/>
      <c r="D621" s="120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</row>
    <row r="622" ht="15.75" customHeight="1">
      <c r="A622" s="120"/>
      <c r="B622" s="120"/>
      <c r="C622" s="120"/>
      <c r="D622" s="120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</row>
    <row r="623" ht="15.75" customHeight="1">
      <c r="A623" s="120"/>
      <c r="B623" s="120"/>
      <c r="C623" s="120"/>
      <c r="D623" s="120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</row>
    <row r="624" ht="15.75" customHeight="1">
      <c r="A624" s="120"/>
      <c r="B624" s="120"/>
      <c r="C624" s="120"/>
      <c r="D624" s="120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</row>
    <row r="625" ht="15.75" customHeight="1">
      <c r="A625" s="120"/>
      <c r="B625" s="120"/>
      <c r="C625" s="120"/>
      <c r="D625" s="120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</row>
    <row r="626" ht="15.75" customHeight="1">
      <c r="A626" s="120"/>
      <c r="B626" s="120"/>
      <c r="C626" s="120"/>
      <c r="D626" s="120"/>
      <c r="E626" s="120"/>
      <c r="F626" s="120"/>
      <c r="G626" s="120"/>
      <c r="H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  <c r="X626" s="120"/>
      <c r="Y626" s="120"/>
      <c r="Z626" s="120"/>
    </row>
    <row r="627" ht="15.75" customHeight="1">
      <c r="A627" s="120"/>
      <c r="B627" s="120"/>
      <c r="C627" s="120"/>
      <c r="D627" s="120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</row>
    <row r="628" ht="15.75" customHeight="1">
      <c r="A628" s="120"/>
      <c r="B628" s="120"/>
      <c r="C628" s="120"/>
      <c r="D628" s="120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</row>
    <row r="629" ht="15.75" customHeight="1">
      <c r="A629" s="120"/>
      <c r="B629" s="120"/>
      <c r="C629" s="120"/>
      <c r="D629" s="120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</row>
    <row r="630" ht="15.75" customHeight="1">
      <c r="A630" s="120"/>
      <c r="B630" s="120"/>
      <c r="C630" s="120"/>
      <c r="D630" s="120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</row>
    <row r="631" ht="15.75" customHeight="1">
      <c r="A631" s="120"/>
      <c r="B631" s="120"/>
      <c r="C631" s="120"/>
      <c r="D631" s="120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</row>
    <row r="632" ht="15.75" customHeight="1">
      <c r="A632" s="120"/>
      <c r="B632" s="120"/>
      <c r="C632" s="120"/>
      <c r="D632" s="120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</row>
    <row r="633" ht="15.75" customHeight="1">
      <c r="A633" s="120"/>
      <c r="B633" s="120"/>
      <c r="C633" s="120"/>
      <c r="D633" s="120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</row>
    <row r="634" ht="15.75" customHeight="1">
      <c r="A634" s="120"/>
      <c r="B634" s="120"/>
      <c r="C634" s="120"/>
      <c r="D634" s="120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</row>
    <row r="635" ht="15.75" customHeight="1">
      <c r="A635" s="120"/>
      <c r="B635" s="120"/>
      <c r="C635" s="120"/>
      <c r="D635" s="120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</row>
    <row r="636" ht="15.75" customHeight="1">
      <c r="A636" s="120"/>
      <c r="B636" s="120"/>
      <c r="C636" s="120"/>
      <c r="D636" s="120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</row>
    <row r="637" ht="15.75" customHeight="1">
      <c r="A637" s="120"/>
      <c r="B637" s="120"/>
      <c r="C637" s="120"/>
      <c r="D637" s="120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</row>
    <row r="638" ht="15.75" customHeight="1">
      <c r="A638" s="120"/>
      <c r="B638" s="120"/>
      <c r="C638" s="120"/>
      <c r="D638" s="120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</row>
    <row r="639" ht="15.75" customHeight="1">
      <c r="A639" s="120"/>
      <c r="B639" s="120"/>
      <c r="C639" s="120"/>
      <c r="D639" s="120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</row>
    <row r="640" ht="15.75" customHeight="1">
      <c r="A640" s="120"/>
      <c r="B640" s="120"/>
      <c r="C640" s="120"/>
      <c r="D640" s="120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</row>
    <row r="641" ht="15.75" customHeight="1">
      <c r="A641" s="120"/>
      <c r="B641" s="120"/>
      <c r="C641" s="120"/>
      <c r="D641" s="120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</row>
    <row r="642" ht="15.75" customHeight="1">
      <c r="A642" s="120"/>
      <c r="B642" s="120"/>
      <c r="C642" s="120"/>
      <c r="D642" s="120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</row>
    <row r="643" ht="15.75" customHeight="1">
      <c r="A643" s="120"/>
      <c r="B643" s="120"/>
      <c r="C643" s="120"/>
      <c r="D643" s="120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</row>
    <row r="644" ht="15.75" customHeight="1">
      <c r="A644" s="120"/>
      <c r="B644" s="120"/>
      <c r="C644" s="120"/>
      <c r="D644" s="120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</row>
    <row r="645" ht="15.75" customHeight="1">
      <c r="A645" s="120"/>
      <c r="B645" s="120"/>
      <c r="C645" s="120"/>
      <c r="D645" s="120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</row>
    <row r="646" ht="15.75" customHeight="1">
      <c r="A646" s="120"/>
      <c r="B646" s="120"/>
      <c r="C646" s="120"/>
      <c r="D646" s="120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</row>
    <row r="647" ht="15.75" customHeight="1">
      <c r="A647" s="120"/>
      <c r="B647" s="120"/>
      <c r="C647" s="120"/>
      <c r="D647" s="120"/>
      <c r="E647" s="120"/>
      <c r="F647" s="120"/>
      <c r="G647" s="120"/>
      <c r="H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  <c r="X647" s="120"/>
      <c r="Y647" s="120"/>
      <c r="Z647" s="120"/>
    </row>
    <row r="648" ht="15.75" customHeight="1">
      <c r="A648" s="120"/>
      <c r="B648" s="120"/>
      <c r="C648" s="120"/>
      <c r="D648" s="120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</row>
    <row r="649" ht="15.75" customHeight="1">
      <c r="A649" s="120"/>
      <c r="B649" s="120"/>
      <c r="C649" s="120"/>
      <c r="D649" s="120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</row>
    <row r="650" ht="15.75" customHeight="1">
      <c r="A650" s="120"/>
      <c r="B650" s="120"/>
      <c r="C650" s="120"/>
      <c r="D650" s="120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</row>
    <row r="651" ht="15.75" customHeight="1">
      <c r="A651" s="120"/>
      <c r="B651" s="120"/>
      <c r="C651" s="120"/>
      <c r="D651" s="120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</row>
    <row r="652" ht="15.75" customHeight="1">
      <c r="A652" s="120"/>
      <c r="B652" s="120"/>
      <c r="C652" s="120"/>
      <c r="D652" s="120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</row>
    <row r="653" ht="15.75" customHeight="1">
      <c r="A653" s="120"/>
      <c r="B653" s="120"/>
      <c r="C653" s="120"/>
      <c r="D653" s="120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</row>
    <row r="654" ht="15.75" customHeight="1">
      <c r="A654" s="120"/>
      <c r="B654" s="120"/>
      <c r="C654" s="120"/>
      <c r="D654" s="120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</row>
    <row r="655" ht="15.75" customHeight="1">
      <c r="A655" s="120"/>
      <c r="B655" s="120"/>
      <c r="C655" s="120"/>
      <c r="D655" s="120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</row>
    <row r="656" ht="15.75" customHeight="1">
      <c r="A656" s="120"/>
      <c r="B656" s="120"/>
      <c r="C656" s="120"/>
      <c r="D656" s="120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</row>
    <row r="657" ht="15.75" customHeight="1">
      <c r="A657" s="120"/>
      <c r="B657" s="120"/>
      <c r="C657" s="120"/>
      <c r="D657" s="120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</row>
    <row r="658" ht="15.75" customHeight="1">
      <c r="A658" s="120"/>
      <c r="B658" s="120"/>
      <c r="C658" s="120"/>
      <c r="D658" s="120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</row>
    <row r="659" ht="15.75" customHeight="1">
      <c r="A659" s="120"/>
      <c r="B659" s="120"/>
      <c r="C659" s="120"/>
      <c r="D659" s="120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</row>
    <row r="660" ht="15.75" customHeight="1">
      <c r="A660" s="120"/>
      <c r="B660" s="120"/>
      <c r="C660" s="120"/>
      <c r="D660" s="120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</row>
    <row r="661" ht="15.75" customHeight="1">
      <c r="A661" s="120"/>
      <c r="B661" s="120"/>
      <c r="C661" s="120"/>
      <c r="D661" s="120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</row>
    <row r="662" ht="15.75" customHeight="1">
      <c r="A662" s="120"/>
      <c r="B662" s="120"/>
      <c r="C662" s="120"/>
      <c r="D662" s="120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</row>
    <row r="663" ht="15.75" customHeight="1">
      <c r="A663" s="120"/>
      <c r="B663" s="120"/>
      <c r="C663" s="120"/>
      <c r="D663" s="120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</row>
    <row r="664" ht="15.75" customHeight="1">
      <c r="A664" s="120"/>
      <c r="B664" s="120"/>
      <c r="C664" s="120"/>
      <c r="D664" s="120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</row>
    <row r="665" ht="15.75" customHeight="1">
      <c r="A665" s="120"/>
      <c r="B665" s="120"/>
      <c r="C665" s="120"/>
      <c r="D665" s="120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</row>
    <row r="666" ht="15.75" customHeight="1">
      <c r="A666" s="120"/>
      <c r="B666" s="120"/>
      <c r="C666" s="120"/>
      <c r="D666" s="120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</row>
    <row r="667" ht="15.75" customHeight="1">
      <c r="A667" s="120"/>
      <c r="B667" s="120"/>
      <c r="C667" s="120"/>
      <c r="D667" s="120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</row>
    <row r="668" ht="15.75" customHeight="1">
      <c r="A668" s="120"/>
      <c r="B668" s="120"/>
      <c r="C668" s="120"/>
      <c r="D668" s="120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</row>
    <row r="669" ht="15.75" customHeight="1">
      <c r="A669" s="120"/>
      <c r="B669" s="120"/>
      <c r="C669" s="120"/>
      <c r="D669" s="120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</row>
    <row r="670" ht="15.75" customHeight="1">
      <c r="A670" s="120"/>
      <c r="B670" s="120"/>
      <c r="C670" s="120"/>
      <c r="D670" s="120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</row>
    <row r="671" ht="15.75" customHeight="1">
      <c r="A671" s="120"/>
      <c r="B671" s="120"/>
      <c r="C671" s="120"/>
      <c r="D671" s="120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</row>
    <row r="672" ht="15.75" customHeight="1">
      <c r="A672" s="120"/>
      <c r="B672" s="120"/>
      <c r="C672" s="120"/>
      <c r="D672" s="120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</row>
    <row r="673" ht="15.75" customHeight="1">
      <c r="A673" s="120"/>
      <c r="B673" s="120"/>
      <c r="C673" s="120"/>
      <c r="D673" s="120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</row>
    <row r="674" ht="15.75" customHeight="1">
      <c r="A674" s="120"/>
      <c r="B674" s="120"/>
      <c r="C674" s="120"/>
      <c r="D674" s="120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</row>
    <row r="675" ht="15.75" customHeight="1">
      <c r="A675" s="120"/>
      <c r="B675" s="120"/>
      <c r="C675" s="120"/>
      <c r="D675" s="120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</row>
    <row r="676" ht="15.75" customHeight="1">
      <c r="A676" s="120"/>
      <c r="B676" s="120"/>
      <c r="C676" s="120"/>
      <c r="D676" s="120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</row>
    <row r="677" ht="15.75" customHeight="1">
      <c r="A677" s="120"/>
      <c r="B677" s="120"/>
      <c r="C677" s="120"/>
      <c r="D677" s="120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</row>
    <row r="678" ht="15.75" customHeight="1">
      <c r="A678" s="120"/>
      <c r="B678" s="120"/>
      <c r="C678" s="120"/>
      <c r="D678" s="120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</row>
    <row r="679" ht="15.75" customHeight="1">
      <c r="A679" s="120"/>
      <c r="B679" s="120"/>
      <c r="C679" s="120"/>
      <c r="D679" s="120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</row>
    <row r="680" ht="15.75" customHeight="1">
      <c r="A680" s="120"/>
      <c r="B680" s="120"/>
      <c r="C680" s="120"/>
      <c r="D680" s="120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</row>
    <row r="681" ht="15.75" customHeight="1">
      <c r="A681" s="120"/>
      <c r="B681" s="120"/>
      <c r="C681" s="120"/>
      <c r="D681" s="120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</row>
    <row r="682" ht="15.75" customHeight="1">
      <c r="A682" s="120"/>
      <c r="B682" s="120"/>
      <c r="C682" s="120"/>
      <c r="D682" s="120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</row>
    <row r="683" ht="15.75" customHeight="1">
      <c r="A683" s="120"/>
      <c r="B683" s="120"/>
      <c r="C683" s="120"/>
      <c r="D683" s="120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</row>
    <row r="684" ht="15.75" customHeight="1">
      <c r="A684" s="120"/>
      <c r="B684" s="120"/>
      <c r="C684" s="120"/>
      <c r="D684" s="120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</row>
    <row r="685" ht="15.75" customHeight="1">
      <c r="A685" s="120"/>
      <c r="B685" s="120"/>
      <c r="C685" s="120"/>
      <c r="D685" s="120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</row>
    <row r="686" ht="15.75" customHeight="1">
      <c r="A686" s="120"/>
      <c r="B686" s="120"/>
      <c r="C686" s="120"/>
      <c r="D686" s="120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</row>
    <row r="687" ht="15.75" customHeight="1">
      <c r="A687" s="120"/>
      <c r="B687" s="120"/>
      <c r="C687" s="120"/>
      <c r="D687" s="120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</row>
    <row r="688" ht="15.75" customHeight="1">
      <c r="A688" s="120"/>
      <c r="B688" s="120"/>
      <c r="C688" s="120"/>
      <c r="D688" s="120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</row>
    <row r="689" ht="15.75" customHeight="1">
      <c r="A689" s="120"/>
      <c r="B689" s="120"/>
      <c r="C689" s="120"/>
      <c r="D689" s="120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</row>
    <row r="690" ht="15.75" customHeight="1">
      <c r="A690" s="120"/>
      <c r="B690" s="120"/>
      <c r="C690" s="120"/>
      <c r="D690" s="120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</row>
    <row r="691" ht="15.75" customHeight="1">
      <c r="A691" s="120"/>
      <c r="B691" s="120"/>
      <c r="C691" s="120"/>
      <c r="D691" s="120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</row>
    <row r="692" ht="15.75" customHeight="1">
      <c r="A692" s="120"/>
      <c r="B692" s="120"/>
      <c r="C692" s="120"/>
      <c r="D692" s="120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</row>
    <row r="693" ht="15.75" customHeight="1">
      <c r="A693" s="120"/>
      <c r="B693" s="120"/>
      <c r="C693" s="120"/>
      <c r="D693" s="120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</row>
    <row r="694" ht="15.75" customHeight="1">
      <c r="A694" s="120"/>
      <c r="B694" s="120"/>
      <c r="C694" s="120"/>
      <c r="D694" s="120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</row>
    <row r="695" ht="15.75" customHeight="1">
      <c r="A695" s="120"/>
      <c r="B695" s="120"/>
      <c r="C695" s="120"/>
      <c r="D695" s="120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</row>
    <row r="696" ht="15.75" customHeight="1">
      <c r="A696" s="120"/>
      <c r="B696" s="120"/>
      <c r="C696" s="120"/>
      <c r="D696" s="120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</row>
    <row r="697" ht="15.75" customHeight="1">
      <c r="A697" s="120"/>
      <c r="B697" s="120"/>
      <c r="C697" s="120"/>
      <c r="D697" s="120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</row>
    <row r="698" ht="15.75" customHeight="1">
      <c r="A698" s="120"/>
      <c r="B698" s="120"/>
      <c r="C698" s="120"/>
      <c r="D698" s="120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</row>
    <row r="699" ht="15.75" customHeight="1">
      <c r="A699" s="120"/>
      <c r="B699" s="120"/>
      <c r="C699" s="120"/>
      <c r="D699" s="120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</row>
    <row r="700" ht="15.75" customHeight="1">
      <c r="A700" s="120"/>
      <c r="B700" s="120"/>
      <c r="C700" s="120"/>
      <c r="D700" s="120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</row>
    <row r="701" ht="15.75" customHeight="1">
      <c r="A701" s="120"/>
      <c r="B701" s="120"/>
      <c r="C701" s="120"/>
      <c r="D701" s="120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</row>
    <row r="702" ht="15.75" customHeight="1">
      <c r="A702" s="120"/>
      <c r="B702" s="120"/>
      <c r="C702" s="120"/>
      <c r="D702" s="120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</row>
    <row r="703" ht="15.75" customHeight="1">
      <c r="A703" s="120"/>
      <c r="B703" s="120"/>
      <c r="C703" s="120"/>
      <c r="D703" s="120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</row>
    <row r="704" ht="15.75" customHeight="1">
      <c r="A704" s="120"/>
      <c r="B704" s="120"/>
      <c r="C704" s="120"/>
      <c r="D704" s="120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</row>
    <row r="705" ht="15.75" customHeight="1">
      <c r="A705" s="120"/>
      <c r="B705" s="120"/>
      <c r="C705" s="120"/>
      <c r="D705" s="120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</row>
    <row r="706" ht="15.75" customHeight="1">
      <c r="A706" s="120"/>
      <c r="B706" s="120"/>
      <c r="C706" s="120"/>
      <c r="D706" s="120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</row>
    <row r="707" ht="15.75" customHeight="1">
      <c r="A707" s="120"/>
      <c r="B707" s="120"/>
      <c r="C707" s="120"/>
      <c r="D707" s="120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</row>
    <row r="708" ht="15.75" customHeight="1">
      <c r="A708" s="120"/>
      <c r="B708" s="120"/>
      <c r="C708" s="120"/>
      <c r="D708" s="120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</row>
    <row r="709" ht="15.75" customHeight="1">
      <c r="A709" s="120"/>
      <c r="B709" s="120"/>
      <c r="C709" s="120"/>
      <c r="D709" s="120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</row>
    <row r="710" ht="15.75" customHeight="1">
      <c r="A710" s="120"/>
      <c r="B710" s="120"/>
      <c r="C710" s="120"/>
      <c r="D710" s="120"/>
      <c r="E710" s="120"/>
      <c r="F710" s="120"/>
      <c r="G710" s="120"/>
      <c r="H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</row>
    <row r="711" ht="15.75" customHeight="1">
      <c r="A711" s="120"/>
      <c r="B711" s="120"/>
      <c r="C711" s="120"/>
      <c r="D711" s="120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</row>
    <row r="712" ht="15.75" customHeight="1">
      <c r="A712" s="120"/>
      <c r="B712" s="120"/>
      <c r="C712" s="120"/>
      <c r="D712" s="120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</row>
    <row r="713" ht="15.75" customHeight="1">
      <c r="A713" s="120"/>
      <c r="B713" s="120"/>
      <c r="C713" s="120"/>
      <c r="D713" s="120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</row>
    <row r="714" ht="15.75" customHeight="1">
      <c r="A714" s="120"/>
      <c r="B714" s="120"/>
      <c r="C714" s="120"/>
      <c r="D714" s="120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</row>
    <row r="715" ht="15.75" customHeight="1">
      <c r="A715" s="120"/>
      <c r="B715" s="120"/>
      <c r="C715" s="120"/>
      <c r="D715" s="120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</row>
    <row r="716" ht="15.75" customHeight="1">
      <c r="A716" s="120"/>
      <c r="B716" s="120"/>
      <c r="C716" s="120"/>
      <c r="D716" s="120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</row>
    <row r="717" ht="15.75" customHeight="1">
      <c r="A717" s="120"/>
      <c r="B717" s="120"/>
      <c r="C717" s="120"/>
      <c r="D717" s="120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</row>
    <row r="718" ht="15.75" customHeight="1">
      <c r="A718" s="120"/>
      <c r="B718" s="120"/>
      <c r="C718" s="120"/>
      <c r="D718" s="120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</row>
    <row r="719" ht="15.75" customHeight="1">
      <c r="A719" s="120"/>
      <c r="B719" s="120"/>
      <c r="C719" s="120"/>
      <c r="D719" s="120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</row>
    <row r="720" ht="15.75" customHeight="1">
      <c r="A720" s="120"/>
      <c r="B720" s="120"/>
      <c r="C720" s="120"/>
      <c r="D720" s="120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</row>
    <row r="721" ht="15.75" customHeight="1">
      <c r="A721" s="120"/>
      <c r="B721" s="120"/>
      <c r="C721" s="120"/>
      <c r="D721" s="120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</row>
    <row r="722" ht="15.75" customHeight="1">
      <c r="A722" s="120"/>
      <c r="B722" s="120"/>
      <c r="C722" s="120"/>
      <c r="D722" s="120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</row>
    <row r="723" ht="15.75" customHeight="1">
      <c r="A723" s="120"/>
      <c r="B723" s="120"/>
      <c r="C723" s="120"/>
      <c r="D723" s="120"/>
      <c r="E723" s="120"/>
      <c r="F723" s="120"/>
      <c r="G723" s="120"/>
      <c r="H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</row>
    <row r="724" ht="15.75" customHeight="1">
      <c r="A724" s="120"/>
      <c r="B724" s="120"/>
      <c r="C724" s="120"/>
      <c r="D724" s="120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</row>
    <row r="725" ht="15.75" customHeight="1">
      <c r="A725" s="120"/>
      <c r="B725" s="120"/>
      <c r="C725" s="120"/>
      <c r="D725" s="120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</row>
    <row r="726" ht="15.75" customHeight="1">
      <c r="A726" s="120"/>
      <c r="B726" s="120"/>
      <c r="C726" s="120"/>
      <c r="D726" s="120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</row>
    <row r="727" ht="15.75" customHeight="1">
      <c r="A727" s="120"/>
      <c r="B727" s="120"/>
      <c r="C727" s="120"/>
      <c r="D727" s="120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</row>
    <row r="728" ht="15.75" customHeight="1">
      <c r="A728" s="120"/>
      <c r="B728" s="120"/>
      <c r="C728" s="120"/>
      <c r="D728" s="120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</row>
    <row r="729" ht="15.75" customHeight="1">
      <c r="A729" s="120"/>
      <c r="B729" s="120"/>
      <c r="C729" s="120"/>
      <c r="D729" s="120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</row>
    <row r="730" ht="15.75" customHeight="1">
      <c r="A730" s="120"/>
      <c r="B730" s="120"/>
      <c r="C730" s="120"/>
      <c r="D730" s="120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</row>
    <row r="731" ht="15.75" customHeight="1">
      <c r="A731" s="120"/>
      <c r="B731" s="120"/>
      <c r="C731" s="120"/>
      <c r="D731" s="120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</row>
    <row r="732" ht="15.75" customHeight="1">
      <c r="A732" s="120"/>
      <c r="B732" s="120"/>
      <c r="C732" s="120"/>
      <c r="D732" s="120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</row>
    <row r="733" ht="15.75" customHeight="1">
      <c r="A733" s="120"/>
      <c r="B733" s="120"/>
      <c r="C733" s="120"/>
      <c r="D733" s="120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</row>
    <row r="734" ht="15.75" customHeight="1">
      <c r="A734" s="120"/>
      <c r="B734" s="120"/>
      <c r="C734" s="120"/>
      <c r="D734" s="120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</row>
    <row r="735" ht="15.75" customHeight="1">
      <c r="A735" s="120"/>
      <c r="B735" s="120"/>
      <c r="C735" s="120"/>
      <c r="D735" s="120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</row>
    <row r="736" ht="15.75" customHeight="1">
      <c r="A736" s="120"/>
      <c r="B736" s="120"/>
      <c r="C736" s="120"/>
      <c r="D736" s="120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</row>
    <row r="737" ht="15.75" customHeight="1">
      <c r="A737" s="120"/>
      <c r="B737" s="120"/>
      <c r="C737" s="120"/>
      <c r="D737" s="120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</row>
    <row r="738" ht="15.75" customHeight="1">
      <c r="A738" s="120"/>
      <c r="B738" s="120"/>
      <c r="C738" s="120"/>
      <c r="D738" s="120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</row>
    <row r="739" ht="15.75" customHeight="1">
      <c r="A739" s="120"/>
      <c r="B739" s="120"/>
      <c r="C739" s="120"/>
      <c r="D739" s="120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</row>
    <row r="740" ht="15.75" customHeight="1">
      <c r="A740" s="120"/>
      <c r="B740" s="120"/>
      <c r="C740" s="120"/>
      <c r="D740" s="120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</row>
    <row r="741" ht="15.75" customHeight="1">
      <c r="A741" s="120"/>
      <c r="B741" s="120"/>
      <c r="C741" s="120"/>
      <c r="D741" s="120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</row>
    <row r="742" ht="15.75" customHeight="1">
      <c r="A742" s="120"/>
      <c r="B742" s="120"/>
      <c r="C742" s="120"/>
      <c r="D742" s="120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</row>
    <row r="743" ht="15.75" customHeight="1">
      <c r="A743" s="120"/>
      <c r="B743" s="120"/>
      <c r="C743" s="120"/>
      <c r="D743" s="120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</row>
    <row r="744" ht="15.75" customHeight="1">
      <c r="A744" s="120"/>
      <c r="B744" s="120"/>
      <c r="C744" s="120"/>
      <c r="D744" s="120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</row>
    <row r="745" ht="15.75" customHeight="1">
      <c r="A745" s="120"/>
      <c r="B745" s="120"/>
      <c r="C745" s="120"/>
      <c r="D745" s="120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</row>
    <row r="746" ht="15.75" customHeight="1">
      <c r="A746" s="120"/>
      <c r="B746" s="120"/>
      <c r="C746" s="120"/>
      <c r="D746" s="120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</row>
    <row r="747" ht="15.75" customHeight="1">
      <c r="A747" s="120"/>
      <c r="B747" s="120"/>
      <c r="C747" s="120"/>
      <c r="D747" s="120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</row>
    <row r="748" ht="15.75" customHeight="1">
      <c r="A748" s="120"/>
      <c r="B748" s="120"/>
      <c r="C748" s="120"/>
      <c r="D748" s="120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</row>
    <row r="749" ht="15.75" customHeight="1">
      <c r="A749" s="120"/>
      <c r="B749" s="120"/>
      <c r="C749" s="120"/>
      <c r="D749" s="120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</row>
    <row r="750" ht="15.75" customHeight="1">
      <c r="A750" s="120"/>
      <c r="B750" s="120"/>
      <c r="C750" s="120"/>
      <c r="D750" s="120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</row>
    <row r="751" ht="15.75" customHeight="1">
      <c r="A751" s="120"/>
      <c r="B751" s="120"/>
      <c r="C751" s="120"/>
      <c r="D751" s="120"/>
      <c r="E751" s="120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</row>
    <row r="752" ht="15.75" customHeight="1">
      <c r="A752" s="120"/>
      <c r="B752" s="120"/>
      <c r="C752" s="120"/>
      <c r="D752" s="120"/>
      <c r="E752" s="120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</row>
    <row r="753" ht="15.75" customHeight="1">
      <c r="A753" s="120"/>
      <c r="B753" s="120"/>
      <c r="C753" s="120"/>
      <c r="D753" s="120"/>
      <c r="E753" s="120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</row>
    <row r="754" ht="15.75" customHeight="1">
      <c r="A754" s="120"/>
      <c r="B754" s="120"/>
      <c r="C754" s="120"/>
      <c r="D754" s="120"/>
      <c r="E754" s="120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</row>
    <row r="755" ht="15.75" customHeight="1">
      <c r="A755" s="120"/>
      <c r="B755" s="120"/>
      <c r="C755" s="120"/>
      <c r="D755" s="120"/>
      <c r="E755" s="120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</row>
    <row r="756" ht="15.75" customHeight="1">
      <c r="A756" s="120"/>
      <c r="B756" s="120"/>
      <c r="C756" s="120"/>
      <c r="D756" s="120"/>
      <c r="E756" s="120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</row>
    <row r="757" ht="15.75" customHeight="1">
      <c r="A757" s="120"/>
      <c r="B757" s="120"/>
      <c r="C757" s="120"/>
      <c r="D757" s="120"/>
      <c r="E757" s="120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</row>
    <row r="758" ht="15.75" customHeight="1">
      <c r="A758" s="120"/>
      <c r="B758" s="120"/>
      <c r="C758" s="120"/>
      <c r="D758" s="120"/>
      <c r="E758" s="120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</row>
    <row r="759" ht="15.75" customHeight="1">
      <c r="A759" s="120"/>
      <c r="B759" s="120"/>
      <c r="C759" s="120"/>
      <c r="D759" s="120"/>
      <c r="E759" s="120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</row>
    <row r="760" ht="15.75" customHeight="1">
      <c r="A760" s="120"/>
      <c r="B760" s="120"/>
      <c r="C760" s="120"/>
      <c r="D760" s="120"/>
      <c r="E760" s="120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</row>
    <row r="761" ht="15.75" customHeight="1">
      <c r="A761" s="120"/>
      <c r="B761" s="120"/>
      <c r="C761" s="120"/>
      <c r="D761" s="120"/>
      <c r="E761" s="120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</row>
    <row r="762" ht="15.75" customHeight="1">
      <c r="A762" s="120"/>
      <c r="B762" s="120"/>
      <c r="C762" s="120"/>
      <c r="D762" s="120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</row>
    <row r="763" ht="15.75" customHeight="1">
      <c r="A763" s="120"/>
      <c r="B763" s="120"/>
      <c r="C763" s="120"/>
      <c r="D763" s="120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</row>
    <row r="764" ht="15.75" customHeight="1">
      <c r="A764" s="120"/>
      <c r="B764" s="120"/>
      <c r="C764" s="120"/>
      <c r="D764" s="120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</row>
    <row r="765" ht="15.75" customHeight="1">
      <c r="A765" s="120"/>
      <c r="B765" s="120"/>
      <c r="C765" s="120"/>
      <c r="D765" s="120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</row>
    <row r="766" ht="15.75" customHeight="1">
      <c r="A766" s="120"/>
      <c r="B766" s="120"/>
      <c r="C766" s="120"/>
      <c r="D766" s="120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</row>
    <row r="767" ht="15.75" customHeight="1">
      <c r="A767" s="120"/>
      <c r="B767" s="120"/>
      <c r="C767" s="120"/>
      <c r="D767" s="120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</row>
    <row r="768" ht="15.75" customHeight="1">
      <c r="A768" s="120"/>
      <c r="B768" s="120"/>
      <c r="C768" s="120"/>
      <c r="D768" s="120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</row>
    <row r="769" ht="15.75" customHeight="1">
      <c r="A769" s="120"/>
      <c r="B769" s="120"/>
      <c r="C769" s="120"/>
      <c r="D769" s="120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</row>
    <row r="770" ht="15.75" customHeight="1">
      <c r="A770" s="120"/>
      <c r="B770" s="120"/>
      <c r="C770" s="120"/>
      <c r="D770" s="120"/>
      <c r="E770" s="120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</row>
    <row r="771" ht="15.75" customHeight="1">
      <c r="A771" s="120"/>
      <c r="B771" s="120"/>
      <c r="C771" s="120"/>
      <c r="D771" s="120"/>
      <c r="E771" s="120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</row>
    <row r="772" ht="15.75" customHeight="1">
      <c r="A772" s="120"/>
      <c r="B772" s="120"/>
      <c r="C772" s="120"/>
      <c r="D772" s="120"/>
      <c r="E772" s="120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</row>
    <row r="773" ht="15.75" customHeight="1">
      <c r="A773" s="120"/>
      <c r="B773" s="120"/>
      <c r="C773" s="120"/>
      <c r="D773" s="120"/>
      <c r="E773" s="120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</row>
    <row r="774" ht="15.75" customHeight="1">
      <c r="A774" s="120"/>
      <c r="B774" s="120"/>
      <c r="C774" s="120"/>
      <c r="D774" s="120"/>
      <c r="E774" s="120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</row>
    <row r="775" ht="15.75" customHeight="1">
      <c r="A775" s="120"/>
      <c r="B775" s="120"/>
      <c r="C775" s="120"/>
      <c r="D775" s="120"/>
      <c r="E775" s="120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</row>
    <row r="776" ht="15.75" customHeight="1">
      <c r="A776" s="120"/>
      <c r="B776" s="120"/>
      <c r="C776" s="120"/>
      <c r="D776" s="120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</row>
    <row r="777" ht="15.75" customHeight="1">
      <c r="A777" s="120"/>
      <c r="B777" s="120"/>
      <c r="C777" s="120"/>
      <c r="D777" s="120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</row>
    <row r="778" ht="15.75" customHeight="1">
      <c r="A778" s="120"/>
      <c r="B778" s="120"/>
      <c r="C778" s="120"/>
      <c r="D778" s="120"/>
      <c r="E778" s="120"/>
      <c r="F778" s="120"/>
      <c r="G778" s="120"/>
      <c r="H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</row>
    <row r="779" ht="15.75" customHeight="1">
      <c r="A779" s="120"/>
      <c r="B779" s="120"/>
      <c r="C779" s="120"/>
      <c r="D779" s="120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</row>
    <row r="780" ht="15.75" customHeight="1">
      <c r="A780" s="120"/>
      <c r="B780" s="120"/>
      <c r="C780" s="120"/>
      <c r="D780" s="120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</row>
    <row r="781" ht="15.75" customHeight="1">
      <c r="A781" s="120"/>
      <c r="B781" s="120"/>
      <c r="C781" s="120"/>
      <c r="D781" s="120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</row>
    <row r="782" ht="15.75" customHeight="1">
      <c r="A782" s="120"/>
      <c r="B782" s="120"/>
      <c r="C782" s="120"/>
      <c r="D782" s="120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</row>
    <row r="783" ht="15.75" customHeight="1">
      <c r="A783" s="120"/>
      <c r="B783" s="120"/>
      <c r="C783" s="120"/>
      <c r="D783" s="120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</row>
    <row r="784" ht="15.75" customHeight="1">
      <c r="A784" s="120"/>
      <c r="B784" s="120"/>
      <c r="C784" s="120"/>
      <c r="D784" s="120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</row>
    <row r="785" ht="15.75" customHeight="1">
      <c r="A785" s="120"/>
      <c r="B785" s="120"/>
      <c r="C785" s="120"/>
      <c r="D785" s="120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</row>
    <row r="786" ht="15.75" customHeight="1">
      <c r="A786" s="120"/>
      <c r="B786" s="120"/>
      <c r="C786" s="120"/>
      <c r="D786" s="120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</row>
    <row r="787" ht="15.75" customHeight="1">
      <c r="A787" s="120"/>
      <c r="B787" s="120"/>
      <c r="C787" s="120"/>
      <c r="D787" s="120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</row>
    <row r="788" ht="15.75" customHeight="1">
      <c r="A788" s="120"/>
      <c r="B788" s="120"/>
      <c r="C788" s="120"/>
      <c r="D788" s="120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</row>
    <row r="789" ht="15.75" customHeight="1">
      <c r="A789" s="120"/>
      <c r="B789" s="120"/>
      <c r="C789" s="120"/>
      <c r="D789" s="120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</row>
    <row r="790" ht="15.75" customHeight="1">
      <c r="A790" s="120"/>
      <c r="B790" s="120"/>
      <c r="C790" s="120"/>
      <c r="D790" s="120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</row>
    <row r="791" ht="15.75" customHeight="1">
      <c r="A791" s="120"/>
      <c r="B791" s="120"/>
      <c r="C791" s="120"/>
      <c r="D791" s="120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</row>
    <row r="792" ht="15.75" customHeight="1">
      <c r="A792" s="120"/>
      <c r="B792" s="120"/>
      <c r="C792" s="120"/>
      <c r="D792" s="120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</row>
    <row r="793" ht="15.75" customHeight="1">
      <c r="A793" s="120"/>
      <c r="B793" s="120"/>
      <c r="C793" s="120"/>
      <c r="D793" s="120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</row>
    <row r="794" ht="15.75" customHeight="1">
      <c r="A794" s="120"/>
      <c r="B794" s="120"/>
      <c r="C794" s="120"/>
      <c r="D794" s="120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</row>
    <row r="795" ht="15.75" customHeight="1">
      <c r="A795" s="120"/>
      <c r="B795" s="120"/>
      <c r="C795" s="120"/>
      <c r="D795" s="120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</row>
    <row r="796" ht="15.75" customHeight="1">
      <c r="A796" s="120"/>
      <c r="B796" s="120"/>
      <c r="C796" s="120"/>
      <c r="D796" s="120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</row>
    <row r="797" ht="15.75" customHeight="1">
      <c r="A797" s="120"/>
      <c r="B797" s="120"/>
      <c r="C797" s="120"/>
      <c r="D797" s="120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</row>
    <row r="798" ht="15.75" customHeight="1">
      <c r="A798" s="120"/>
      <c r="B798" s="120"/>
      <c r="C798" s="120"/>
      <c r="D798" s="120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</row>
    <row r="799" ht="15.75" customHeight="1">
      <c r="A799" s="120"/>
      <c r="B799" s="120"/>
      <c r="C799" s="120"/>
      <c r="D799" s="120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</row>
    <row r="800" ht="15.75" customHeight="1">
      <c r="A800" s="120"/>
      <c r="B800" s="120"/>
      <c r="C800" s="120"/>
      <c r="D800" s="120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</row>
    <row r="801" ht="15.75" customHeight="1">
      <c r="A801" s="120"/>
      <c r="B801" s="120"/>
      <c r="C801" s="120"/>
      <c r="D801" s="120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</row>
    <row r="802" ht="15.75" customHeight="1">
      <c r="A802" s="120"/>
      <c r="B802" s="120"/>
      <c r="C802" s="120"/>
      <c r="D802" s="120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</row>
    <row r="803" ht="15.75" customHeight="1">
      <c r="A803" s="120"/>
      <c r="B803" s="120"/>
      <c r="C803" s="120"/>
      <c r="D803" s="120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</row>
    <row r="804" ht="15.75" customHeight="1">
      <c r="A804" s="120"/>
      <c r="B804" s="120"/>
      <c r="C804" s="120"/>
      <c r="D804" s="120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</row>
    <row r="805" ht="15.75" customHeight="1">
      <c r="A805" s="120"/>
      <c r="B805" s="120"/>
      <c r="C805" s="120"/>
      <c r="D805" s="120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</row>
    <row r="806" ht="15.75" customHeight="1">
      <c r="A806" s="120"/>
      <c r="B806" s="120"/>
      <c r="C806" s="120"/>
      <c r="D806" s="120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</row>
    <row r="807" ht="15.75" customHeight="1">
      <c r="A807" s="120"/>
      <c r="B807" s="120"/>
      <c r="C807" s="120"/>
      <c r="D807" s="120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</row>
    <row r="808" ht="15.75" customHeight="1">
      <c r="A808" s="120"/>
      <c r="B808" s="120"/>
      <c r="C808" s="120"/>
      <c r="D808" s="120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</row>
    <row r="809" ht="15.75" customHeight="1">
      <c r="A809" s="120"/>
      <c r="B809" s="120"/>
      <c r="C809" s="120"/>
      <c r="D809" s="120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</row>
    <row r="810" ht="15.75" customHeight="1">
      <c r="A810" s="120"/>
      <c r="B810" s="120"/>
      <c r="C810" s="120"/>
      <c r="D810" s="120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</row>
    <row r="811" ht="15.75" customHeight="1">
      <c r="A811" s="120"/>
      <c r="B811" s="120"/>
      <c r="C811" s="120"/>
      <c r="D811" s="120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</row>
    <row r="812" ht="15.75" customHeight="1">
      <c r="A812" s="120"/>
      <c r="B812" s="120"/>
      <c r="C812" s="120"/>
      <c r="D812" s="120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</row>
    <row r="813" ht="15.75" customHeight="1">
      <c r="A813" s="120"/>
      <c r="B813" s="120"/>
      <c r="C813" s="120"/>
      <c r="D813" s="120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</row>
    <row r="814" ht="15.75" customHeight="1">
      <c r="A814" s="120"/>
      <c r="B814" s="120"/>
      <c r="C814" s="120"/>
      <c r="D814" s="120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</row>
    <row r="815" ht="15.75" customHeight="1">
      <c r="A815" s="120"/>
      <c r="B815" s="120"/>
      <c r="C815" s="120"/>
      <c r="D815" s="120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</row>
    <row r="816" ht="15.75" customHeight="1">
      <c r="A816" s="120"/>
      <c r="B816" s="120"/>
      <c r="C816" s="120"/>
      <c r="D816" s="120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</row>
    <row r="817" ht="15.75" customHeight="1">
      <c r="A817" s="120"/>
      <c r="B817" s="120"/>
      <c r="C817" s="120"/>
      <c r="D817" s="120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</row>
    <row r="818" ht="15.75" customHeight="1">
      <c r="A818" s="120"/>
      <c r="B818" s="120"/>
      <c r="C818" s="120"/>
      <c r="D818" s="120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</row>
    <row r="819" ht="15.75" customHeight="1">
      <c r="A819" s="120"/>
      <c r="B819" s="120"/>
      <c r="C819" s="120"/>
      <c r="D819" s="120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</row>
    <row r="820" ht="15.75" customHeight="1">
      <c r="A820" s="120"/>
      <c r="B820" s="120"/>
      <c r="C820" s="120"/>
      <c r="D820" s="120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</row>
    <row r="821" ht="15.75" customHeight="1">
      <c r="A821" s="120"/>
      <c r="B821" s="120"/>
      <c r="C821" s="120"/>
      <c r="D821" s="120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</row>
    <row r="822" ht="15.75" customHeight="1">
      <c r="A822" s="120"/>
      <c r="B822" s="120"/>
      <c r="C822" s="120"/>
      <c r="D822" s="120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</row>
    <row r="823" ht="15.75" customHeight="1">
      <c r="A823" s="120"/>
      <c r="B823" s="120"/>
      <c r="C823" s="120"/>
      <c r="D823" s="120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</row>
    <row r="824" ht="15.75" customHeight="1">
      <c r="A824" s="120"/>
      <c r="B824" s="120"/>
      <c r="C824" s="120"/>
      <c r="D824" s="120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</row>
    <row r="825" ht="15.75" customHeight="1">
      <c r="A825" s="120"/>
      <c r="B825" s="120"/>
      <c r="C825" s="120"/>
      <c r="D825" s="120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</row>
    <row r="826" ht="15.75" customHeight="1">
      <c r="A826" s="120"/>
      <c r="B826" s="120"/>
      <c r="C826" s="120"/>
      <c r="D826" s="120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</row>
    <row r="827" ht="15.75" customHeight="1">
      <c r="A827" s="120"/>
      <c r="B827" s="120"/>
      <c r="C827" s="120"/>
      <c r="D827" s="120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</row>
    <row r="828" ht="15.75" customHeight="1">
      <c r="A828" s="120"/>
      <c r="B828" s="120"/>
      <c r="C828" s="120"/>
      <c r="D828" s="120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</row>
    <row r="829" ht="15.75" customHeight="1">
      <c r="A829" s="120"/>
      <c r="B829" s="120"/>
      <c r="C829" s="120"/>
      <c r="D829" s="120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</row>
    <row r="830" ht="15.75" customHeight="1">
      <c r="A830" s="120"/>
      <c r="B830" s="120"/>
      <c r="C830" s="120"/>
      <c r="D830" s="120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</row>
    <row r="831" ht="15.75" customHeight="1">
      <c r="A831" s="120"/>
      <c r="B831" s="120"/>
      <c r="C831" s="120"/>
      <c r="D831" s="120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</row>
    <row r="832" ht="15.75" customHeight="1">
      <c r="A832" s="120"/>
      <c r="B832" s="120"/>
      <c r="C832" s="120"/>
      <c r="D832" s="120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</row>
    <row r="833" ht="15.75" customHeight="1">
      <c r="A833" s="120"/>
      <c r="B833" s="120"/>
      <c r="C833" s="120"/>
      <c r="D833" s="120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</row>
    <row r="834" ht="15.75" customHeight="1">
      <c r="A834" s="120"/>
      <c r="B834" s="120"/>
      <c r="C834" s="120"/>
      <c r="D834" s="120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</row>
    <row r="835" ht="15.75" customHeight="1">
      <c r="A835" s="120"/>
      <c r="B835" s="120"/>
      <c r="C835" s="120"/>
      <c r="D835" s="120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</row>
    <row r="836" ht="15.75" customHeight="1">
      <c r="A836" s="120"/>
      <c r="B836" s="120"/>
      <c r="C836" s="120"/>
      <c r="D836" s="120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</row>
    <row r="837" ht="15.75" customHeight="1">
      <c r="A837" s="120"/>
      <c r="B837" s="120"/>
      <c r="C837" s="120"/>
      <c r="D837" s="120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</row>
    <row r="838" ht="15.75" customHeight="1">
      <c r="A838" s="120"/>
      <c r="B838" s="120"/>
      <c r="C838" s="120"/>
      <c r="D838" s="120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</row>
    <row r="839" ht="15.75" customHeight="1">
      <c r="A839" s="120"/>
      <c r="B839" s="120"/>
      <c r="C839" s="120"/>
      <c r="D839" s="120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</row>
    <row r="840" ht="15.75" customHeight="1">
      <c r="A840" s="120"/>
      <c r="B840" s="120"/>
      <c r="C840" s="120"/>
      <c r="D840" s="120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</row>
    <row r="841" ht="15.75" customHeight="1">
      <c r="A841" s="120"/>
      <c r="B841" s="120"/>
      <c r="C841" s="120"/>
      <c r="D841" s="120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</row>
    <row r="842" ht="15.75" customHeight="1">
      <c r="A842" s="120"/>
      <c r="B842" s="120"/>
      <c r="C842" s="120"/>
      <c r="D842" s="120"/>
      <c r="E842" s="120"/>
      <c r="F842" s="120"/>
      <c r="G842" s="120"/>
      <c r="H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</row>
    <row r="843" ht="15.75" customHeight="1">
      <c r="A843" s="120"/>
      <c r="B843" s="120"/>
      <c r="C843" s="120"/>
      <c r="D843" s="120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</row>
    <row r="844" ht="15.75" customHeight="1">
      <c r="A844" s="120"/>
      <c r="B844" s="120"/>
      <c r="C844" s="120"/>
      <c r="D844" s="120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</row>
    <row r="845" ht="15.75" customHeight="1">
      <c r="A845" s="120"/>
      <c r="B845" s="120"/>
      <c r="C845" s="120"/>
      <c r="D845" s="120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</row>
    <row r="846" ht="15.75" customHeight="1">
      <c r="A846" s="120"/>
      <c r="B846" s="120"/>
      <c r="C846" s="120"/>
      <c r="D846" s="120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</row>
    <row r="847" ht="15.75" customHeight="1">
      <c r="A847" s="120"/>
      <c r="B847" s="120"/>
      <c r="C847" s="120"/>
      <c r="D847" s="120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</row>
    <row r="848" ht="15.75" customHeight="1">
      <c r="A848" s="120"/>
      <c r="B848" s="120"/>
      <c r="C848" s="120"/>
      <c r="D848" s="120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</row>
    <row r="849" ht="15.75" customHeight="1">
      <c r="A849" s="120"/>
      <c r="B849" s="120"/>
      <c r="C849" s="120"/>
      <c r="D849" s="120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</row>
    <row r="850" ht="15.75" customHeight="1">
      <c r="A850" s="120"/>
      <c r="B850" s="120"/>
      <c r="C850" s="120"/>
      <c r="D850" s="120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</row>
    <row r="851" ht="15.75" customHeight="1">
      <c r="A851" s="120"/>
      <c r="B851" s="120"/>
      <c r="C851" s="120"/>
      <c r="D851" s="120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</row>
    <row r="852" ht="15.75" customHeight="1">
      <c r="A852" s="120"/>
      <c r="B852" s="120"/>
      <c r="C852" s="120"/>
      <c r="D852" s="120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</row>
    <row r="853" ht="15.75" customHeight="1">
      <c r="A853" s="120"/>
      <c r="B853" s="120"/>
      <c r="C853" s="120"/>
      <c r="D853" s="120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</row>
    <row r="854" ht="15.75" customHeight="1">
      <c r="A854" s="120"/>
      <c r="B854" s="120"/>
      <c r="C854" s="120"/>
      <c r="D854" s="120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</row>
    <row r="855" ht="15.75" customHeight="1">
      <c r="A855" s="120"/>
      <c r="B855" s="120"/>
      <c r="C855" s="120"/>
      <c r="D855" s="120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</row>
    <row r="856" ht="15.75" customHeight="1">
      <c r="A856" s="120"/>
      <c r="B856" s="120"/>
      <c r="C856" s="120"/>
      <c r="D856" s="120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</row>
    <row r="857" ht="15.75" customHeight="1">
      <c r="A857" s="120"/>
      <c r="B857" s="120"/>
      <c r="C857" s="120"/>
      <c r="D857" s="120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</row>
    <row r="858" ht="15.75" customHeight="1">
      <c r="A858" s="120"/>
      <c r="B858" s="120"/>
      <c r="C858" s="120"/>
      <c r="D858" s="120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</row>
    <row r="859" ht="15.75" customHeight="1">
      <c r="A859" s="120"/>
      <c r="B859" s="120"/>
      <c r="C859" s="120"/>
      <c r="D859" s="120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</row>
    <row r="860" ht="15.75" customHeight="1">
      <c r="A860" s="120"/>
      <c r="B860" s="120"/>
      <c r="C860" s="120"/>
      <c r="D860" s="120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</row>
    <row r="861" ht="15.75" customHeight="1">
      <c r="A861" s="120"/>
      <c r="B861" s="120"/>
      <c r="C861" s="120"/>
      <c r="D861" s="120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</row>
    <row r="862" ht="15.75" customHeight="1">
      <c r="A862" s="120"/>
      <c r="B862" s="120"/>
      <c r="C862" s="120"/>
      <c r="D862" s="120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</row>
    <row r="863" ht="15.75" customHeight="1">
      <c r="A863" s="120"/>
      <c r="B863" s="120"/>
      <c r="C863" s="120"/>
      <c r="D863" s="120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</row>
    <row r="864" ht="15.75" customHeight="1">
      <c r="A864" s="120"/>
      <c r="B864" s="120"/>
      <c r="C864" s="120"/>
      <c r="D864" s="120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</row>
    <row r="865" ht="15.75" customHeight="1">
      <c r="A865" s="120"/>
      <c r="B865" s="120"/>
      <c r="C865" s="120"/>
      <c r="D865" s="120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</row>
    <row r="866" ht="15.75" customHeight="1">
      <c r="A866" s="120"/>
      <c r="B866" s="120"/>
      <c r="C866" s="120"/>
      <c r="D866" s="120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</row>
    <row r="867" ht="15.75" customHeight="1">
      <c r="A867" s="120"/>
      <c r="B867" s="120"/>
      <c r="C867" s="120"/>
      <c r="D867" s="120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</row>
    <row r="868" ht="15.75" customHeight="1">
      <c r="A868" s="120"/>
      <c r="B868" s="120"/>
      <c r="C868" s="120"/>
      <c r="D868" s="120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</row>
    <row r="869" ht="15.75" customHeight="1">
      <c r="A869" s="120"/>
      <c r="B869" s="120"/>
      <c r="C869" s="120"/>
      <c r="D869" s="120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</row>
    <row r="870" ht="15.75" customHeight="1">
      <c r="A870" s="120"/>
      <c r="B870" s="120"/>
      <c r="C870" s="120"/>
      <c r="D870" s="120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</row>
    <row r="871" ht="15.75" customHeight="1">
      <c r="A871" s="120"/>
      <c r="B871" s="120"/>
      <c r="C871" s="120"/>
      <c r="D871" s="120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</row>
    <row r="872" ht="15.75" customHeight="1">
      <c r="A872" s="120"/>
      <c r="B872" s="120"/>
      <c r="C872" s="120"/>
      <c r="D872" s="120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</row>
    <row r="873" ht="15.75" customHeight="1">
      <c r="A873" s="120"/>
      <c r="B873" s="120"/>
      <c r="C873" s="120"/>
      <c r="D873" s="120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</row>
    <row r="874" ht="15.75" customHeight="1">
      <c r="A874" s="120"/>
      <c r="B874" s="120"/>
      <c r="C874" s="120"/>
      <c r="D874" s="120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</row>
    <row r="875" ht="15.75" customHeight="1">
      <c r="A875" s="120"/>
      <c r="B875" s="120"/>
      <c r="C875" s="120"/>
      <c r="D875" s="120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</row>
    <row r="876" ht="15.75" customHeight="1">
      <c r="A876" s="120"/>
      <c r="B876" s="120"/>
      <c r="C876" s="120"/>
      <c r="D876" s="120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</row>
    <row r="877" ht="15.75" customHeight="1">
      <c r="A877" s="120"/>
      <c r="B877" s="120"/>
      <c r="C877" s="120"/>
      <c r="D877" s="120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</row>
    <row r="878" ht="15.75" customHeight="1">
      <c r="A878" s="120"/>
      <c r="B878" s="120"/>
      <c r="C878" s="120"/>
      <c r="D878" s="120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</row>
    <row r="879" ht="15.75" customHeight="1">
      <c r="A879" s="120"/>
      <c r="B879" s="120"/>
      <c r="C879" s="120"/>
      <c r="D879" s="120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</row>
    <row r="880" ht="15.75" customHeight="1">
      <c r="A880" s="120"/>
      <c r="B880" s="120"/>
      <c r="C880" s="120"/>
      <c r="D880" s="120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</row>
    <row r="881" ht="15.75" customHeight="1">
      <c r="A881" s="120"/>
      <c r="B881" s="120"/>
      <c r="C881" s="120"/>
      <c r="D881" s="120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</row>
    <row r="882" ht="15.75" customHeight="1">
      <c r="A882" s="120"/>
      <c r="B882" s="120"/>
      <c r="C882" s="120"/>
      <c r="D882" s="120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</row>
    <row r="883" ht="15.75" customHeight="1">
      <c r="A883" s="120"/>
      <c r="B883" s="120"/>
      <c r="C883" s="120"/>
      <c r="D883" s="120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</row>
    <row r="884" ht="15.75" customHeight="1">
      <c r="A884" s="120"/>
      <c r="B884" s="120"/>
      <c r="C884" s="120"/>
      <c r="D884" s="120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</row>
    <row r="885" ht="15.75" customHeight="1">
      <c r="A885" s="120"/>
      <c r="B885" s="120"/>
      <c r="C885" s="120"/>
      <c r="D885" s="120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</row>
    <row r="886" ht="15.75" customHeight="1">
      <c r="A886" s="120"/>
      <c r="B886" s="120"/>
      <c r="C886" s="120"/>
      <c r="D886" s="120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</row>
    <row r="887" ht="15.75" customHeight="1">
      <c r="A887" s="120"/>
      <c r="B887" s="120"/>
      <c r="C887" s="120"/>
      <c r="D887" s="120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</row>
    <row r="888" ht="15.75" customHeight="1">
      <c r="A888" s="120"/>
      <c r="B888" s="120"/>
      <c r="C888" s="120"/>
      <c r="D888" s="120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</row>
    <row r="889" ht="15.75" customHeight="1">
      <c r="A889" s="120"/>
      <c r="B889" s="120"/>
      <c r="C889" s="120"/>
      <c r="D889" s="120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</row>
    <row r="890" ht="15.75" customHeight="1">
      <c r="A890" s="120"/>
      <c r="B890" s="120"/>
      <c r="C890" s="120"/>
      <c r="D890" s="120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</row>
    <row r="891" ht="15.75" customHeight="1">
      <c r="A891" s="120"/>
      <c r="B891" s="120"/>
      <c r="C891" s="120"/>
      <c r="D891" s="120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</row>
    <row r="892" ht="15.75" customHeight="1">
      <c r="A892" s="120"/>
      <c r="B892" s="120"/>
      <c r="C892" s="120"/>
      <c r="D892" s="120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</row>
    <row r="893" ht="15.75" customHeight="1">
      <c r="A893" s="120"/>
      <c r="B893" s="120"/>
      <c r="C893" s="120"/>
      <c r="D893" s="120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</row>
    <row r="894" ht="15.75" customHeight="1">
      <c r="A894" s="120"/>
      <c r="B894" s="120"/>
      <c r="C894" s="120"/>
      <c r="D894" s="120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</row>
    <row r="895" ht="15.75" customHeight="1">
      <c r="A895" s="120"/>
      <c r="B895" s="120"/>
      <c r="C895" s="120"/>
      <c r="D895" s="120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</row>
    <row r="896" ht="15.75" customHeight="1">
      <c r="A896" s="120"/>
      <c r="B896" s="120"/>
      <c r="C896" s="120"/>
      <c r="D896" s="120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</row>
    <row r="897" ht="15.75" customHeight="1">
      <c r="A897" s="120"/>
      <c r="B897" s="120"/>
      <c r="C897" s="120"/>
      <c r="D897" s="120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</row>
    <row r="898" ht="15.75" customHeight="1">
      <c r="A898" s="120"/>
      <c r="B898" s="120"/>
      <c r="C898" s="120"/>
      <c r="D898" s="120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</row>
    <row r="899" ht="15.75" customHeight="1">
      <c r="A899" s="120"/>
      <c r="B899" s="120"/>
      <c r="C899" s="120"/>
      <c r="D899" s="120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</row>
    <row r="900" ht="15.75" customHeight="1">
      <c r="A900" s="120"/>
      <c r="B900" s="120"/>
      <c r="C900" s="120"/>
      <c r="D900" s="120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</row>
    <row r="901" ht="15.75" customHeight="1">
      <c r="A901" s="120"/>
      <c r="B901" s="120"/>
      <c r="C901" s="120"/>
      <c r="D901" s="120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</row>
    <row r="902" ht="15.75" customHeight="1">
      <c r="A902" s="120"/>
      <c r="B902" s="120"/>
      <c r="C902" s="120"/>
      <c r="D902" s="120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</row>
    <row r="903" ht="15.75" customHeight="1">
      <c r="A903" s="120"/>
      <c r="B903" s="120"/>
      <c r="C903" s="120"/>
      <c r="D903" s="120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</row>
    <row r="904" ht="15.75" customHeight="1">
      <c r="A904" s="120"/>
      <c r="B904" s="120"/>
      <c r="C904" s="120"/>
      <c r="D904" s="120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</row>
    <row r="905" ht="15.75" customHeight="1">
      <c r="A905" s="120"/>
      <c r="B905" s="120"/>
      <c r="C905" s="120"/>
      <c r="D905" s="120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</row>
    <row r="906" ht="15.75" customHeight="1">
      <c r="A906" s="120"/>
      <c r="B906" s="120"/>
      <c r="C906" s="120"/>
      <c r="D906" s="120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</row>
    <row r="907" ht="15.75" customHeight="1">
      <c r="A907" s="120"/>
      <c r="B907" s="120"/>
      <c r="C907" s="120"/>
      <c r="D907" s="120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</row>
    <row r="908" ht="15.75" customHeight="1">
      <c r="A908" s="120"/>
      <c r="B908" s="120"/>
      <c r="C908" s="120"/>
      <c r="D908" s="120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</row>
    <row r="909" ht="15.75" customHeight="1">
      <c r="A909" s="120"/>
      <c r="B909" s="120"/>
      <c r="C909" s="120"/>
      <c r="D909" s="120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</row>
    <row r="910" ht="15.75" customHeight="1">
      <c r="A910" s="120"/>
      <c r="B910" s="120"/>
      <c r="C910" s="120"/>
      <c r="D910" s="120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</row>
    <row r="911" ht="15.75" customHeight="1">
      <c r="A911" s="120"/>
      <c r="B911" s="120"/>
      <c r="C911" s="120"/>
      <c r="D911" s="120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</row>
    <row r="912" ht="15.75" customHeight="1">
      <c r="A912" s="120"/>
      <c r="B912" s="120"/>
      <c r="C912" s="120"/>
      <c r="D912" s="120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</row>
    <row r="913" ht="15.75" customHeight="1">
      <c r="A913" s="120"/>
      <c r="B913" s="120"/>
      <c r="C913" s="120"/>
      <c r="D913" s="120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</row>
    <row r="914" ht="15.75" customHeight="1">
      <c r="A914" s="120"/>
      <c r="B914" s="120"/>
      <c r="C914" s="120"/>
      <c r="D914" s="120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</row>
    <row r="915" ht="15.75" customHeight="1">
      <c r="A915" s="120"/>
      <c r="B915" s="120"/>
      <c r="C915" s="120"/>
      <c r="D915" s="120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</row>
    <row r="916" ht="15.75" customHeight="1">
      <c r="A916" s="120"/>
      <c r="B916" s="120"/>
      <c r="C916" s="120"/>
      <c r="D916" s="120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</row>
    <row r="917" ht="15.75" customHeight="1">
      <c r="A917" s="120"/>
      <c r="B917" s="120"/>
      <c r="C917" s="120"/>
      <c r="D917" s="120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</row>
    <row r="918" ht="15.75" customHeight="1">
      <c r="A918" s="120"/>
      <c r="B918" s="120"/>
      <c r="C918" s="120"/>
      <c r="D918" s="120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</row>
    <row r="919" ht="15.75" customHeight="1">
      <c r="A919" s="120"/>
      <c r="B919" s="120"/>
      <c r="C919" s="120"/>
      <c r="D919" s="120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</row>
    <row r="920" ht="15.75" customHeight="1">
      <c r="A920" s="120"/>
      <c r="B920" s="120"/>
      <c r="C920" s="120"/>
      <c r="D920" s="120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</row>
    <row r="921" ht="15.75" customHeight="1">
      <c r="A921" s="120"/>
      <c r="B921" s="120"/>
      <c r="C921" s="120"/>
      <c r="D921" s="120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</row>
    <row r="922" ht="15.75" customHeight="1">
      <c r="A922" s="120"/>
      <c r="B922" s="120"/>
      <c r="C922" s="120"/>
      <c r="D922" s="120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</row>
    <row r="923" ht="15.75" customHeight="1">
      <c r="A923" s="120"/>
      <c r="B923" s="120"/>
      <c r="C923" s="120"/>
      <c r="D923" s="120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</row>
    <row r="924" ht="15.75" customHeight="1">
      <c r="A924" s="120"/>
      <c r="B924" s="120"/>
      <c r="C924" s="120"/>
      <c r="D924" s="120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</row>
    <row r="925" ht="15.75" customHeight="1">
      <c r="A925" s="120"/>
      <c r="B925" s="120"/>
      <c r="C925" s="120"/>
      <c r="D925" s="120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</row>
    <row r="926" ht="15.75" customHeight="1">
      <c r="A926" s="120"/>
      <c r="B926" s="120"/>
      <c r="C926" s="120"/>
      <c r="D926" s="120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</row>
    <row r="927" ht="15.75" customHeight="1">
      <c r="A927" s="120"/>
      <c r="B927" s="120"/>
      <c r="C927" s="120"/>
      <c r="D927" s="120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</row>
    <row r="928" ht="15.75" customHeight="1">
      <c r="A928" s="120"/>
      <c r="B928" s="120"/>
      <c r="C928" s="120"/>
      <c r="D928" s="120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</row>
    <row r="929" ht="15.75" customHeight="1">
      <c r="A929" s="120"/>
      <c r="B929" s="120"/>
      <c r="C929" s="120"/>
      <c r="D929" s="120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</row>
    <row r="930" ht="15.75" customHeight="1">
      <c r="A930" s="120"/>
      <c r="B930" s="120"/>
      <c r="C930" s="120"/>
      <c r="D930" s="120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</row>
    <row r="931" ht="15.75" customHeight="1">
      <c r="A931" s="120"/>
      <c r="B931" s="120"/>
      <c r="C931" s="120"/>
      <c r="D931" s="120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</row>
    <row r="932" ht="15.75" customHeight="1">
      <c r="A932" s="120"/>
      <c r="B932" s="120"/>
      <c r="C932" s="120"/>
      <c r="D932" s="120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</row>
    <row r="933" ht="15.75" customHeight="1">
      <c r="A933" s="120"/>
      <c r="B933" s="120"/>
      <c r="C933" s="120"/>
      <c r="D933" s="120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</row>
    <row r="934" ht="15.75" customHeight="1">
      <c r="A934" s="120"/>
      <c r="B934" s="120"/>
      <c r="C934" s="120"/>
      <c r="D934" s="120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</row>
    <row r="935" ht="15.75" customHeight="1">
      <c r="A935" s="120"/>
      <c r="B935" s="120"/>
      <c r="C935" s="120"/>
      <c r="D935" s="120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</row>
    <row r="936" ht="15.75" customHeight="1">
      <c r="A936" s="120"/>
      <c r="B936" s="120"/>
      <c r="C936" s="120"/>
      <c r="D936" s="120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</row>
    <row r="937" ht="15.75" customHeight="1">
      <c r="A937" s="120"/>
      <c r="B937" s="120"/>
      <c r="C937" s="120"/>
      <c r="D937" s="120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</row>
    <row r="938" ht="15.75" customHeight="1">
      <c r="A938" s="120"/>
      <c r="B938" s="120"/>
      <c r="C938" s="120"/>
      <c r="D938" s="120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</row>
    <row r="939" ht="15.75" customHeight="1">
      <c r="A939" s="120"/>
      <c r="B939" s="120"/>
      <c r="C939" s="120"/>
      <c r="D939" s="120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</row>
    <row r="940" ht="15.75" customHeight="1">
      <c r="A940" s="120"/>
      <c r="B940" s="120"/>
      <c r="C940" s="120"/>
      <c r="D940" s="120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</row>
    <row r="941" ht="15.75" customHeight="1">
      <c r="A941" s="120"/>
      <c r="B941" s="120"/>
      <c r="C941" s="120"/>
      <c r="D941" s="120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</row>
    <row r="942" ht="15.75" customHeight="1">
      <c r="A942" s="120"/>
      <c r="B942" s="120"/>
      <c r="C942" s="120"/>
      <c r="D942" s="120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</row>
    <row r="943" ht="15.75" customHeight="1">
      <c r="A943" s="120"/>
      <c r="B943" s="120"/>
      <c r="C943" s="120"/>
      <c r="D943" s="120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</row>
    <row r="944" ht="15.75" customHeight="1">
      <c r="A944" s="120"/>
      <c r="B944" s="120"/>
      <c r="C944" s="120"/>
      <c r="D944" s="120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</row>
    <row r="945" ht="15.75" customHeight="1">
      <c r="A945" s="120"/>
      <c r="B945" s="120"/>
      <c r="C945" s="120"/>
      <c r="D945" s="120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</row>
    <row r="946" ht="15.75" customHeight="1">
      <c r="A946" s="120"/>
      <c r="B946" s="120"/>
      <c r="C946" s="120"/>
      <c r="D946" s="120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</row>
    <row r="947" ht="15.75" customHeight="1">
      <c r="A947" s="120"/>
      <c r="B947" s="120"/>
      <c r="C947" s="120"/>
      <c r="D947" s="120"/>
      <c r="E947" s="120"/>
      <c r="F947" s="120"/>
      <c r="G947" s="120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</row>
    <row r="948" ht="15.75" customHeight="1">
      <c r="A948" s="120"/>
      <c r="B948" s="120"/>
      <c r="C948" s="120"/>
      <c r="D948" s="120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</row>
    <row r="949" ht="15.75" customHeight="1">
      <c r="A949" s="120"/>
      <c r="B949" s="120"/>
      <c r="C949" s="120"/>
      <c r="D949" s="120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</row>
    <row r="950" ht="15.75" customHeight="1">
      <c r="A950" s="120"/>
      <c r="B950" s="120"/>
      <c r="C950" s="120"/>
      <c r="D950" s="120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</row>
    <row r="951" ht="15.75" customHeight="1">
      <c r="A951" s="120"/>
      <c r="B951" s="120"/>
      <c r="C951" s="120"/>
      <c r="D951" s="120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</row>
    <row r="952" ht="15.75" customHeight="1">
      <c r="A952" s="120"/>
      <c r="B952" s="120"/>
      <c r="C952" s="120"/>
      <c r="D952" s="120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</row>
    <row r="953" ht="15.75" customHeight="1">
      <c r="A953" s="120"/>
      <c r="B953" s="120"/>
      <c r="C953" s="120"/>
      <c r="D953" s="120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</row>
    <row r="954" ht="15.75" customHeight="1">
      <c r="A954" s="120"/>
      <c r="B954" s="120"/>
      <c r="C954" s="120"/>
      <c r="D954" s="120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</row>
    <row r="955" ht="15.75" customHeight="1">
      <c r="A955" s="120"/>
      <c r="B955" s="120"/>
      <c r="C955" s="120"/>
      <c r="D955" s="120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</row>
    <row r="956" ht="15.75" customHeight="1">
      <c r="A956" s="120"/>
      <c r="B956" s="120"/>
      <c r="C956" s="120"/>
      <c r="D956" s="120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</row>
    <row r="957" ht="15.75" customHeight="1">
      <c r="A957" s="120"/>
      <c r="B957" s="120"/>
      <c r="C957" s="120"/>
      <c r="D957" s="120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</row>
    <row r="958" ht="15.75" customHeight="1">
      <c r="A958" s="120"/>
      <c r="B958" s="120"/>
      <c r="C958" s="120"/>
      <c r="D958" s="120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</row>
    <row r="959" ht="15.75" customHeight="1">
      <c r="A959" s="120"/>
      <c r="B959" s="120"/>
      <c r="C959" s="120"/>
      <c r="D959" s="120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</row>
    <row r="960" ht="15.75" customHeight="1">
      <c r="A960" s="120"/>
      <c r="B960" s="120"/>
      <c r="C960" s="120"/>
      <c r="D960" s="120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</row>
    <row r="961" ht="15.75" customHeight="1">
      <c r="A961" s="120"/>
      <c r="B961" s="120"/>
      <c r="C961" s="120"/>
      <c r="D961" s="120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</row>
    <row r="962" ht="15.75" customHeight="1">
      <c r="A962" s="120"/>
      <c r="B962" s="120"/>
      <c r="C962" s="120"/>
      <c r="D962" s="120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</row>
    <row r="963" ht="15.75" customHeight="1">
      <c r="A963" s="120"/>
      <c r="B963" s="120"/>
      <c r="C963" s="120"/>
      <c r="D963" s="120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</row>
    <row r="964" ht="15.75" customHeight="1">
      <c r="A964" s="120"/>
      <c r="B964" s="120"/>
      <c r="C964" s="120"/>
      <c r="D964" s="120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</row>
    <row r="965" ht="15.75" customHeight="1">
      <c r="A965" s="120"/>
      <c r="B965" s="120"/>
      <c r="C965" s="120"/>
      <c r="D965" s="120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</row>
    <row r="966" ht="15.75" customHeight="1">
      <c r="A966" s="120"/>
      <c r="B966" s="120"/>
      <c r="C966" s="120"/>
      <c r="D966" s="120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</row>
    <row r="967" ht="15.75" customHeight="1">
      <c r="A967" s="120"/>
      <c r="B967" s="120"/>
      <c r="C967" s="120"/>
      <c r="D967" s="120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</row>
    <row r="968" ht="15.75" customHeight="1">
      <c r="A968" s="120"/>
      <c r="B968" s="120"/>
      <c r="C968" s="120"/>
      <c r="D968" s="120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</row>
    <row r="969" ht="15.75" customHeight="1">
      <c r="A969" s="120"/>
      <c r="B969" s="120"/>
      <c r="C969" s="120"/>
      <c r="D969" s="120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</row>
    <row r="970" ht="15.75" customHeight="1">
      <c r="A970" s="120"/>
      <c r="B970" s="120"/>
      <c r="C970" s="120"/>
      <c r="D970" s="120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</row>
    <row r="971" ht="15.75" customHeight="1">
      <c r="A971" s="120"/>
      <c r="B971" s="120"/>
      <c r="C971" s="120"/>
      <c r="D971" s="120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</row>
    <row r="972" ht="15.75" customHeight="1">
      <c r="A972" s="120"/>
      <c r="B972" s="120"/>
      <c r="C972" s="120"/>
      <c r="D972" s="120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</row>
    <row r="973" ht="15.75" customHeight="1">
      <c r="A973" s="120"/>
      <c r="B973" s="120"/>
      <c r="C973" s="120"/>
      <c r="D973" s="120"/>
      <c r="E973" s="120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</row>
    <row r="974" ht="15.75" customHeight="1">
      <c r="A974" s="120"/>
      <c r="B974" s="120"/>
      <c r="C974" s="120"/>
      <c r="D974" s="120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</row>
    <row r="975" ht="15.75" customHeight="1">
      <c r="A975" s="120"/>
      <c r="B975" s="120"/>
      <c r="C975" s="120"/>
      <c r="D975" s="120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</row>
    <row r="976" ht="15.75" customHeight="1">
      <c r="A976" s="120"/>
      <c r="B976" s="120"/>
      <c r="C976" s="120"/>
      <c r="D976" s="120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</row>
    <row r="977" ht="15.75" customHeight="1">
      <c r="A977" s="120"/>
      <c r="B977" s="120"/>
      <c r="C977" s="120"/>
      <c r="D977" s="120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</row>
    <row r="978" ht="15.75" customHeight="1">
      <c r="A978" s="120"/>
      <c r="B978" s="120"/>
      <c r="C978" s="120"/>
      <c r="D978" s="120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</row>
    <row r="979" ht="15.75" customHeight="1">
      <c r="A979" s="120"/>
      <c r="B979" s="120"/>
      <c r="C979" s="120"/>
      <c r="D979" s="120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</row>
    <row r="980" ht="15.75" customHeight="1">
      <c r="A980" s="120"/>
      <c r="B980" s="120"/>
      <c r="C980" s="120"/>
      <c r="D980" s="120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</row>
    <row r="981" ht="15.75" customHeight="1">
      <c r="A981" s="120"/>
      <c r="B981" s="120"/>
      <c r="C981" s="120"/>
      <c r="D981" s="120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</row>
    <row r="982" ht="15.75" customHeight="1">
      <c r="A982" s="120"/>
      <c r="B982" s="120"/>
      <c r="C982" s="120"/>
      <c r="D982" s="120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</row>
    <row r="983" ht="15.75" customHeight="1">
      <c r="A983" s="120"/>
      <c r="B983" s="120"/>
      <c r="C983" s="120"/>
      <c r="D983" s="120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</row>
    <row r="984" ht="15.75" customHeight="1">
      <c r="A984" s="120"/>
      <c r="B984" s="120"/>
      <c r="C984" s="120"/>
      <c r="D984" s="120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</row>
    <row r="985" ht="15.75" customHeight="1">
      <c r="A985" s="120"/>
      <c r="B985" s="120"/>
      <c r="C985" s="120"/>
      <c r="D985" s="120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</row>
    <row r="986" ht="15.75" customHeight="1">
      <c r="A986" s="120"/>
      <c r="B986" s="120"/>
      <c r="C986" s="120"/>
      <c r="D986" s="120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</row>
    <row r="987" ht="15.75" customHeight="1">
      <c r="A987" s="120"/>
      <c r="B987" s="120"/>
      <c r="C987" s="120"/>
      <c r="D987" s="120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</row>
    <row r="988" ht="15.75" customHeight="1">
      <c r="A988" s="120"/>
      <c r="B988" s="120"/>
      <c r="C988" s="120"/>
      <c r="D988" s="120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</row>
    <row r="989" ht="15.75" customHeight="1">
      <c r="A989" s="120"/>
      <c r="B989" s="120"/>
      <c r="C989" s="120"/>
      <c r="D989" s="120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</row>
    <row r="990" ht="15.75" customHeight="1">
      <c r="A990" s="120"/>
      <c r="B990" s="120"/>
      <c r="C990" s="120"/>
      <c r="D990" s="120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</row>
    <row r="991" ht="15.75" customHeight="1">
      <c r="A991" s="120"/>
      <c r="B991" s="120"/>
      <c r="C991" s="120"/>
      <c r="D991" s="120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</row>
    <row r="992" ht="15.75" customHeight="1">
      <c r="A992" s="120"/>
      <c r="B992" s="120"/>
      <c r="C992" s="120"/>
      <c r="D992" s="120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</row>
    <row r="993" ht="15.75" customHeight="1">
      <c r="A993" s="120"/>
      <c r="B993" s="120"/>
      <c r="C993" s="120"/>
      <c r="D993" s="120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</row>
    <row r="994" ht="15.75" customHeight="1">
      <c r="A994" s="120"/>
      <c r="B994" s="120"/>
      <c r="C994" s="120"/>
      <c r="D994" s="120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</row>
    <row r="995" ht="15.75" customHeight="1">
      <c r="A995" s="120"/>
      <c r="B995" s="120"/>
      <c r="C995" s="120"/>
      <c r="D995" s="120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</row>
    <row r="996" ht="15.75" customHeight="1">
      <c r="A996" s="120"/>
      <c r="B996" s="120"/>
      <c r="C996" s="120"/>
      <c r="D996" s="120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</row>
    <row r="997" ht="15.75" customHeight="1">
      <c r="A997" s="120"/>
      <c r="B997" s="120"/>
      <c r="C997" s="120"/>
      <c r="D997" s="120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</row>
    <row r="998" ht="15.75" customHeight="1">
      <c r="A998" s="120"/>
      <c r="B998" s="120"/>
      <c r="C998" s="120"/>
      <c r="D998" s="120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</row>
    <row r="999" ht="15.75" customHeight="1">
      <c r="A999" s="120"/>
      <c r="B999" s="120"/>
      <c r="C999" s="120"/>
      <c r="D999" s="120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</row>
    <row r="1000" ht="15.75" customHeight="1">
      <c r="A1000" s="120"/>
      <c r="B1000" s="120"/>
      <c r="C1000" s="120"/>
      <c r="D1000" s="120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</row>
  </sheetData>
  <mergeCells count="1">
    <mergeCell ref="B7:F8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8" width="11.57"/>
    <col customWidth="1" min="9" max="9" width="12.57"/>
    <col customWidth="1" min="10" max="21" width="11.57"/>
    <col customWidth="1" min="22" max="22" width="13.0"/>
    <col customWidth="1" min="23" max="23" width="11.57"/>
    <col customWidth="1" min="24" max="24" width="13.86"/>
    <col customWidth="1" min="25" max="139" width="11.57"/>
  </cols>
  <sheetData>
    <row r="1" ht="15.0" customHeight="1">
      <c r="A1" s="144"/>
      <c r="B1" s="145" t="s">
        <v>158</v>
      </c>
    </row>
    <row r="2" ht="15.0" customHeight="1"/>
    <row r="3" ht="15.0" customHeight="1">
      <c r="B3" s="146" t="s">
        <v>159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48"/>
      <c r="BQ3" s="149"/>
      <c r="BR3" s="149"/>
      <c r="BS3" s="149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1"/>
      <c r="CG3" s="151"/>
      <c r="CH3" s="151"/>
      <c r="CI3" s="151"/>
      <c r="CJ3" s="148"/>
      <c r="CK3" s="149"/>
      <c r="CL3" s="149"/>
      <c r="CM3" s="149"/>
      <c r="CN3" s="150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</row>
    <row r="4" ht="15.0" customHeight="1">
      <c r="B4" s="145"/>
      <c r="C4" s="152" t="s">
        <v>160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9"/>
      <c r="AG4" s="152" t="s">
        <v>161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9"/>
      <c r="AV4" s="152" t="s">
        <v>162</v>
      </c>
      <c r="AW4" s="88"/>
      <c r="AX4" s="153"/>
      <c r="AY4" s="154" t="s">
        <v>162</v>
      </c>
      <c r="AZ4" s="88"/>
      <c r="BA4" s="89"/>
      <c r="BB4" s="155" t="s">
        <v>110</v>
      </c>
      <c r="BC4" s="88"/>
      <c r="BD4" s="89"/>
      <c r="BE4" s="156" t="s">
        <v>163</v>
      </c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9"/>
      <c r="BQ4" s="157" t="s">
        <v>164</v>
      </c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153"/>
      <c r="CI4" s="158" t="s">
        <v>164</v>
      </c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9"/>
    </row>
    <row r="5" ht="36.75" customHeight="1">
      <c r="A5" s="159"/>
      <c r="B5" s="160"/>
      <c r="C5" s="161" t="s">
        <v>87</v>
      </c>
      <c r="D5" s="162"/>
      <c r="E5" s="163"/>
      <c r="F5" s="164" t="s">
        <v>14</v>
      </c>
      <c r="G5" s="162"/>
      <c r="H5" s="163"/>
      <c r="I5" s="164" t="s">
        <v>93</v>
      </c>
      <c r="J5" s="162"/>
      <c r="K5" s="163"/>
      <c r="L5" s="164" t="s">
        <v>16</v>
      </c>
      <c r="M5" s="162"/>
      <c r="N5" s="163"/>
      <c r="O5" s="164" t="s">
        <v>100</v>
      </c>
      <c r="P5" s="162"/>
      <c r="Q5" s="163"/>
      <c r="R5" s="164" t="s">
        <v>103</v>
      </c>
      <c r="S5" s="162"/>
      <c r="T5" s="163"/>
      <c r="U5" s="164" t="s">
        <v>17</v>
      </c>
      <c r="V5" s="162"/>
      <c r="W5" s="163"/>
      <c r="X5" s="164" t="s">
        <v>108</v>
      </c>
      <c r="Y5" s="162"/>
      <c r="Z5" s="163"/>
      <c r="AA5" s="164" t="s">
        <v>111</v>
      </c>
      <c r="AB5" s="162"/>
      <c r="AC5" s="163"/>
      <c r="AD5" s="164" t="s">
        <v>114</v>
      </c>
      <c r="AE5" s="162"/>
      <c r="AF5" s="165"/>
      <c r="AG5" s="161" t="s">
        <v>15</v>
      </c>
      <c r="AH5" s="162"/>
      <c r="AI5" s="163"/>
      <c r="AJ5" s="166"/>
      <c r="AK5" s="166" t="s">
        <v>119</v>
      </c>
      <c r="AL5" s="166"/>
      <c r="AM5" s="164" t="s">
        <v>120</v>
      </c>
      <c r="AN5" s="162"/>
      <c r="AO5" s="163"/>
      <c r="AP5" s="164" t="s">
        <v>122</v>
      </c>
      <c r="AQ5" s="162"/>
      <c r="AR5" s="163"/>
      <c r="AS5" s="164" t="s">
        <v>165</v>
      </c>
      <c r="AT5" s="162"/>
      <c r="AU5" s="165"/>
      <c r="AV5" s="161" t="s">
        <v>166</v>
      </c>
      <c r="AW5" s="162"/>
      <c r="AX5" s="163"/>
      <c r="AY5" s="164" t="s">
        <v>167</v>
      </c>
      <c r="AZ5" s="162"/>
      <c r="BA5" s="165"/>
      <c r="BB5" s="167" t="s">
        <v>19</v>
      </c>
      <c r="BC5" s="162"/>
      <c r="BD5" s="165"/>
      <c r="BE5" s="168" t="s">
        <v>168</v>
      </c>
      <c r="BF5" s="162"/>
      <c r="BG5" s="163"/>
      <c r="BH5" s="169" t="s">
        <v>169</v>
      </c>
      <c r="BI5" s="162"/>
      <c r="BJ5" s="163"/>
      <c r="BK5" s="169" t="s">
        <v>170</v>
      </c>
      <c r="BL5" s="162"/>
      <c r="BM5" s="163"/>
      <c r="BN5" s="169" t="s">
        <v>97</v>
      </c>
      <c r="BO5" s="162"/>
      <c r="BP5" s="165"/>
      <c r="BQ5" s="170" t="s">
        <v>89</v>
      </c>
      <c r="BR5" s="162"/>
      <c r="BS5" s="163"/>
      <c r="BT5" s="171" t="s">
        <v>35</v>
      </c>
      <c r="BU5" s="162"/>
      <c r="BV5" s="163"/>
      <c r="BW5" s="171" t="s">
        <v>95</v>
      </c>
      <c r="BX5" s="162"/>
      <c r="BY5" s="163"/>
      <c r="BZ5" s="171" t="s">
        <v>98</v>
      </c>
      <c r="CA5" s="162"/>
      <c r="CB5" s="163"/>
      <c r="CC5" s="171" t="s">
        <v>101</v>
      </c>
      <c r="CD5" s="162"/>
      <c r="CE5" s="163"/>
      <c r="CF5" s="171" t="s">
        <v>105</v>
      </c>
      <c r="CG5" s="162"/>
      <c r="CH5" s="163"/>
      <c r="CI5" s="172" t="s">
        <v>109</v>
      </c>
      <c r="CJ5" s="162"/>
      <c r="CK5" s="163"/>
      <c r="CL5" s="172" t="s">
        <v>112</v>
      </c>
      <c r="CM5" s="162"/>
      <c r="CN5" s="163"/>
      <c r="CO5" s="172" t="s">
        <v>115</v>
      </c>
      <c r="CP5" s="162"/>
      <c r="CQ5" s="163"/>
      <c r="CR5" s="172" t="s">
        <v>117</v>
      </c>
      <c r="CS5" s="162"/>
      <c r="CT5" s="163"/>
      <c r="CU5" s="172" t="s">
        <v>22</v>
      </c>
      <c r="CV5" s="162"/>
      <c r="CW5" s="163"/>
      <c r="CX5" s="173" t="s">
        <v>121</v>
      </c>
      <c r="CY5" s="162"/>
      <c r="CZ5" s="163"/>
      <c r="DA5" s="172" t="s">
        <v>123</v>
      </c>
      <c r="DB5" s="162"/>
      <c r="DC5" s="163"/>
      <c r="DD5" s="172" t="s">
        <v>125</v>
      </c>
      <c r="DE5" s="162"/>
      <c r="DF5" s="163"/>
      <c r="DG5" s="173" t="s">
        <v>126</v>
      </c>
      <c r="DH5" s="162"/>
      <c r="DI5" s="163"/>
      <c r="DJ5" s="172" t="s">
        <v>127</v>
      </c>
      <c r="DK5" s="162"/>
      <c r="DL5" s="165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</row>
    <row r="6" ht="33.75" customHeight="1">
      <c r="B6" s="174"/>
      <c r="C6" s="175" t="s">
        <v>171</v>
      </c>
      <c r="D6" s="176" t="s">
        <v>172</v>
      </c>
      <c r="E6" s="176" t="s">
        <v>173</v>
      </c>
      <c r="F6" s="176" t="s">
        <v>171</v>
      </c>
      <c r="G6" s="176" t="s">
        <v>172</v>
      </c>
      <c r="H6" s="176" t="s">
        <v>173</v>
      </c>
      <c r="I6" s="176" t="s">
        <v>171</v>
      </c>
      <c r="J6" s="176" t="s">
        <v>172</v>
      </c>
      <c r="K6" s="176" t="s">
        <v>173</v>
      </c>
      <c r="L6" s="176" t="s">
        <v>171</v>
      </c>
      <c r="M6" s="176" t="s">
        <v>172</v>
      </c>
      <c r="N6" s="176" t="s">
        <v>173</v>
      </c>
      <c r="O6" s="176" t="s">
        <v>171</v>
      </c>
      <c r="P6" s="176" t="s">
        <v>172</v>
      </c>
      <c r="Q6" s="176" t="s">
        <v>173</v>
      </c>
      <c r="R6" s="176" t="s">
        <v>171</v>
      </c>
      <c r="S6" s="176" t="s">
        <v>172</v>
      </c>
      <c r="T6" s="176" t="s">
        <v>173</v>
      </c>
      <c r="U6" s="176" t="s">
        <v>171</v>
      </c>
      <c r="V6" s="176" t="s">
        <v>172</v>
      </c>
      <c r="W6" s="176" t="s">
        <v>173</v>
      </c>
      <c r="X6" s="176" t="s">
        <v>171</v>
      </c>
      <c r="Y6" s="176" t="s">
        <v>172</v>
      </c>
      <c r="Z6" s="176" t="s">
        <v>173</v>
      </c>
      <c r="AA6" s="176" t="s">
        <v>171</v>
      </c>
      <c r="AB6" s="176" t="s">
        <v>172</v>
      </c>
      <c r="AC6" s="176" t="s">
        <v>173</v>
      </c>
      <c r="AD6" s="176" t="s">
        <v>171</v>
      </c>
      <c r="AE6" s="176" t="s">
        <v>172</v>
      </c>
      <c r="AF6" s="177" t="s">
        <v>173</v>
      </c>
      <c r="AG6" s="175" t="s">
        <v>171</v>
      </c>
      <c r="AH6" s="176" t="s">
        <v>172</v>
      </c>
      <c r="AI6" s="176" t="s">
        <v>173</v>
      </c>
      <c r="AJ6" s="176" t="s">
        <v>171</v>
      </c>
      <c r="AK6" s="176" t="s">
        <v>172</v>
      </c>
      <c r="AL6" s="176" t="s">
        <v>173</v>
      </c>
      <c r="AM6" s="176" t="s">
        <v>171</v>
      </c>
      <c r="AN6" s="176" t="s">
        <v>172</v>
      </c>
      <c r="AO6" s="176" t="s">
        <v>173</v>
      </c>
      <c r="AP6" s="176" t="s">
        <v>171</v>
      </c>
      <c r="AQ6" s="176" t="s">
        <v>172</v>
      </c>
      <c r="AR6" s="176" t="s">
        <v>173</v>
      </c>
      <c r="AS6" s="176" t="s">
        <v>171</v>
      </c>
      <c r="AT6" s="176" t="s">
        <v>172</v>
      </c>
      <c r="AU6" s="177" t="s">
        <v>173</v>
      </c>
      <c r="AV6" s="175" t="s">
        <v>171</v>
      </c>
      <c r="AW6" s="176" t="s">
        <v>172</v>
      </c>
      <c r="AX6" s="176" t="s">
        <v>173</v>
      </c>
      <c r="AY6" s="176" t="s">
        <v>171</v>
      </c>
      <c r="AZ6" s="176" t="s">
        <v>172</v>
      </c>
      <c r="BA6" s="177" t="s">
        <v>173</v>
      </c>
      <c r="BB6" s="175" t="s">
        <v>171</v>
      </c>
      <c r="BC6" s="176" t="s">
        <v>172</v>
      </c>
      <c r="BD6" s="177" t="s">
        <v>173</v>
      </c>
      <c r="BE6" s="175" t="s">
        <v>171</v>
      </c>
      <c r="BF6" s="176" t="s">
        <v>172</v>
      </c>
      <c r="BG6" s="176" t="s">
        <v>173</v>
      </c>
      <c r="BH6" s="176" t="s">
        <v>171</v>
      </c>
      <c r="BI6" s="176" t="s">
        <v>172</v>
      </c>
      <c r="BJ6" s="176" t="s">
        <v>173</v>
      </c>
      <c r="BK6" s="176" t="s">
        <v>171</v>
      </c>
      <c r="BL6" s="176" t="s">
        <v>172</v>
      </c>
      <c r="BM6" s="176" t="s">
        <v>173</v>
      </c>
      <c r="BN6" s="176" t="s">
        <v>171</v>
      </c>
      <c r="BO6" s="176" t="s">
        <v>172</v>
      </c>
      <c r="BP6" s="177" t="s">
        <v>173</v>
      </c>
      <c r="BQ6" s="175" t="s">
        <v>171</v>
      </c>
      <c r="BR6" s="176" t="s">
        <v>172</v>
      </c>
      <c r="BS6" s="176" t="s">
        <v>173</v>
      </c>
      <c r="BT6" s="176" t="s">
        <v>171</v>
      </c>
      <c r="BU6" s="176" t="s">
        <v>172</v>
      </c>
      <c r="BV6" s="176" t="s">
        <v>173</v>
      </c>
      <c r="BW6" s="176" t="s">
        <v>171</v>
      </c>
      <c r="BX6" s="176" t="s">
        <v>172</v>
      </c>
      <c r="BY6" s="176" t="s">
        <v>173</v>
      </c>
      <c r="BZ6" s="176" t="s">
        <v>171</v>
      </c>
      <c r="CA6" s="176" t="s">
        <v>172</v>
      </c>
      <c r="CB6" s="176" t="s">
        <v>173</v>
      </c>
      <c r="CC6" s="176" t="s">
        <v>171</v>
      </c>
      <c r="CD6" s="176" t="s">
        <v>172</v>
      </c>
      <c r="CE6" s="176" t="s">
        <v>173</v>
      </c>
      <c r="CF6" s="176" t="s">
        <v>171</v>
      </c>
      <c r="CG6" s="176" t="s">
        <v>172</v>
      </c>
      <c r="CH6" s="176" t="s">
        <v>173</v>
      </c>
      <c r="CI6" s="176" t="s">
        <v>174</v>
      </c>
      <c r="CJ6" s="176" t="s">
        <v>175</v>
      </c>
      <c r="CK6" s="176" t="s">
        <v>176</v>
      </c>
      <c r="CL6" s="176" t="s">
        <v>174</v>
      </c>
      <c r="CM6" s="176" t="s">
        <v>175</v>
      </c>
      <c r="CN6" s="176" t="s">
        <v>176</v>
      </c>
      <c r="CO6" s="176" t="s">
        <v>174</v>
      </c>
      <c r="CP6" s="176" t="s">
        <v>175</v>
      </c>
      <c r="CQ6" s="176" t="s">
        <v>176</v>
      </c>
      <c r="CR6" s="176" t="s">
        <v>174</v>
      </c>
      <c r="CS6" s="176" t="s">
        <v>175</v>
      </c>
      <c r="CT6" s="176" t="s">
        <v>176</v>
      </c>
      <c r="CU6" s="176" t="s">
        <v>174</v>
      </c>
      <c r="CV6" s="176" t="s">
        <v>175</v>
      </c>
      <c r="CW6" s="176" t="s">
        <v>176</v>
      </c>
      <c r="CX6" s="176" t="s">
        <v>174</v>
      </c>
      <c r="CY6" s="176" t="s">
        <v>175</v>
      </c>
      <c r="CZ6" s="176" t="s">
        <v>176</v>
      </c>
      <c r="DA6" s="176" t="s">
        <v>174</v>
      </c>
      <c r="DB6" s="176" t="s">
        <v>175</v>
      </c>
      <c r="DC6" s="176" t="s">
        <v>176</v>
      </c>
      <c r="DD6" s="176" t="s">
        <v>174</v>
      </c>
      <c r="DE6" s="176" t="s">
        <v>175</v>
      </c>
      <c r="DF6" s="176" t="s">
        <v>176</v>
      </c>
      <c r="DG6" s="176" t="s">
        <v>174</v>
      </c>
      <c r="DH6" s="176" t="s">
        <v>175</v>
      </c>
      <c r="DI6" s="176" t="s">
        <v>176</v>
      </c>
      <c r="DJ6" s="176" t="s">
        <v>174</v>
      </c>
      <c r="DK6" s="176" t="s">
        <v>175</v>
      </c>
      <c r="DL6" s="177" t="s">
        <v>176</v>
      </c>
    </row>
    <row r="7">
      <c r="B7" s="164" t="s">
        <v>177</v>
      </c>
      <c r="C7" s="178" t="str">
        <f>IFERROR(VLOOKUP(C$5,DONNEES!$D$6:$J$15,2,FALSE),)</f>
        <v/>
      </c>
      <c r="D7" s="179" t="str">
        <f>IFERROR(VLOOKUP(C$5,DONNEES!$D$6:$J$15,3,FALSE),)</f>
        <v/>
      </c>
      <c r="E7" s="179" t="str">
        <f>IFERROR(VLOOKUP(C$5,DONNEES!$D$6:$J$15,4,FALSE),)</f>
        <v/>
      </c>
      <c r="F7" s="179">
        <f>IFERROR(VLOOKUP(F$5,DONNEES!$D$6:$J$15,2,FALSE),)</f>
        <v>15000</v>
      </c>
      <c r="G7" s="179">
        <f>IFERROR(VLOOKUP(F$5,DONNEES!$D$6:$J$15,3,FALSE),)</f>
        <v>0</v>
      </c>
      <c r="H7" s="179">
        <f>IFERROR(VLOOKUP(F$5,DONNEES!$D$6:$J$15,4,FALSE),)</f>
        <v>0</v>
      </c>
      <c r="I7" s="179" t="str">
        <f>IFERROR(VLOOKUP(I$5,DONNEES!$D$6:$J$15,2,FALSE),)</f>
        <v/>
      </c>
      <c r="J7" s="179" t="str">
        <f>IFERROR(VLOOKUP(I$5,DONNEES!$D$6:$J$15,3,FALSE),)</f>
        <v/>
      </c>
      <c r="K7" s="179" t="str">
        <f>IFERROR(VLOOKUP(I$5,DONNEES!$D$6:$J$15,4,FALSE),)</f>
        <v/>
      </c>
      <c r="L7" s="179">
        <f>IFERROR(VLOOKUP(L$5,DONNEES!$D$6:$J$15,2,FALSE),)</f>
        <v>157000</v>
      </c>
      <c r="M7" s="179">
        <f>IFERROR(VLOOKUP(L$5,DONNEES!$D$6:$J$15,3,FALSE),)</f>
        <v>0</v>
      </c>
      <c r="N7" s="179">
        <f>IFERROR(VLOOKUP(L$5,DONNEES!$D$6:$J$15,4,FALSE),)</f>
        <v>0</v>
      </c>
      <c r="O7" s="180" t="str">
        <f>IFERROR(VLOOKUP(O$5,DONNEES!$D$6:$J$15,2,FALSE),)</f>
        <v/>
      </c>
      <c r="P7" s="179" t="str">
        <f>IFERROR(VLOOKUP(O$5,DONNEES!$D$6:$J$15,3,FALSE),)</f>
        <v/>
      </c>
      <c r="Q7" s="179" t="str">
        <f>IFERROR(VLOOKUP(O$5,DONNEES!$D$6:$J$15,4,FALSE),)</f>
        <v/>
      </c>
      <c r="R7" s="179" t="str">
        <f>IFERROR(VLOOKUP(R$5,DONNEES!$D$6:$J$15,2,FALSE),)</f>
        <v/>
      </c>
      <c r="S7" s="179" t="str">
        <f>IFERROR(VLOOKUP(R$5,DONNEES!$D$6:$J$15,3,FALSE),)</f>
        <v/>
      </c>
      <c r="T7" s="179" t="str">
        <f>IFERROR(VLOOKUP(R$5,DONNEES!$D$6:$J$15,4,FALSE),)</f>
        <v/>
      </c>
      <c r="U7" s="179" t="str">
        <f>IFERROR(VLOOKUP(U$5,DONNEES!$D$6:$J$15,2,FALSE),)</f>
        <v/>
      </c>
      <c r="V7" s="179" t="str">
        <f>IFERROR(VLOOKUP(U$5,DONNEES!$D$6:$J$15,3,FALSE),)</f>
        <v/>
      </c>
      <c r="W7" s="179" t="str">
        <f>IFERROR(VLOOKUP(U$5,DONNEES!$D$6:$J$15,4,FALSE),)</f>
        <v/>
      </c>
      <c r="X7" s="179" t="str">
        <f>IFERROR(VLOOKUP(X$5,DONNEES!$D$6:$J$15,2,FALSE),)</f>
        <v/>
      </c>
      <c r="Y7" s="179" t="str">
        <f>IFERROR(VLOOKUP(X$5,DONNEES!$D$6:$J$15,3,FALSE),)</f>
        <v/>
      </c>
      <c r="Z7" s="179" t="str">
        <f>IFERROR(VLOOKUP(X$5,DONNEES!$D$6:$J$15,4,FALSE),)</f>
        <v/>
      </c>
      <c r="AA7" s="179" t="str">
        <f>IFERROR(VLOOKUP(AA$5,DONNEES!$D$6:$J$15,2,FALSE),)</f>
        <v/>
      </c>
      <c r="AB7" s="179" t="str">
        <f>IFERROR(VLOOKUP(AA$5,DONNEES!$D$6:$J$15,3,FALSE),)</f>
        <v/>
      </c>
      <c r="AC7" s="179" t="str">
        <f>IFERROR(VLOOKUP(AA$5,DONNEES!$D$6:$J$15,4,FALSE),)</f>
        <v/>
      </c>
      <c r="AD7" s="179" t="str">
        <f>IFERROR(VLOOKUP(AD$5,DONNEES!$D$6:$J$15,2,FALSE),)</f>
        <v/>
      </c>
      <c r="AE7" s="179" t="str">
        <f>IFERROR(VLOOKUP(AD$5,DONNEES!$D$6:$J$15,3,FALSE),)</f>
        <v/>
      </c>
      <c r="AF7" s="179" t="str">
        <f>IFERROR(VLOOKUP(AD$5,DONNEES!$D$6:$J$15,4,FALSE),)</f>
        <v/>
      </c>
      <c r="AG7" s="180">
        <f>IFERROR(VLOOKUP(AG$5,DONNEES!$D$6:$J$15,2,FALSE),)</f>
        <v>30000</v>
      </c>
      <c r="AH7" s="179">
        <f>IFERROR(VLOOKUP(AG$5,DONNEES!$D$6:$J$15,3,FALSE),)</f>
        <v>0</v>
      </c>
      <c r="AI7" s="179">
        <f>IFERROR(VLOOKUP(AG$5,DONNEES!$D$6:$J$15,4,FALSE),)</f>
        <v>0</v>
      </c>
      <c r="AJ7" s="179" t="str">
        <f>IFERROR(VLOOKUP(AJ$5,DONNEES!$D$6:$J$15,2,FALSE),)</f>
        <v/>
      </c>
      <c r="AK7" s="179" t="str">
        <f>IFERROR(VLOOKUP(AJ$5,DONNEES!$D$6:$J$15,3,FALSE),)</f>
        <v/>
      </c>
      <c r="AL7" s="179" t="str">
        <f>IFERROR(VLOOKUP(AJ$5,DONNEES!$D$6:$J$15,4,FALSE),)</f>
        <v/>
      </c>
      <c r="AM7" s="179" t="str">
        <f>IFERROR(VLOOKUP(AM$5,DONNEES!$D$6:$J$15,2,FALSE),)</f>
        <v/>
      </c>
      <c r="AN7" s="179" t="str">
        <f>IFERROR(VLOOKUP(AM$5,DONNEES!$D$6:$J$15,3,FALSE),)</f>
        <v/>
      </c>
      <c r="AO7" s="179" t="str">
        <f>IFERROR(VLOOKUP(AM$5,DONNEES!$D$6:$J$15,4,FALSE),)</f>
        <v/>
      </c>
      <c r="AP7" s="180" t="str">
        <f>IFERROR(VLOOKUP(AP$5,DONNEES!$D$6:$J$15,2,FALSE),)</f>
        <v/>
      </c>
      <c r="AQ7" s="179" t="str">
        <f>IFERROR(VLOOKUP(AP$5,DONNEES!$D$6:$J$15,3,FALSE),)</f>
        <v/>
      </c>
      <c r="AR7" s="179" t="str">
        <f>IFERROR(VLOOKUP(AP$5,DONNEES!$D$6:$J$15,4,FALSE),)</f>
        <v/>
      </c>
      <c r="AS7" s="179" t="str">
        <f>IFERROR(VLOOKUP(AS$5,DONNEES!$D$6:$J$15,2,FALSE),)</f>
        <v/>
      </c>
      <c r="AT7" s="179" t="str">
        <f>IFERROR(VLOOKUP(AS$5,DONNEES!$D$6:$J$15,3,FALSE),)</f>
        <v/>
      </c>
      <c r="AU7" s="179" t="str">
        <f>IFERROR(VLOOKUP(AS$5,DONNEES!$D$6:$J$15,4,FALSE),)</f>
        <v/>
      </c>
      <c r="AV7" s="180" t="str">
        <f>IFERROR(VLOOKUP(AV$5,DONNEES!$D$6:$J$15,2,FALSE),)</f>
        <v/>
      </c>
      <c r="AW7" s="179" t="str">
        <f>IFERROR(VLOOKUP(AV$5,DONNEES!$D$6:$J$15,3,FALSE),)</f>
        <v/>
      </c>
      <c r="AX7" s="179" t="str">
        <f>IFERROR(VLOOKUP(AV$5,DONNEES!$D$6:$J$15,4,FALSE),)</f>
        <v/>
      </c>
      <c r="AY7" s="179" t="str">
        <f>IFERROR(VLOOKUP(AY$5,DONNEES!$D$6:$J$15,2,FALSE),)</f>
        <v/>
      </c>
      <c r="AZ7" s="179" t="str">
        <f>IFERROR(VLOOKUP(AY$5,DONNEES!$D$6:$J$15,3,FALSE),)</f>
        <v/>
      </c>
      <c r="BA7" s="179" t="str">
        <f>IFERROR(VLOOKUP(AY$5,DONNEES!$D$6:$J$15,4,FALSE),)</f>
        <v/>
      </c>
      <c r="BB7" s="180">
        <f>IFERROR(VLOOKUP(BB$5,DONNEES!$D$17:$J$25,2,FALSE),)</f>
        <v>1634</v>
      </c>
      <c r="BC7" s="179">
        <f>IFERROR(VLOOKUP(BB$5,DONNEES!$D$17:$J$25,4,FALSE),)</f>
        <v>0</v>
      </c>
      <c r="BD7" s="179">
        <f>IFERROR(VLOOKUP(BB$5,DONNEES!$D$17:$J$25,6,FALSE),)</f>
        <v>0</v>
      </c>
      <c r="BE7" s="179" t="str">
        <f>IFERROR(VLOOKUP(BE$5,DONNEES!$D$17:$J$25,2,FALSE),)</f>
        <v/>
      </c>
      <c r="BF7" s="179" t="str">
        <f>IFERROR(VLOOKUP(BE$5,DONNEES!$D$17:$J$25,4,FALSE),)</f>
        <v/>
      </c>
      <c r="BG7" s="179" t="str">
        <f>IFERROR(VLOOKUP(BE$5,DONNEES!$D$17:$J$25,6,FALSE),)</f>
        <v/>
      </c>
      <c r="BH7" s="180" t="str">
        <f>IFERROR(VLOOKUP(BH$5,DONNEES!$D$17:$J$25,2,FALSE),)</f>
        <v/>
      </c>
      <c r="BI7" s="179" t="str">
        <f>IFERROR(VLOOKUP(BH$5,DONNEES!$D$17:$J$25,4,FALSE),)</f>
        <v/>
      </c>
      <c r="BJ7" s="179" t="str">
        <f>IFERROR(VLOOKUP(BH$5,DONNEES!$D$17:$J$25,6,FALSE),)</f>
        <v/>
      </c>
      <c r="BK7" s="179" t="str">
        <f>IFERROR(VLOOKUP(BK$5,DONNEES!$D$17:$J$25,2,FALSE),)</f>
        <v/>
      </c>
      <c r="BL7" s="179" t="str">
        <f>IFERROR(VLOOKUP(BK$5,DONNEES!$D$17:$J$25,4,FALSE),)</f>
        <v/>
      </c>
      <c r="BM7" s="179" t="str">
        <f>IFERROR(VLOOKUP(BK$5,DONNEES!$D$17:$J$25,6,FALSE),)</f>
        <v/>
      </c>
      <c r="BN7" s="179" t="str">
        <f>IFERROR(VLOOKUP(BN$5,DONNEES!$D$17:$J$25,2,FALSE),)</f>
        <v/>
      </c>
      <c r="BO7" s="179" t="str">
        <f>IFERROR(VLOOKUP(BN$5,DONNEES!$D$17:$J$25,4,FALSE),)</f>
        <v/>
      </c>
      <c r="BP7" s="179" t="str">
        <f>IFERROR(VLOOKUP(BN$5,DONNEES!$D$17:$J$25,6,FALSE),)</f>
        <v/>
      </c>
      <c r="BQ7" s="179" t="str">
        <f>IFERROR(VLOOKUP(BQ$5,DONNEES!$D$17:$J$25,2,FALSE),)</f>
        <v/>
      </c>
      <c r="BR7" s="179" t="str">
        <f>IFERROR(VLOOKUP(BQ$5,DONNEES!$D$17:$J$25,4,FALSE),)</f>
        <v/>
      </c>
      <c r="BS7" s="179" t="str">
        <f>IFERROR(VLOOKUP(BQ$5,DONNEES!$D$17:$J$25,6,FALSE),)</f>
        <v/>
      </c>
      <c r="BT7" s="179" t="str">
        <f>IFERROR(VLOOKUP(BT$5,DONNEES!$D$17:$J$25,2,FALSE),)</f>
        <v/>
      </c>
      <c r="BU7" s="179" t="str">
        <f>IFERROR(VLOOKUP(BT$5,DONNEES!$D$17:$J$25,4,FALSE),)</f>
        <v/>
      </c>
      <c r="BV7" s="179" t="str">
        <f>IFERROR(VLOOKUP(BT$5,DONNEES!$D$17:$J$25,6,FALSE),)</f>
        <v/>
      </c>
      <c r="BW7" s="179" t="str">
        <f>IFERROR(VLOOKUP(BW$5,DONNEES!$D$17:$J$25,2,FALSE),)</f>
        <v/>
      </c>
      <c r="BX7" s="179" t="str">
        <f>IFERROR(VLOOKUP(BW$5,DONNEES!$D$17:$J$25,4,FALSE),)</f>
        <v/>
      </c>
      <c r="BY7" s="179" t="str">
        <f>IFERROR(VLOOKUP(BW$5,DONNEES!$D$17:$J$25,6,FALSE),)</f>
        <v/>
      </c>
      <c r="BZ7" s="179" t="str">
        <f>IFERROR(VLOOKUP(BZ$5,DONNEES!$D$17:$J$25,2,FALSE),)</f>
        <v/>
      </c>
      <c r="CA7" s="179" t="str">
        <f>IFERROR(VLOOKUP(BZ$5,DONNEES!$D$17:$J$25,4,FALSE),)</f>
        <v/>
      </c>
      <c r="CB7" s="179" t="str">
        <f>IFERROR(VLOOKUP(BZ$5,DONNEES!$D$17:$J$25,6,FALSE),)</f>
        <v/>
      </c>
      <c r="CC7" s="179" t="str">
        <f>IFERROR(VLOOKUP(CC$5,DONNEES!$D$17:$J$25,2,FALSE),)</f>
        <v/>
      </c>
      <c r="CD7" s="179" t="str">
        <f>IFERROR(VLOOKUP(CC$5,DONNEES!$D$17:$J$25,4,FALSE),)</f>
        <v/>
      </c>
      <c r="CE7" s="179" t="str">
        <f>IFERROR(VLOOKUP(CC$5,DONNEES!$D$17:$J$25,6,FALSE),)</f>
        <v/>
      </c>
      <c r="CF7" s="179" t="str">
        <f>IFERROR(VLOOKUP(CF$5,DONNEES!$D$17:$J$25,2,FALSE),)</f>
        <v/>
      </c>
      <c r="CG7" s="179" t="str">
        <f>IFERROR(VLOOKUP(CF$5,DONNEES!$D$17:$J$25,4,FALSE),)</f>
        <v/>
      </c>
      <c r="CH7" s="179" t="str">
        <f>IFERROR(VLOOKUP(CF$5,DONNEES!$D$17:$J$25,6,FALSE),)</f>
        <v/>
      </c>
      <c r="CI7" s="179" t="str">
        <f>IFERROR(VLOOKUP(CI$5,DONNEES!$D$17:$J$25,2,FALSE),)</f>
        <v/>
      </c>
      <c r="CJ7" s="179" t="str">
        <f>IFERROR(VLOOKUP(CI$5,DONNEES!$D$17:$J$25,4,FALSE),)</f>
        <v/>
      </c>
      <c r="CK7" s="179" t="str">
        <f>IFERROR(VLOOKUP(CI$5,DONNEES!$D$17:$J$25,6,FALSE),)</f>
        <v/>
      </c>
      <c r="CL7" s="179" t="str">
        <f>IFERROR(VLOOKUP(CL$5,DONNEES!$D$17:$J$25,2,FALSE),)</f>
        <v/>
      </c>
      <c r="CM7" s="179" t="str">
        <f>IFERROR(VLOOKUP(CL$5,DONNEES!$D$17:$J$25,4,FALSE),)</f>
        <v/>
      </c>
      <c r="CN7" s="179" t="str">
        <f>IFERROR(VLOOKUP(CL$5,DONNEES!$D$17:$J$25,6,FALSE),)</f>
        <v/>
      </c>
      <c r="CO7" s="179" t="str">
        <f>IFERROR(VLOOKUP(CO$5,DONNEES!$D$17:$J$25,2,FALSE),)</f>
        <v/>
      </c>
      <c r="CP7" s="179" t="str">
        <f>IFERROR(VLOOKUP(CO$5,DONNEES!$D$17:$J$25,4,FALSE),)</f>
        <v/>
      </c>
      <c r="CQ7" s="179" t="str">
        <f>IFERROR(VLOOKUP(CO$5,DONNEES!$D$17:$J$25,6,FALSE),)</f>
        <v/>
      </c>
      <c r="CR7" s="179" t="str">
        <f>IFERROR(VLOOKUP(CR$5,DONNEES!$D$17:$J$25,2,FALSE),)</f>
        <v/>
      </c>
      <c r="CS7" s="179" t="str">
        <f>IFERROR(VLOOKUP(CR$5,DONNEES!$D$17:$J$25,4,FALSE),)</f>
        <v/>
      </c>
      <c r="CT7" s="179" t="str">
        <f>IFERROR(VLOOKUP(CR$5,DONNEES!$D$17:$J$25,6,FALSE),)</f>
        <v/>
      </c>
      <c r="CU7" s="179" t="str">
        <f>IFERROR(VLOOKUP(CU$5,DONNEES!$D$17:$J$25,2,FALSE),)</f>
        <v/>
      </c>
      <c r="CV7" s="179" t="str">
        <f>IFERROR(VLOOKUP(CU$5,DONNEES!$D$17:$J$25,4,FALSE),)</f>
        <v/>
      </c>
      <c r="CW7" s="179" t="str">
        <f>IFERROR(VLOOKUP(CU$5,DONNEES!$D$17:$J$25,6,FALSE),)</f>
        <v/>
      </c>
      <c r="CX7" s="179" t="str">
        <f>IFERROR(VLOOKUP(CX$5,DONNEES!$D$17:$J$25,2,FALSE),)</f>
        <v/>
      </c>
      <c r="CY7" s="179" t="str">
        <f>IFERROR(VLOOKUP(CX$5,DONNEES!$D$17:$J$25,4,FALSE),)</f>
        <v/>
      </c>
      <c r="CZ7" s="179" t="str">
        <f>IFERROR(VLOOKUP(CX$5,DONNEES!$D$17:$J$25,6,FALSE),)</f>
        <v/>
      </c>
      <c r="DA7" s="179" t="str">
        <f>IFERROR(VLOOKUP(DA$5,DONNEES!$D$17:$J$25,2,FALSE),)</f>
        <v/>
      </c>
      <c r="DB7" s="179" t="str">
        <f>IFERROR(VLOOKUP(DA$5,DONNEES!$D$17:$J$25,4,FALSE),)</f>
        <v/>
      </c>
      <c r="DC7" s="179" t="str">
        <f>IFERROR(VLOOKUP(DA$5,DONNEES!$D$17:$J$25,6,FALSE),)</f>
        <v/>
      </c>
      <c r="DD7" s="179" t="str">
        <f>IFERROR(VLOOKUP(DD$5,DONNEES!$D$17:$J$25,2,FALSE),)</f>
        <v/>
      </c>
      <c r="DE7" s="179" t="str">
        <f>IFERROR(VLOOKUP(DD$5,DONNEES!$D$17:$J$25,4,FALSE),)</f>
        <v/>
      </c>
      <c r="DF7" s="179" t="str">
        <f>IFERROR(VLOOKUP(DD$5,DONNEES!$D$17:$J$25,6,FALSE),)</f>
        <v/>
      </c>
      <c r="DG7" s="179" t="str">
        <f>IFERROR(VLOOKUP(DG$5,DONNEES!$D$17:$J$25,2,FALSE),)</f>
        <v/>
      </c>
      <c r="DH7" s="179" t="str">
        <f>IFERROR(VLOOKUP(DG$5,DONNEES!$D$17:$J$25,4,FALSE),)</f>
        <v/>
      </c>
      <c r="DI7" s="179" t="str">
        <f>IFERROR(VLOOKUP(DG$5,DONNEES!$D$17:$J$25,6,FALSE),)</f>
        <v/>
      </c>
      <c r="DJ7" s="179" t="str">
        <f>IFERROR(VLOOKUP(DJ$5,DONNEES!$D$17:$J$25,2,FALSE),)</f>
        <v/>
      </c>
      <c r="DK7" s="179" t="str">
        <f>IFERROR(VLOOKUP(DJ$5,DONNEES!$D$17:$J$25,4,FALSE),)</f>
        <v/>
      </c>
      <c r="DL7" s="179" t="str">
        <f>IFERROR(VLOOKUP(DJ$5,DONNEES!$D$17:$J$25,6,FALSE),)</f>
        <v/>
      </c>
    </row>
    <row r="8">
      <c r="B8" s="164" t="s">
        <v>178</v>
      </c>
      <c r="C8" s="179" t="str">
        <f>IFERROR(VLOOKUP(C$5,DONNEES!$L$6:$R$15,2,FALSE),)</f>
        <v/>
      </c>
      <c r="D8" s="179" t="str">
        <f>IFERROR(VLOOKUP(C$5,DONNEES!$L$6:$R$15,3,FALSE),)</f>
        <v/>
      </c>
      <c r="E8" s="179" t="str">
        <f>IFERROR(VLOOKUP(C$5,DONNEES!$L$6:$R$15,4,FALSE),)</f>
        <v/>
      </c>
      <c r="F8" s="179">
        <f>IFERROR(VLOOKUP(F$5,DONNEES!$L$6:$R$15,2,FALSE),)</f>
        <v>12000</v>
      </c>
      <c r="G8" s="179">
        <f>IFERROR(VLOOKUP(F$5,DONNEES!$L$6:$R$15,3,FALSE),)</f>
        <v>0</v>
      </c>
      <c r="H8" s="179">
        <f>IFERROR(VLOOKUP(F$5,DONNEES!$L$6:$R$15,4,FALSE),)</f>
        <v>0</v>
      </c>
      <c r="I8" s="179" t="str">
        <f>IFERROR(VLOOKUP(I$5,DONNEES!$L$6:$R$15,2,FALSE),)</f>
        <v/>
      </c>
      <c r="J8" s="179" t="str">
        <f>IFERROR(VLOOKUP(I$5,DONNEES!$L$6:$R$15,3,FALSE),)</f>
        <v/>
      </c>
      <c r="K8" s="179" t="str">
        <f>IFERROR(VLOOKUP(I$5,DONNEES!$L$6:$R$15,4,FALSE),)</f>
        <v/>
      </c>
      <c r="L8" s="179">
        <f>IFERROR(VLOOKUP(L$5,DONNEES!$L$6:$R$15,2,FALSE),)</f>
        <v>126000</v>
      </c>
      <c r="M8" s="179">
        <f>IFERROR(VLOOKUP(L$5,DONNEES!$L$6:$R$15,3,FALSE),)</f>
        <v>0</v>
      </c>
      <c r="N8" s="179">
        <f>IFERROR(VLOOKUP(L$5,DONNEES!$L$6:$R$15,4,FALSE),)</f>
        <v>0</v>
      </c>
      <c r="O8" s="180" t="str">
        <f>IFERROR(VLOOKUP(O$5,DONNEES!$L$6:$R$15,2,FALSE),)</f>
        <v/>
      </c>
      <c r="P8" s="179" t="str">
        <f>IFERROR(VLOOKUP(O$5,DONNEES!$L$6:$R$15,3,FALSE),)</f>
        <v/>
      </c>
      <c r="Q8" s="179" t="str">
        <f>IFERROR(VLOOKUP(O$5,DONNEES!$L$6:$R$15,4,FALSE),)</f>
        <v/>
      </c>
      <c r="R8" s="179" t="str">
        <f>IFERROR(VLOOKUP(R$5,DONNEES!$L$6:$R$15,2,FALSE),)</f>
        <v/>
      </c>
      <c r="S8" s="179" t="str">
        <f>IFERROR(VLOOKUP(R$5,DONNEES!$L$6:$R$15,3,FALSE),)</f>
        <v/>
      </c>
      <c r="T8" s="179" t="str">
        <f>IFERROR(VLOOKUP(R$5,DONNEES!$L$6:$R$15,4,FALSE),)</f>
        <v/>
      </c>
      <c r="U8" s="179">
        <f>IFERROR(VLOOKUP(U$5,DONNEES!$L$6:$R$15,2,FALSE),)</f>
        <v>27000</v>
      </c>
      <c r="V8" s="179">
        <f>IFERROR(VLOOKUP(U$5,DONNEES!$L$6:$R$15,3,FALSE),)</f>
        <v>0</v>
      </c>
      <c r="W8" s="179">
        <f>IFERROR(VLOOKUP(U$5,DONNEES!$L$6:$R$15,4,FALSE),)</f>
        <v>0</v>
      </c>
      <c r="X8" s="179" t="str">
        <f>IFERROR(VLOOKUP(X$5,DONNEES!$L$6:$R$15,2,FALSE),)</f>
        <v/>
      </c>
      <c r="Y8" s="179" t="str">
        <f>IFERROR(VLOOKUP(X$5,DONNEES!$L$6:$R$15,3,FALSE),)</f>
        <v/>
      </c>
      <c r="Z8" s="179" t="str">
        <f>IFERROR(VLOOKUP(X$5,DONNEES!$L$6:$R$15,4,FALSE),)</f>
        <v/>
      </c>
      <c r="AA8" s="179" t="str">
        <f>IFERROR(VLOOKUP(AA$5,DONNEES!$L$6:$R$15,2,FALSE),)</f>
        <v/>
      </c>
      <c r="AB8" s="179" t="str">
        <f>IFERROR(VLOOKUP(AA$5,DONNEES!$L$6:$R$15,3,FALSE),)</f>
        <v/>
      </c>
      <c r="AC8" s="179" t="str">
        <f>IFERROR(VLOOKUP(AA$5,DONNEES!$L$6:$R$15,4,FALSE),)</f>
        <v/>
      </c>
      <c r="AD8" s="179" t="str">
        <f>IFERROR(VLOOKUP(AD$5,DONNEES!$L$6:$R$15,2,FALSE),)</f>
        <v/>
      </c>
      <c r="AE8" s="179" t="str">
        <f>IFERROR(VLOOKUP(AD$5,DONNEES!$L$6:$R$15,3,FALSE),)</f>
        <v/>
      </c>
      <c r="AF8" s="179" t="str">
        <f>IFERROR(VLOOKUP(AD$5,DONNEES!$L$6:$R$15,4,FALSE),)</f>
        <v/>
      </c>
      <c r="AG8" s="180">
        <f>IFERROR(VLOOKUP(AG$5,DONNEES!$L$6:$R$15,2,FALSE),)</f>
        <v>30000</v>
      </c>
      <c r="AH8" s="179">
        <f>IFERROR(VLOOKUP(AG$5,DONNEES!$L$6:$R$15,3,FALSE),)</f>
        <v>0</v>
      </c>
      <c r="AI8" s="179">
        <f>IFERROR(VLOOKUP(AG$5,DONNEES!$L$6:$R$15,4,FALSE),)</f>
        <v>0</v>
      </c>
      <c r="AJ8" s="179" t="str">
        <f>IFERROR(VLOOKUP(AJ$5,DONNEES!$L$6:$R$15,2,FALSE),)</f>
        <v/>
      </c>
      <c r="AK8" s="179" t="str">
        <f>IFERROR(VLOOKUP(AJ$5,DONNEES!$L$6:$R$15,3,FALSE),)</f>
        <v/>
      </c>
      <c r="AL8" s="179" t="str">
        <f>IFERROR(VLOOKUP(AJ$5,DONNEES!$L$6:$R$15,4,FALSE),)</f>
        <v/>
      </c>
      <c r="AM8" s="179" t="str">
        <f>IFERROR(VLOOKUP(AM$5,DONNEES!$L$6:$R$15,2,FALSE),)</f>
        <v/>
      </c>
      <c r="AN8" s="179" t="str">
        <f>IFERROR(VLOOKUP(AM$5,DONNEES!$L$6:$R$15,3,FALSE),)</f>
        <v/>
      </c>
      <c r="AO8" s="179" t="str">
        <f>IFERROR(VLOOKUP(AM$5,DONNEES!$L$6:$R$15,4,FALSE),)</f>
        <v/>
      </c>
      <c r="AP8" s="180" t="str">
        <f>IFERROR(VLOOKUP(AP$5,DONNEES!$L$6:$R$15,2,FALSE),)</f>
        <v/>
      </c>
      <c r="AQ8" s="179" t="str">
        <f>IFERROR(VLOOKUP(AP$5,DONNEES!$L$6:$R$15,3,FALSE),)</f>
        <v/>
      </c>
      <c r="AR8" s="179" t="str">
        <f>IFERROR(VLOOKUP(AP$5,DONNEES!$L$6:$R$15,4,FALSE),)</f>
        <v/>
      </c>
      <c r="AS8" s="179" t="str">
        <f>IFERROR(VLOOKUP(AS$5,DONNEES!$L$6:$R$15,2,FALSE),)</f>
        <v/>
      </c>
      <c r="AT8" s="179" t="str">
        <f>IFERROR(VLOOKUP(AS$5,DONNEES!$L$6:$R$15,3,FALSE),)</f>
        <v/>
      </c>
      <c r="AU8" s="179" t="str">
        <f>IFERROR(VLOOKUP(AS$5,DONNEES!$L$6:$R$15,4,FALSE),)</f>
        <v/>
      </c>
      <c r="AV8" s="180" t="str">
        <f>IFERROR(VLOOKUP(AV$5,DONNEES!$L$6:$R$15,2,FALSE),)</f>
        <v/>
      </c>
      <c r="AW8" s="179" t="str">
        <f>IFERROR(VLOOKUP(AV$5,DONNEES!$L$6:$R$15,3,FALSE),)</f>
        <v/>
      </c>
      <c r="AX8" s="179" t="str">
        <f>IFERROR(VLOOKUP(AV$5,DONNEES!$L$6:$R$15,4,FALSE),)</f>
        <v/>
      </c>
      <c r="AY8" s="179" t="str">
        <f>IFERROR(VLOOKUP(AY$5,DONNEES!$L$6:$R$15,2,FALSE),)</f>
        <v/>
      </c>
      <c r="AZ8" s="179" t="str">
        <f>IFERROR(VLOOKUP(AY$5,DONNEES!$L$6:$R$15,3,FALSE),)</f>
        <v/>
      </c>
      <c r="BA8" s="179" t="str">
        <f>IFERROR(VLOOKUP(AY$5,DONNEES!$L$6:$R$15,4,FALSE),)</f>
        <v/>
      </c>
      <c r="BB8" s="180">
        <f>IFERROR(VLOOKUP(BB$5,DONNEES!$L$17:$R$25,2,FALSE),)</f>
        <v>1496</v>
      </c>
      <c r="BC8" s="179">
        <f>IFERROR(VLOOKUP(BB$5,DONNEES!$L$17:$R$25,4,FALSE),)</f>
        <v>0</v>
      </c>
      <c r="BD8" s="179">
        <f>IFERROR(VLOOKUP(BB$5,DONNEES!$L$17:$R$25,6,FALSE),)</f>
        <v>0</v>
      </c>
      <c r="BE8" s="179" t="str">
        <f>IFERROR(VLOOKUP(BE$5,DONNEES!$L$17:$R$25,2,FALSE),)</f>
        <v/>
      </c>
      <c r="BF8" s="179" t="str">
        <f>IFERROR(VLOOKUP(BE$5,DONNEES!$L$17:$R$25,4,FALSE),)</f>
        <v/>
      </c>
      <c r="BG8" s="179" t="str">
        <f>IFERROR(VLOOKUP(BE$5,DONNEES!$L$17:$R$25,6,FALSE),)</f>
        <v/>
      </c>
      <c r="BH8" s="180" t="str">
        <f>IFERROR(VLOOKUP(BH$5,DONNEES!$L$17:$R$25,2,FALSE),)</f>
        <v/>
      </c>
      <c r="BI8" s="179" t="str">
        <f>IFERROR(VLOOKUP(BH$5,DONNEES!$L$17:$R$25,4,FALSE),)</f>
        <v/>
      </c>
      <c r="BJ8" s="179" t="str">
        <f>IFERROR(VLOOKUP(BH$5,DONNEES!$L$17:$R$25,6,FALSE),)</f>
        <v/>
      </c>
      <c r="BK8" s="179" t="str">
        <f>IFERROR(VLOOKUP(BK$5,DONNEES!$L$17:$R$25,2,FALSE),)</f>
        <v/>
      </c>
      <c r="BL8" s="179" t="str">
        <f>IFERROR(VLOOKUP(BK$5,DONNEES!$L$17:$R$25,4,FALSE),)</f>
        <v/>
      </c>
      <c r="BM8" s="179" t="str">
        <f>IFERROR(VLOOKUP(BK$5,DONNEES!$L$17:$R$25,6,FALSE),)</f>
        <v/>
      </c>
      <c r="BN8" s="179" t="str">
        <f>IFERROR(VLOOKUP(BN$5,DONNEES!$L$17:$R$25,2,FALSE),)</f>
        <v/>
      </c>
      <c r="BO8" s="179" t="str">
        <f>IFERROR(VLOOKUP(BN$5,DONNEES!$L$17:$R$25,4,FALSE),)</f>
        <v/>
      </c>
      <c r="BP8" s="179" t="str">
        <f>IFERROR(VLOOKUP(BN$5,DONNEES!$L$17:$R$25,6,FALSE),)</f>
        <v/>
      </c>
      <c r="BQ8" s="179" t="str">
        <f>IFERROR(VLOOKUP(BQ$5,DONNEES!$L$17:$R$25,2,FALSE),)</f>
        <v/>
      </c>
      <c r="BR8" s="179" t="str">
        <f>IFERROR(VLOOKUP(BQ$5,DONNEES!$L$17:$R$25,4,FALSE),)</f>
        <v/>
      </c>
      <c r="BS8" s="179" t="str">
        <f>IFERROR(VLOOKUP(BQ$5,DONNEES!$L$17:$R$25,6,FALSE),)</f>
        <v/>
      </c>
      <c r="BT8" s="179" t="str">
        <f>IFERROR(VLOOKUP(BT$5,DONNEES!$L$17:$R$25,2,FALSE),)</f>
        <v/>
      </c>
      <c r="BU8" s="179" t="str">
        <f>IFERROR(VLOOKUP(BT$5,DONNEES!$L$17:$R$25,4,FALSE),)</f>
        <v/>
      </c>
      <c r="BV8" s="179" t="str">
        <f>IFERROR(VLOOKUP(BT$5,DONNEES!$L$17:$R$25,6,FALSE),)</f>
        <v/>
      </c>
      <c r="BW8" s="179" t="str">
        <f>IFERROR(VLOOKUP(BW$5,DONNEES!$L$17:$R$25,2,FALSE),)</f>
        <v/>
      </c>
      <c r="BX8" s="179" t="str">
        <f>IFERROR(VLOOKUP(BW$5,DONNEES!$L$17:$R$25,4,FALSE),)</f>
        <v/>
      </c>
      <c r="BY8" s="179" t="str">
        <f>IFERROR(VLOOKUP(BW$5,DONNEES!$L$17:$R$25,6,FALSE),)</f>
        <v/>
      </c>
      <c r="BZ8" s="179" t="str">
        <f>IFERROR(VLOOKUP(BZ$5,DONNEES!$L$17:$R$25,2,FALSE),)</f>
        <v/>
      </c>
      <c r="CA8" s="179" t="str">
        <f>IFERROR(VLOOKUP(BZ$5,DONNEES!$L$17:$R$25,4,FALSE),)</f>
        <v/>
      </c>
      <c r="CB8" s="179" t="str">
        <f>IFERROR(VLOOKUP(BZ$5,DONNEES!$L$17:$R$25,6,FALSE),)</f>
        <v/>
      </c>
      <c r="CC8" s="179" t="str">
        <f>IFERROR(VLOOKUP(CC$5,DONNEES!$L$17:$R$25,2,FALSE),)</f>
        <v/>
      </c>
      <c r="CD8" s="179" t="str">
        <f>IFERROR(VLOOKUP(CC$5,DONNEES!$L$17:$R$25,4,FALSE),)</f>
        <v/>
      </c>
      <c r="CE8" s="179" t="str">
        <f>IFERROR(VLOOKUP(CC$5,DONNEES!$L$17:$R$25,6,FALSE),)</f>
        <v/>
      </c>
      <c r="CF8" s="179" t="str">
        <f>IFERROR(VLOOKUP(CF$5,DONNEES!$L$17:$R$25,2,FALSE),)</f>
        <v/>
      </c>
      <c r="CG8" s="179" t="str">
        <f>IFERROR(VLOOKUP(CF$5,DONNEES!$L$17:$R$25,4,FALSE),)</f>
        <v/>
      </c>
      <c r="CH8" s="179" t="str">
        <f>IFERROR(VLOOKUP(CF$5,DONNEES!$L$17:$R$25,6,FALSE),)</f>
        <v/>
      </c>
      <c r="CI8" s="179" t="str">
        <f>IFERROR(VLOOKUP(CI$5,DONNEES!$L$17:$R$25,2,FALSE),)</f>
        <v/>
      </c>
      <c r="CJ8" s="179" t="str">
        <f>IFERROR(VLOOKUP(CI$5,DONNEES!$L$17:$R$25,4,FALSE),)</f>
        <v/>
      </c>
      <c r="CK8" s="179" t="str">
        <f>IFERROR(VLOOKUP(CI$5,DONNEES!$L$17:$R$25,6,FALSE),)</f>
        <v/>
      </c>
      <c r="CL8" s="179" t="str">
        <f>IFERROR(VLOOKUP(CL$5,DONNEES!$L$17:$R$25,2,FALSE),)</f>
        <v/>
      </c>
      <c r="CM8" s="179" t="str">
        <f>IFERROR(VLOOKUP(CL$5,DONNEES!$L$17:$R$25,4,FALSE),)</f>
        <v/>
      </c>
      <c r="CN8" s="179" t="str">
        <f>IFERROR(VLOOKUP(CL$5,DONNEES!$L$17:$R$25,6,FALSE),)</f>
        <v/>
      </c>
      <c r="CO8" s="179" t="str">
        <f>IFERROR(VLOOKUP(CO$5,DONNEES!$L$17:$R$25,2,FALSE),)</f>
        <v/>
      </c>
      <c r="CP8" s="179" t="str">
        <f>IFERROR(VLOOKUP(CO$5,DONNEES!$L$17:$R$25,4,FALSE),)</f>
        <v/>
      </c>
      <c r="CQ8" s="179" t="str">
        <f>IFERROR(VLOOKUP(CO$5,DONNEES!$L$17:$R$25,6,FALSE),)</f>
        <v/>
      </c>
      <c r="CR8" s="179" t="str">
        <f>IFERROR(VLOOKUP(CR$5,DONNEES!$L$17:$R$25,2,FALSE),)</f>
        <v/>
      </c>
      <c r="CS8" s="179" t="str">
        <f>IFERROR(VLOOKUP(CR$5,DONNEES!$L$17:$R$25,4,FALSE),)</f>
        <v/>
      </c>
      <c r="CT8" s="179" t="str">
        <f>IFERROR(VLOOKUP(CR$5,DONNEES!$L$17:$R$25,6,FALSE),)</f>
        <v/>
      </c>
      <c r="CU8" s="179">
        <f>IFERROR(VLOOKUP(CU$5,DONNEES!$L$17:$R$25,2,FALSE),)</f>
        <v>150</v>
      </c>
      <c r="CV8" s="179">
        <f>IFERROR(VLOOKUP(CU$5,DONNEES!$L$17:$R$25,4,FALSE),)</f>
        <v>0</v>
      </c>
      <c r="CW8" s="179">
        <f>IFERROR(VLOOKUP(CU$5,DONNEES!$L$17:$R$25,6,FALSE),)</f>
        <v>0</v>
      </c>
      <c r="CX8" s="179" t="str">
        <f>IFERROR(VLOOKUP(CX$5,DONNEES!$L$17:$R$25,2,FALSE),)</f>
        <v/>
      </c>
      <c r="CY8" s="179" t="str">
        <f>IFERROR(VLOOKUP(CX$5,DONNEES!$L$17:$R$25,4,FALSE),)</f>
        <v/>
      </c>
      <c r="CZ8" s="179" t="str">
        <f>IFERROR(VLOOKUP(CX$5,DONNEES!$L$17:$R$25,6,FALSE),)</f>
        <v/>
      </c>
      <c r="DA8" s="179" t="str">
        <f>IFERROR(VLOOKUP(DA$5,DONNEES!$L$17:$R$25,2,FALSE),)</f>
        <v/>
      </c>
      <c r="DB8" s="179" t="str">
        <f>IFERROR(VLOOKUP(DA$5,DONNEES!$L$17:$R$25,4,FALSE),)</f>
        <v/>
      </c>
      <c r="DC8" s="179" t="str">
        <f>IFERROR(VLOOKUP(DA$5,DONNEES!$L$17:$R$25,6,FALSE),)</f>
        <v/>
      </c>
      <c r="DD8" s="179" t="str">
        <f>IFERROR(VLOOKUP(DD$5,DONNEES!$L$17:$R$25,2,FALSE),)</f>
        <v/>
      </c>
      <c r="DE8" s="179" t="str">
        <f>IFERROR(VLOOKUP(DD$5,DONNEES!$L$17:$R$25,4,FALSE),)</f>
        <v/>
      </c>
      <c r="DF8" s="179" t="str">
        <f>IFERROR(VLOOKUP(DD$5,DONNEES!$L$17:$R$25,6,FALSE),)</f>
        <v/>
      </c>
      <c r="DG8" s="179" t="str">
        <f>IFERROR(VLOOKUP(DG$5,DONNEES!$L$17:$R$25,2,FALSE),)</f>
        <v/>
      </c>
      <c r="DH8" s="179" t="str">
        <f>IFERROR(VLOOKUP(DG$5,DONNEES!$L$17:$R$25,4,FALSE),)</f>
        <v/>
      </c>
      <c r="DI8" s="179" t="str">
        <f>IFERROR(VLOOKUP(DG$5,DONNEES!$L$17:$R$25,6,FALSE),)</f>
        <v/>
      </c>
      <c r="DJ8" s="180" t="str">
        <f>IFERROR(VLOOKUP(DJ$5,DONNEES!$L$17:$R$25,2,FALSE),)</f>
        <v/>
      </c>
      <c r="DK8" s="180" t="str">
        <f>IFERROR(VLOOKUP(DJ$5,DONNEES!$L$17:$R$25,4,FALSE),)</f>
        <v/>
      </c>
      <c r="DL8" s="180" t="str">
        <f>IFERROR(VLOOKUP(DJ$5,DONNEES!$L$17:$R$25,6,FALSE),)</f>
        <v/>
      </c>
    </row>
    <row r="9" ht="15.0" customHeight="1">
      <c r="B9" s="164" t="s">
        <v>179</v>
      </c>
      <c r="C9" s="179" t="str">
        <f>IFERROR(VLOOKUP(C$5,DONNEES!$T$6:$Z$15,2,FALSE),)</f>
        <v/>
      </c>
      <c r="D9" s="179" t="str">
        <f>IFERROR(VLOOKUP(C$5,DONNEES!$T$6:$Z$15,3,FALSE),)</f>
        <v/>
      </c>
      <c r="E9" s="179" t="str">
        <f>IFERROR(VLOOKUP(C$5,DONNEES!$T$6:$Z$15,4,FALSE),)</f>
        <v/>
      </c>
      <c r="F9" s="179">
        <f>IFERROR(VLOOKUP(F$5,DONNEES!$T$6:$Z$15,2,FALSE),)</f>
        <v>28000</v>
      </c>
      <c r="G9" s="179">
        <f>IFERROR(VLOOKUP(F$5,DONNEES!$T$6:$Z$15,3,FALSE),)</f>
        <v>0</v>
      </c>
      <c r="H9" s="179">
        <f>IFERROR(VLOOKUP(F$5,DONNEES!$T$6:$Z$15,4,FALSE),)</f>
        <v>0</v>
      </c>
      <c r="I9" s="179" t="str">
        <f>IFERROR(VLOOKUP(I$5,DONNEES!$T$6:$Z$15,2,FALSE),)</f>
        <v/>
      </c>
      <c r="J9" s="179" t="str">
        <f>IFERROR(VLOOKUP(I$5,DONNEES!$T$6:$Z$15,3,FALSE),)</f>
        <v/>
      </c>
      <c r="K9" s="179" t="str">
        <f>IFERROR(VLOOKUP(I$5,DONNEES!$T$6:$Z$15,4,FALSE),)</f>
        <v/>
      </c>
      <c r="L9" s="179">
        <f>IFERROR(VLOOKUP(L$5,DONNEES!$T$6:$Z$15,2,FALSE),)</f>
        <v>179000</v>
      </c>
      <c r="M9" s="179">
        <f>IFERROR(VLOOKUP(L$5,DONNEES!$T$6:$Z$15,3,FALSE),)</f>
        <v>0</v>
      </c>
      <c r="N9" s="179">
        <f>IFERROR(VLOOKUP(L$5,DONNEES!$T$6:$Z$15,4,FALSE),)</f>
        <v>0</v>
      </c>
      <c r="O9" s="180" t="str">
        <f>IFERROR(VLOOKUP(O$5,DONNEES!$T$6:$Z$15,2,FALSE),)</f>
        <v/>
      </c>
      <c r="P9" s="179" t="str">
        <f>IFERROR(VLOOKUP(O$5,DONNEES!$T$6:$Z$15,3,FALSE),)</f>
        <v/>
      </c>
      <c r="Q9" s="179" t="str">
        <f>IFERROR(VLOOKUP(O$5,DONNEES!$T$6:$Z$15,4,FALSE),)</f>
        <v/>
      </c>
      <c r="R9" s="180" t="str">
        <f>IFERROR(VLOOKUP(R$5,DONNEES!$T$6:$Z$15,2,FALSE),)</f>
        <v/>
      </c>
      <c r="S9" s="179" t="str">
        <f>IFERROR(VLOOKUP(R$5,DONNEES!$T$6:$Z$15,3,FALSE),)</f>
        <v/>
      </c>
      <c r="T9" s="179" t="str">
        <f>IFERROR(VLOOKUP(R$5,DONNEES!$T$6:$Z$15,4,FALSE),)</f>
        <v/>
      </c>
      <c r="U9" s="179">
        <f>IFERROR(VLOOKUP(U$5,DONNEES!$T$6:$Z$15,2,FALSE),)</f>
        <v>29000</v>
      </c>
      <c r="V9" s="179">
        <f>IFERROR(VLOOKUP(U$5,DONNEES!$T$6:$Z$15,3,FALSE),)</f>
        <v>0</v>
      </c>
      <c r="W9" s="179">
        <f>IFERROR(VLOOKUP(U$5,DONNEES!$T$6:$Z$15,4,FALSE),)</f>
        <v>0</v>
      </c>
      <c r="X9" s="179" t="str">
        <f>IFERROR(VLOOKUP(X$5,DONNEES!$T$6:$Z$15,2,FALSE),)</f>
        <v/>
      </c>
      <c r="Y9" s="179" t="str">
        <f>IFERROR(VLOOKUP(X$5,DONNEES!$T$6:$Z$15,3,FALSE),)</f>
        <v/>
      </c>
      <c r="Z9" s="179" t="str">
        <f>IFERROR(VLOOKUP(X$5,DONNEES!$T$6:$Z$15,4,FALSE),)</f>
        <v/>
      </c>
      <c r="AA9" s="179" t="str">
        <f>IFERROR(VLOOKUP(AA$5,DONNEES!$T$6:$Z$15,2,FALSE),)</f>
        <v/>
      </c>
      <c r="AB9" s="179" t="str">
        <f>IFERROR(VLOOKUP(AA$5,DONNEES!$T$6:$Z$15,3,FALSE),)</f>
        <v/>
      </c>
      <c r="AC9" s="179" t="str">
        <f>IFERROR(VLOOKUP(AA$5,DONNEES!$T$6:$Z$15,4,FALSE),)</f>
        <v/>
      </c>
      <c r="AD9" s="179" t="str">
        <f>IFERROR(VLOOKUP(AD$5,DONNEES!$T$6:$Z$15,2,FALSE),)</f>
        <v/>
      </c>
      <c r="AE9" s="179" t="str">
        <f>IFERROR(VLOOKUP(AD$5,DONNEES!$T$6:$Z$15,3,FALSE),)</f>
        <v/>
      </c>
      <c r="AF9" s="179" t="str">
        <f>IFERROR(VLOOKUP(AD$5,DONNEES!$T$6:$Z$15,4,FALSE),)</f>
        <v/>
      </c>
      <c r="AG9" s="180">
        <f>IFERROR(VLOOKUP(AG$5,DONNEES!$T$6:$Z$15,2,FALSE),)</f>
        <v>5000</v>
      </c>
      <c r="AH9" s="179">
        <f>IFERROR(VLOOKUP(AG$5,DONNEES!$T$6:$Z$15,3,FALSE),)</f>
        <v>0</v>
      </c>
      <c r="AI9" s="179">
        <f>IFERROR(VLOOKUP(AG$5,DONNEES!$T$6:$Z$15,4,FALSE),)</f>
        <v>0</v>
      </c>
      <c r="AJ9" s="179" t="str">
        <f>IFERROR(VLOOKUP(AJ$5,DONNEES!$T$6:$Z$15,2,FALSE),)</f>
        <v/>
      </c>
      <c r="AK9" s="179" t="str">
        <f>IFERROR(VLOOKUP(AJ$5,DONNEES!$T$6:$Z$15,3,FALSE),)</f>
        <v/>
      </c>
      <c r="AL9" s="179" t="str">
        <f>IFERROR(VLOOKUP(AJ$5,DONNEES!$T$6:$Z$15,4,FALSE),)</f>
        <v/>
      </c>
      <c r="AM9" s="179" t="str">
        <f>IFERROR(VLOOKUP(AM$5,DONNEES!$T$6:$Z$15,2,FALSE),)</f>
        <v/>
      </c>
      <c r="AN9" s="179" t="str">
        <f>IFERROR(VLOOKUP(AM$5,DONNEES!$T$6:$Z$15,3,FALSE),)</f>
        <v/>
      </c>
      <c r="AO9" s="179" t="str">
        <f>IFERROR(VLOOKUP(AM$5,DONNEES!$T$6:$Z$15,4,FALSE),)</f>
        <v/>
      </c>
      <c r="AP9" s="179" t="str">
        <f>IFERROR(VLOOKUP(AP$5,DONNEES!$T$6:$Z$15,2,FALSE),)</f>
        <v/>
      </c>
      <c r="AQ9" s="179" t="str">
        <f>IFERROR(VLOOKUP(AP$5,DONNEES!$T$6:$Z$15,3,FALSE),)</f>
        <v/>
      </c>
      <c r="AR9" s="179" t="str">
        <f>IFERROR(VLOOKUP(AP$5,DONNEES!$T$6:$Z$15,4,FALSE),)</f>
        <v/>
      </c>
      <c r="AS9" s="179" t="str">
        <f>IFERROR(VLOOKUP(AS$5,DONNEES!$T$6:$Z$15,2,FALSE),)</f>
        <v/>
      </c>
      <c r="AT9" s="179" t="str">
        <f>IFERROR(VLOOKUP(AS$5,DONNEES!$T$6:$Z$15,3,FALSE),)</f>
        <v/>
      </c>
      <c r="AU9" s="179" t="str">
        <f>IFERROR(VLOOKUP(AS$5,DONNEES!$T$6:$Z$15,4,FALSE),)</f>
        <v/>
      </c>
      <c r="AV9" s="180" t="str">
        <f>IFERROR(VLOOKUP(AV$5,DONNEES!$T$6:$Z$15,2,FALSE),)</f>
        <v/>
      </c>
      <c r="AW9" s="179" t="str">
        <f>IFERROR(VLOOKUP(AV$5,DONNEES!$T$6:$Z$15,3,FALSE),)</f>
        <v/>
      </c>
      <c r="AX9" s="179" t="str">
        <f>IFERROR(VLOOKUP(AV$5,DONNEES!$T$6:$Z$15,4,FALSE),)</f>
        <v/>
      </c>
      <c r="AY9" s="179" t="str">
        <f>IFERROR(VLOOKUP(AY$5,DONNEES!$T$6:$Z$15,2,FALSE),)</f>
        <v/>
      </c>
      <c r="AZ9" s="179" t="str">
        <f>IFERROR(VLOOKUP(AY$5,DONNEES!$T$6:$Z$15,3,FALSE),)</f>
        <v/>
      </c>
      <c r="BA9" s="179" t="str">
        <f>IFERROR(VLOOKUP(AY$5,DONNEES!$T$6:$Z$15,4,FALSE),)</f>
        <v/>
      </c>
      <c r="BB9" s="180">
        <f>IFERROR(VLOOKUP(BB$5,DONNEES!$T$17:$Z$25,2,FALSE),)</f>
        <v>1370</v>
      </c>
      <c r="BC9" s="179">
        <f>IFERROR(VLOOKUP(BB$5,DONNEES!$T$17:$Z$25,4,FALSE),)</f>
        <v>0</v>
      </c>
      <c r="BD9" s="179">
        <f>IFERROR(VLOOKUP(BB$5,DONNEES!$T$17:$Z$25,6,FALSE),)</f>
        <v>0</v>
      </c>
      <c r="BE9" s="179" t="str">
        <f>IFERROR(VLOOKUP(BE$5,DONNEES!$T$17:$Z$25,2,FALSE),)</f>
        <v/>
      </c>
      <c r="BF9" s="179" t="str">
        <f>IFERROR(VLOOKUP(BE$5,DONNEES!$T$17:$Z$25,4,FALSE),)</f>
        <v/>
      </c>
      <c r="BG9" s="179" t="str">
        <f>IFERROR(VLOOKUP(BE$5,DONNEES!$T$17:$Z$25,6,FALSE),)</f>
        <v/>
      </c>
      <c r="BH9" s="180" t="str">
        <f>IFERROR(VLOOKUP(BH$5,DONNEES!$T$17:$Z$25,2,FALSE),)</f>
        <v/>
      </c>
      <c r="BI9" s="179" t="str">
        <f>IFERROR(VLOOKUP(BH$5,DONNEES!$T$17:$Z$25,4,FALSE),)</f>
        <v/>
      </c>
      <c r="BJ9" s="179" t="str">
        <f>IFERROR(VLOOKUP(BH$5,DONNEES!$T$17:$Z$25,6,FALSE),)</f>
        <v/>
      </c>
      <c r="BK9" s="179" t="str">
        <f>IFERROR(VLOOKUP(BK$5,DONNEES!$T$17:$Z$25,2,FALSE),)</f>
        <v/>
      </c>
      <c r="BL9" s="179" t="str">
        <f>IFERROR(VLOOKUP(BK$5,DONNEES!$T$17:$Z$25,4,FALSE),)</f>
        <v/>
      </c>
      <c r="BM9" s="179" t="str">
        <f>IFERROR(VLOOKUP(BK$5,DONNEES!$T$17:$Z$25,6,FALSE),)</f>
        <v/>
      </c>
      <c r="BN9" s="179" t="str">
        <f>IFERROR(VLOOKUP(BN$5,DONNEES!$T$17:$Z$25,2,FALSE),)</f>
        <v/>
      </c>
      <c r="BO9" s="179" t="str">
        <f>IFERROR(VLOOKUP(BN$5,DONNEES!$T$17:$Z$25,4,FALSE),)</f>
        <v/>
      </c>
      <c r="BP9" s="179" t="str">
        <f>IFERROR(VLOOKUP(BN$5,DONNEES!$T$17:$Z$25,6,FALSE),)</f>
        <v/>
      </c>
      <c r="BQ9" s="179" t="str">
        <f>IFERROR(VLOOKUP(BQ$5,DONNEES!$T$17:$Z$25,2,FALSE),)</f>
        <v/>
      </c>
      <c r="BR9" s="179" t="str">
        <f>IFERROR(VLOOKUP(BQ$5,DONNEES!$T$17:$Z$25,4,FALSE),)</f>
        <v/>
      </c>
      <c r="BS9" s="179" t="str">
        <f>IFERROR(VLOOKUP(BQ$5,DONNEES!$T$17:$Z$25,6,FALSE),)</f>
        <v/>
      </c>
      <c r="BT9" s="179" t="str">
        <f>IFERROR(VLOOKUP(BT$5,DONNEES!$T$17:$Z$25,2,FALSE),)</f>
        <v/>
      </c>
      <c r="BU9" s="179" t="str">
        <f>IFERROR(VLOOKUP(BT$5,DONNEES!$T$17:$Z$25,4,FALSE),)</f>
        <v/>
      </c>
      <c r="BV9" s="179" t="str">
        <f>IFERROR(VLOOKUP(BT$5,DONNEES!$T$17:$Z$25,6,FALSE),)</f>
        <v/>
      </c>
      <c r="BW9" s="179" t="str">
        <f>IFERROR(VLOOKUP(BW$5,DONNEES!$T$17:$Z$25,2,FALSE),)</f>
        <v/>
      </c>
      <c r="BX9" s="179" t="str">
        <f>IFERROR(VLOOKUP(BW$5,DONNEES!$T$17:$Z$25,4,FALSE),)</f>
        <v/>
      </c>
      <c r="BY9" s="179" t="str">
        <f>IFERROR(VLOOKUP(BW$5,DONNEES!$T$17:$Z$25,6,FALSE),)</f>
        <v/>
      </c>
      <c r="BZ9" s="179" t="str">
        <f>IFERROR(VLOOKUP(BZ$5,DONNEES!$T$17:$Z$25,2,FALSE),)</f>
        <v/>
      </c>
      <c r="CA9" s="179" t="str">
        <f>IFERROR(VLOOKUP(BZ$5,DONNEES!$T$17:$Z$25,4,FALSE),)</f>
        <v/>
      </c>
      <c r="CB9" s="179" t="str">
        <f>IFERROR(VLOOKUP(BZ$5,DONNEES!$T$17:$Z$25,6,FALSE),)</f>
        <v/>
      </c>
      <c r="CC9" s="179" t="str">
        <f>IFERROR(VLOOKUP(CC$5,DONNEES!$T$17:$Z$25,2,FALSE),)</f>
        <v/>
      </c>
      <c r="CD9" s="179" t="str">
        <f>IFERROR(VLOOKUP(CC$5,DONNEES!$T$17:$Z$25,4,FALSE),)</f>
        <v/>
      </c>
      <c r="CE9" s="179" t="str">
        <f>IFERROR(VLOOKUP(CC$5,DONNEES!$T$17:$Z$25,6,FALSE),)</f>
        <v/>
      </c>
      <c r="CF9" s="179" t="str">
        <f>IFERROR(VLOOKUP(CF$5,DONNEES!$T$17:$Z$25,2,FALSE),)</f>
        <v/>
      </c>
      <c r="CG9" s="179" t="str">
        <f>IFERROR(VLOOKUP(CF$5,DONNEES!$T$17:$Z$25,4,FALSE),)</f>
        <v/>
      </c>
      <c r="CH9" s="179" t="str">
        <f>IFERROR(VLOOKUP(CF$5,DONNEES!$T$17:$Z$25,6,FALSE),)</f>
        <v/>
      </c>
      <c r="CI9" s="179" t="str">
        <f>IFERROR(VLOOKUP(CI$5,DONNEES!$T$17:$Z$25,2,FALSE),)</f>
        <v/>
      </c>
      <c r="CJ9" s="179" t="str">
        <f>IFERROR(VLOOKUP(CI$5,DONNEES!$T$17:$Z$25,4,FALSE),)</f>
        <v/>
      </c>
      <c r="CK9" s="179" t="str">
        <f>IFERROR(VLOOKUP(CI$5,DONNEES!$T$17:$Z$25,6,FALSE),)</f>
        <v/>
      </c>
      <c r="CL9" s="180" t="str">
        <f>IFERROR(VLOOKUP(CL$5,DONNEES!$T$17:$Z$25,2,FALSE),)</f>
        <v/>
      </c>
      <c r="CM9" s="180" t="str">
        <f>IFERROR(VLOOKUP(CL$5,DONNEES!$T$17:$Z$25,4,FALSE),)</f>
        <v/>
      </c>
      <c r="CN9" s="180" t="str">
        <f>IFERROR(VLOOKUP(CL$5,DONNEES!$T$17:$Z$25,6,FALSE),)</f>
        <v/>
      </c>
      <c r="CO9" s="180" t="str">
        <f>IFERROR(VLOOKUP(CO$5,DONNEES!$T$17:$Z$25,2,FALSE),)</f>
        <v/>
      </c>
      <c r="CP9" s="180" t="str">
        <f>IFERROR(VLOOKUP(CO$5,DONNEES!$T$17:$Z$25,4,FALSE),)</f>
        <v/>
      </c>
      <c r="CQ9" s="180" t="str">
        <f>IFERROR(VLOOKUP(CO$5,DONNEES!$T$17:$Z$25,6,FALSE),)</f>
        <v/>
      </c>
      <c r="CR9" s="179" t="str">
        <f>IFERROR(VLOOKUP(CR$5,DONNEES!$T$17:$Z$25,2,FALSE),)</f>
        <v/>
      </c>
      <c r="CS9" s="179" t="str">
        <f>IFERROR(VLOOKUP(CR$5,DONNEES!$T$17:$Z$25,4,FALSE),)</f>
        <v/>
      </c>
      <c r="CT9" s="179" t="str">
        <f>IFERROR(VLOOKUP(CR$5,DONNEES!$T$17:$Z$25,6,FALSE),)</f>
        <v/>
      </c>
      <c r="CU9" s="179">
        <f>IFERROR(VLOOKUP(CU$5,DONNEES!$T$17:$Z$25,2,FALSE),)</f>
        <v>145</v>
      </c>
      <c r="CV9" s="179">
        <f>IFERROR(VLOOKUP(CU$5,DONNEES!$T$17:$Z$25,4,FALSE),)</f>
        <v>0</v>
      </c>
      <c r="CW9" s="179">
        <f>IFERROR(VLOOKUP(CU$5,DONNEES!$T$17:$Z$25,6,FALSE),)</f>
        <v>0</v>
      </c>
      <c r="CX9" s="179" t="str">
        <f>IFERROR(VLOOKUP(CX$5,DONNEES!$T$17:$Z$25,2,FALSE),)</f>
        <v/>
      </c>
      <c r="CY9" s="179" t="str">
        <f>IFERROR(VLOOKUP(CX$5,DONNEES!$T$17:$Z$25,4,FALSE),)</f>
        <v/>
      </c>
      <c r="CZ9" s="179" t="str">
        <f>IFERROR(VLOOKUP(CX$5,DONNEES!$T$17:$Z$25,6,FALSE),)</f>
        <v/>
      </c>
      <c r="DA9" s="179" t="str">
        <f>IFERROR(VLOOKUP(DA$5,DONNEES!$T$17:$Z$25,2,FALSE),)</f>
        <v/>
      </c>
      <c r="DB9" s="179" t="str">
        <f>IFERROR(VLOOKUP(DA$5,DONNEES!$T$17:$Z$25,4,FALSE),)</f>
        <v/>
      </c>
      <c r="DC9" s="179" t="str">
        <f>IFERROR(VLOOKUP(DA$5,DONNEES!$T$17:$Z$25,6,FALSE),)</f>
        <v/>
      </c>
      <c r="DD9" s="179" t="str">
        <f>IFERROR(VLOOKUP(DD$5,DONNEES!$T$17:$Z$25,2,FALSE),)</f>
        <v/>
      </c>
      <c r="DE9" s="179" t="str">
        <f>IFERROR(VLOOKUP(DD$5,DONNEES!$T$17:$Z$25,4,FALSE),)</f>
        <v/>
      </c>
      <c r="DF9" s="179" t="str">
        <f>IFERROR(VLOOKUP(DD$5,DONNEES!$T$17:$Z$25,6,FALSE),)</f>
        <v/>
      </c>
      <c r="DG9" s="179" t="str">
        <f>IFERROR(VLOOKUP(DG$5,DONNEES!$T$17:$Z$25,2,FALSE),)</f>
        <v/>
      </c>
      <c r="DH9" s="179" t="str">
        <f>IFERROR(VLOOKUP(DG$5,DONNEES!$T$17:$Z$25,4,FALSE),)</f>
        <v/>
      </c>
      <c r="DI9" s="179" t="str">
        <f>IFERROR(VLOOKUP(DG$5,DONNEES!$T$17:$Z$25,6,FALSE),)</f>
        <v/>
      </c>
      <c r="DJ9" s="180" t="str">
        <f>IFERROR(VLOOKUP(DJ$5,DONNEES!$T$17:$Z$25,2,FALSE),)</f>
        <v/>
      </c>
      <c r="DK9" s="180" t="str">
        <f>IFERROR(VLOOKUP(DJ$5,DONNEES!$T$17:$Z$25,4,FALSE),)</f>
        <v/>
      </c>
      <c r="DL9" s="180" t="str">
        <f>IFERROR(VLOOKUP(DJ$5,DONNEES!$T$17:$Z$25,6,FALSE),)</f>
        <v/>
      </c>
    </row>
    <row r="10">
      <c r="B10" s="164" t="s">
        <v>180</v>
      </c>
      <c r="C10" s="179" t="str">
        <f>IFERROR(VLOOKUP(C$5,DONNEES!$AB$6:$AH$15,2,FALSE),)</f>
        <v/>
      </c>
      <c r="D10" s="179" t="str">
        <f>IFERROR(VLOOKUP(C$5,DONNEES!$AB$6:$AH$15,3,FALSE),)</f>
        <v/>
      </c>
      <c r="E10" s="179" t="str">
        <f>IFERROR(VLOOKUP(C$5,DONNEES!$AB$6:$AH$15,4,FALSE),)</f>
        <v/>
      </c>
      <c r="F10" s="179">
        <f>IFERROR(VLOOKUP(F$5,DONNEES!$AB$6:$AH$15,2,FALSE),)</f>
        <v>17000</v>
      </c>
      <c r="G10" s="179">
        <f>IFERROR(VLOOKUP(F$5,DONNEES!$AB$6:$AH$15,3,FALSE),)</f>
        <v>0</v>
      </c>
      <c r="H10" s="179">
        <f>IFERROR(VLOOKUP(F$5,DONNEES!$AB$6:$AH$15,4,FALSE),)</f>
        <v>0</v>
      </c>
      <c r="I10" s="179" t="str">
        <f>IFERROR(VLOOKUP(I$5,DONNEES!$AB$6:$AH$15,2,FALSE),)</f>
        <v/>
      </c>
      <c r="J10" s="179" t="str">
        <f>IFERROR(VLOOKUP(I$5,DONNEES!$AB$6:$AH$15,3,FALSE),)</f>
        <v/>
      </c>
      <c r="K10" s="179" t="str">
        <f>IFERROR(VLOOKUP(I$5,DONNEES!$AB$6:$AH$15,4,FALSE),)</f>
        <v/>
      </c>
      <c r="L10" s="179">
        <f>IFERROR(VLOOKUP(L$5,DONNEES!$AB$6:$AH$15,2,FALSE),)</f>
        <v>90000</v>
      </c>
      <c r="M10" s="179">
        <f>IFERROR(VLOOKUP(L$5,DONNEES!$AB$6:$AH$15,3,FALSE),)</f>
        <v>0</v>
      </c>
      <c r="N10" s="179">
        <f>IFERROR(VLOOKUP(L$5,DONNEES!$AB$6:$AH$15,4,FALSE),)</f>
        <v>0</v>
      </c>
      <c r="O10" s="179" t="str">
        <f>IFERROR(VLOOKUP(O$5,DONNEES!$AB$6:$AH$15,2,FALSE),)</f>
        <v/>
      </c>
      <c r="P10" s="179" t="str">
        <f>IFERROR(VLOOKUP(O$5,DONNEES!$AB$6:$AH$15,3,FALSE),)</f>
        <v/>
      </c>
      <c r="Q10" s="179" t="str">
        <f>IFERROR(VLOOKUP(O$5,DONNEES!$AB$6:$AH$15,4,FALSE),)</f>
        <v/>
      </c>
      <c r="R10" s="180" t="str">
        <f>IFERROR(VLOOKUP(R$5,DONNEES!$AB$6:$AH$15,2,FALSE),)</f>
        <v/>
      </c>
      <c r="S10" s="179" t="str">
        <f>IFERROR(VLOOKUP(R$5,DONNEES!$AB$6:$AH$15,3,FALSE),)</f>
        <v/>
      </c>
      <c r="T10" s="179" t="str">
        <f>IFERROR(VLOOKUP(R$5,DONNEES!$AB$6:$AH$15,4,FALSE),)</f>
        <v/>
      </c>
      <c r="U10" s="179">
        <f>IFERROR(VLOOKUP(U$5,DONNEES!$AB$6:$AH$15,2,FALSE),)</f>
        <v>18000</v>
      </c>
      <c r="V10" s="179">
        <f>IFERROR(VLOOKUP(U$5,DONNEES!$AB$6:$AH$15,3,FALSE),)</f>
        <v>0</v>
      </c>
      <c r="W10" s="179">
        <f>IFERROR(VLOOKUP(U$5,DONNEES!$AB$6:$AH$15,4,FALSE),)</f>
        <v>0</v>
      </c>
      <c r="X10" s="179" t="str">
        <f>IFERROR(VLOOKUP(X$5,DONNEES!$AB$6:$AH$15,2,FALSE),)</f>
        <v/>
      </c>
      <c r="Y10" s="179" t="str">
        <f>IFERROR(VLOOKUP(X$5,DONNEES!$AB$6:$AH$15,3,FALSE),)</f>
        <v/>
      </c>
      <c r="Z10" s="179" t="str">
        <f>IFERROR(VLOOKUP(X$5,DONNEES!$AB$6:$AH$15,4,FALSE),)</f>
        <v/>
      </c>
      <c r="AA10" s="179" t="str">
        <f>IFERROR(VLOOKUP(AA$5,DONNEES!$AB$6:$AH$15,2,FALSE),)</f>
        <v/>
      </c>
      <c r="AB10" s="179" t="str">
        <f>IFERROR(VLOOKUP(AA$5,DONNEES!$AB$6:$AH$15,3,FALSE),)</f>
        <v/>
      </c>
      <c r="AC10" s="179" t="str">
        <f>IFERROR(VLOOKUP(AA$5,DONNEES!$AB$6:$AH$15,4,FALSE),)</f>
        <v/>
      </c>
      <c r="AD10" s="179" t="str">
        <f>IFERROR(VLOOKUP(AD$5,DONNEES!$AB$6:$AH$15,2,FALSE),)</f>
        <v/>
      </c>
      <c r="AE10" s="179" t="str">
        <f>IFERROR(VLOOKUP(AD$5,DONNEES!$AB$6:$AH$15,3,FALSE),)</f>
        <v/>
      </c>
      <c r="AF10" s="179" t="str">
        <f>IFERROR(VLOOKUP(AD$5,DONNEES!$AB$6:$AH$15,4,FALSE),)</f>
        <v/>
      </c>
      <c r="AG10" s="180">
        <f>IFERROR(VLOOKUP(AG$5,DONNEES!$AB$6:$AH$15,2,FALSE),)</f>
        <v>6000</v>
      </c>
      <c r="AH10" s="179">
        <f>IFERROR(VLOOKUP(AG$5,DONNEES!$AB$6:$AH$15,3,FALSE),)</f>
        <v>0</v>
      </c>
      <c r="AI10" s="179">
        <f>IFERROR(VLOOKUP(AG$5,DONNEES!$AB$6:$AH$15,4,FALSE),)</f>
        <v>0</v>
      </c>
      <c r="AJ10" s="179" t="str">
        <f>IFERROR(VLOOKUP(AJ$5,DONNEES!$AB$6:$AH$15,2,FALSE),)</f>
        <v/>
      </c>
      <c r="AK10" s="179" t="str">
        <f>IFERROR(VLOOKUP(AJ$5,DONNEES!$AB$6:$AH$15,3,FALSE),)</f>
        <v/>
      </c>
      <c r="AL10" s="179" t="str">
        <f>IFERROR(VLOOKUP(AJ$5,DONNEES!$AB$6:$AH$15,4,FALSE),)</f>
        <v/>
      </c>
      <c r="AM10" s="179" t="str">
        <f>IFERROR(VLOOKUP(AM$5,DONNEES!$AB$6:$AH$15,2,FALSE),)</f>
        <v/>
      </c>
      <c r="AN10" s="179" t="str">
        <f>IFERROR(VLOOKUP(AM$5,DONNEES!$AB$6:$AH$15,3,FALSE),)</f>
        <v/>
      </c>
      <c r="AO10" s="179" t="str">
        <f>IFERROR(VLOOKUP(AM$5,DONNEES!$AB$6:$AH$15,4,FALSE),)</f>
        <v/>
      </c>
      <c r="AP10" s="179" t="str">
        <f>IFERROR(VLOOKUP(AP$5,DONNEES!$AB$6:$AH$15,2,FALSE),)</f>
        <v/>
      </c>
      <c r="AQ10" s="179" t="str">
        <f>IFERROR(VLOOKUP(AP$5,DONNEES!$AB$6:$AH$15,3,FALSE),)</f>
        <v/>
      </c>
      <c r="AR10" s="179" t="str">
        <f>IFERROR(VLOOKUP(AP$5,DONNEES!$AB$6:$AH$15,4,FALSE),)</f>
        <v/>
      </c>
      <c r="AS10" s="179" t="str">
        <f>IFERROR(VLOOKUP(AS$5,DONNEES!$AB$6:$AH$15,2,FALSE),)</f>
        <v/>
      </c>
      <c r="AT10" s="179" t="str">
        <f>IFERROR(VLOOKUP(AS$5,DONNEES!$AB$6:$AH$15,3,FALSE),)</f>
        <v/>
      </c>
      <c r="AU10" s="179" t="str">
        <f>IFERROR(VLOOKUP(AS$5,DONNEES!$AB$6:$AH$15,4,FALSE),)</f>
        <v/>
      </c>
      <c r="AV10" s="180" t="str">
        <f>IFERROR(VLOOKUP(AV$5,DONNEES!$AB$6:$AH$15,2,FALSE),)</f>
        <v/>
      </c>
      <c r="AW10" s="179" t="str">
        <f>IFERROR(VLOOKUP(AV$5,DONNEES!$AB$6:$AH$15,3,FALSE),)</f>
        <v/>
      </c>
      <c r="AX10" s="179" t="str">
        <f>IFERROR(VLOOKUP(AV$5,DONNEES!$AB$6:$AH$15,4,FALSE),)</f>
        <v/>
      </c>
      <c r="AY10" s="179" t="str">
        <f>IFERROR(VLOOKUP(AY$5,DONNEES!$AB$6:$AH$15,2,FALSE),)</f>
        <v/>
      </c>
      <c r="AZ10" s="179" t="str">
        <f>IFERROR(VLOOKUP(AY$5,DONNEES!$AB$6:$AH$15,3,FALSE),)</f>
        <v/>
      </c>
      <c r="BA10" s="179" t="str">
        <f>IFERROR(VLOOKUP(AY$5,DONNEES!$AB$6:$AH$15,4,FALSE),)</f>
        <v/>
      </c>
      <c r="BB10" s="180">
        <f>IFERROR(VLOOKUP(BB$5,DONNEES!$AB$17:$AH$25,2,FALSE),)</f>
        <v>1209</v>
      </c>
      <c r="BC10" s="179">
        <f>IFERROR(VLOOKUP(BB$5,DONNEES!$AB$17:$AH$25,4,FALSE),)</f>
        <v>0</v>
      </c>
      <c r="BD10" s="179">
        <f>IFERROR(VLOOKUP(BB$5,DONNEES!$AB$17:$AH$25,6,FALSE),)</f>
        <v>0</v>
      </c>
      <c r="BE10" s="179" t="str">
        <f>IFERROR(VLOOKUP(BE$5,DONNEES!$AB$17:$AH$25,2,FALSE),)</f>
        <v/>
      </c>
      <c r="BF10" s="179" t="str">
        <f>IFERROR(VLOOKUP(BE$5,DONNEES!$AB$17:$AH$25,4,FALSE),)</f>
        <v/>
      </c>
      <c r="BG10" s="179" t="str">
        <f>IFERROR(VLOOKUP(BE$5,DONNEES!$AB$17:$AH$25,6,FALSE),)</f>
        <v/>
      </c>
      <c r="BH10" s="180" t="str">
        <f>IFERROR(VLOOKUP(BH$5,DONNEES!$AB$17:$AH$25,2,FALSE),)</f>
        <v/>
      </c>
      <c r="BI10" s="179" t="str">
        <f>IFERROR(VLOOKUP(BH$5,DONNEES!$AB$17:$AH$25,4,FALSE),)</f>
        <v/>
      </c>
      <c r="BJ10" s="179" t="str">
        <f>IFERROR(VLOOKUP(BH$5,DONNEES!$AB$17:$AH$25,6,FALSE),)</f>
        <v/>
      </c>
      <c r="BK10" s="179" t="str">
        <f>IFERROR(VLOOKUP(BK$5,DONNEES!$AB$17:$AH$25,2,FALSE),)</f>
        <v/>
      </c>
      <c r="BL10" s="179" t="str">
        <f>IFERROR(VLOOKUP(BK$5,DONNEES!$AB$17:$AH$25,4,FALSE),)</f>
        <v/>
      </c>
      <c r="BM10" s="179" t="str">
        <f>IFERROR(VLOOKUP(BK$5,DONNEES!$AB$17:$AH$25,6,FALSE),)</f>
        <v/>
      </c>
      <c r="BN10" s="179" t="str">
        <f>IFERROR(VLOOKUP(BN$5,DONNEES!$AB$17:$AH$25,2,FALSE),)</f>
        <v/>
      </c>
      <c r="BO10" s="179" t="str">
        <f>IFERROR(VLOOKUP(BN$5,DONNEES!$AB$17:$AH$25,4,FALSE),)</f>
        <v/>
      </c>
      <c r="BP10" s="179" t="str">
        <f>IFERROR(VLOOKUP(BN$5,DONNEES!$AB$17:$AH$25,6,FALSE),)</f>
        <v/>
      </c>
      <c r="BQ10" s="179" t="str">
        <f>IFERROR(VLOOKUP(BQ$5,DONNEES!$AB$17:$AH$25,2,FALSE),)</f>
        <v/>
      </c>
      <c r="BR10" s="179" t="str">
        <f>IFERROR(VLOOKUP(BQ$5,DONNEES!$AB$17:$AH$25,4,FALSE),)</f>
        <v/>
      </c>
      <c r="BS10" s="179" t="str">
        <f>IFERROR(VLOOKUP(BQ$5,DONNEES!$AB$17:$AH$25,6,FALSE),)</f>
        <v/>
      </c>
      <c r="BT10" s="179" t="str">
        <f>IFERROR(VLOOKUP(BT$5,DONNEES!$AB$17:$AH$25,2,FALSE),)</f>
        <v/>
      </c>
      <c r="BU10" s="179" t="str">
        <f>IFERROR(VLOOKUP(BT$5,DONNEES!$AB$17:$AH$25,4,FALSE),)</f>
        <v/>
      </c>
      <c r="BV10" s="179" t="str">
        <f>IFERROR(VLOOKUP(BT$5,DONNEES!$AB$17:$AH$25,6,FALSE),)</f>
        <v/>
      </c>
      <c r="BW10" s="179" t="str">
        <f>IFERROR(VLOOKUP(BW$5,DONNEES!$AB$17:$AH$25,2,FALSE),)</f>
        <v/>
      </c>
      <c r="BX10" s="179" t="str">
        <f>IFERROR(VLOOKUP(BW$5,DONNEES!$AB$17:$AH$25,4,FALSE),)</f>
        <v/>
      </c>
      <c r="BY10" s="179" t="str">
        <f>IFERROR(VLOOKUP(BW$5,DONNEES!$AB$17:$AH$25,6,FALSE),)</f>
        <v/>
      </c>
      <c r="BZ10" s="179" t="str">
        <f>IFERROR(VLOOKUP(BZ$5,DONNEES!$AB$17:$AH$25,2,FALSE),)</f>
        <v/>
      </c>
      <c r="CA10" s="179" t="str">
        <f>IFERROR(VLOOKUP(BZ$5,DONNEES!$AB$17:$AH$25,4,FALSE),)</f>
        <v/>
      </c>
      <c r="CB10" s="179" t="str">
        <f>IFERROR(VLOOKUP(BZ$5,DONNEES!$AB$17:$AH$25,6,FALSE),)</f>
        <v/>
      </c>
      <c r="CC10" s="179" t="str">
        <f>IFERROR(VLOOKUP(CC$5,DONNEES!$AB$17:$AH$25,2,FALSE),)</f>
        <v/>
      </c>
      <c r="CD10" s="179" t="str">
        <f>IFERROR(VLOOKUP(CC$5,DONNEES!$AB$17:$AH$25,4,FALSE),)</f>
        <v/>
      </c>
      <c r="CE10" s="179" t="str">
        <f>IFERROR(VLOOKUP(CC$5,DONNEES!$AB$17:$AH$25,6,FALSE),)</f>
        <v/>
      </c>
      <c r="CF10" s="179" t="str">
        <f>IFERROR(VLOOKUP(CF$5,DONNEES!$AB$17:$AH$25,2,FALSE),)</f>
        <v/>
      </c>
      <c r="CG10" s="179" t="str">
        <f>IFERROR(VLOOKUP(CF$5,DONNEES!$AB$17:$AH$25,4,FALSE),)</f>
        <v/>
      </c>
      <c r="CH10" s="179" t="str">
        <f>IFERROR(VLOOKUP(CF$5,DONNEES!$AB$17:$AH$25,6,FALSE),)</f>
        <v/>
      </c>
      <c r="CI10" s="179" t="str">
        <f>IFERROR(VLOOKUP(CI$5,DONNEES!$AB$17:$AH$25,2,FALSE),)</f>
        <v/>
      </c>
      <c r="CJ10" s="179" t="str">
        <f>IFERROR(VLOOKUP(CI$5,DONNEES!$AB$17:$AH$25,4,FALSE),)</f>
        <v/>
      </c>
      <c r="CK10" s="179" t="str">
        <f>IFERROR(VLOOKUP(CI$5,DONNEES!$AB$17:$AH$25,6,FALSE),)</f>
        <v/>
      </c>
      <c r="CL10" s="180" t="str">
        <f>IFERROR(VLOOKUP(CL$5,DONNEES!$AB$17:$AH$25,2,FALSE),)</f>
        <v/>
      </c>
      <c r="CM10" s="180" t="str">
        <f>IFERROR(VLOOKUP(CL$5,DONNEES!$AB$17:$AH$25,4,FALSE),)</f>
        <v/>
      </c>
      <c r="CN10" s="180" t="str">
        <f>IFERROR(VLOOKUP(CL$5,DONNEES!$AB$17:$AH$25,6,FALSE),)</f>
        <v/>
      </c>
      <c r="CO10" s="180" t="str">
        <f>IFERROR(VLOOKUP(CO$5,DONNEES!$AB$17:$AH$25,2,FALSE),)</f>
        <v/>
      </c>
      <c r="CP10" s="180" t="str">
        <f>IFERROR(VLOOKUP(CO$5,DONNEES!$AB$17:$AH$25,4,FALSE),)</f>
        <v/>
      </c>
      <c r="CQ10" s="180" t="str">
        <f>IFERROR(VLOOKUP(CO$5,DONNEES!$AB$17:$AH$25,6,FALSE),)</f>
        <v/>
      </c>
      <c r="CR10" s="179" t="str">
        <f>IFERROR(VLOOKUP(CR$5,DONNEES!$AB$17:$AH$25,2,FALSE),)</f>
        <v/>
      </c>
      <c r="CS10" s="179" t="str">
        <f>IFERROR(VLOOKUP(CR$5,DONNEES!$AB$17:$AH$25,4,FALSE),)</f>
        <v/>
      </c>
      <c r="CT10" s="179" t="str">
        <f>IFERROR(VLOOKUP(CR$5,DONNEES!$AB$17:$AH$25,6,FALSE),)</f>
        <v/>
      </c>
      <c r="CU10" s="179" t="str">
        <f>IFERROR(VLOOKUP(CU$5,DONNEES!$AB$17:$AH$25,2,FALSE),)</f>
        <v/>
      </c>
      <c r="CV10" s="179" t="str">
        <f>IFERROR(VLOOKUP(CU$5,DONNEES!$AB$17:$AH$25,4,FALSE),)</f>
        <v/>
      </c>
      <c r="CW10" s="179" t="str">
        <f>IFERROR(VLOOKUP(CU$5,DONNEES!$AB$17:$AH$25,6,FALSE),)</f>
        <v/>
      </c>
      <c r="CX10" s="179" t="str">
        <f>IFERROR(VLOOKUP(CX$5,DONNEES!$AB$17:$AH$25,2,FALSE),)</f>
        <v/>
      </c>
      <c r="CY10" s="179" t="str">
        <f>IFERROR(VLOOKUP(CX$5,DONNEES!$AB$17:$AH$25,4,FALSE),)</f>
        <v/>
      </c>
      <c r="CZ10" s="179" t="str">
        <f>IFERROR(VLOOKUP(CX$5,DONNEES!$AB$17:$AH$25,6,FALSE),)</f>
        <v/>
      </c>
      <c r="DA10" s="179" t="str">
        <f>IFERROR(VLOOKUP(DA$5,DONNEES!$AB$17:$AH$25,2,FALSE),)</f>
        <v/>
      </c>
      <c r="DB10" s="179" t="str">
        <f>IFERROR(VLOOKUP(DA$5,DONNEES!$AB$17:$AH$25,4,FALSE),)</f>
        <v/>
      </c>
      <c r="DC10" s="179" t="str">
        <f>IFERROR(VLOOKUP(DA$5,DONNEES!$AB$17:$AH$25,6,FALSE),)</f>
        <v/>
      </c>
      <c r="DD10" s="179" t="str">
        <f>IFERROR(VLOOKUP(DD$5,DONNEES!$AB$17:$AH$25,2,FALSE),)</f>
        <v/>
      </c>
      <c r="DE10" s="179" t="str">
        <f>IFERROR(VLOOKUP(DD$5,DONNEES!$AB$17:$AH$25,4,FALSE),)</f>
        <v/>
      </c>
      <c r="DF10" s="179" t="str">
        <f>IFERROR(VLOOKUP(DD$5,DONNEES!$AB$17:$AH$25,6,FALSE),)</f>
        <v/>
      </c>
      <c r="DG10" s="179" t="str">
        <f>IFERROR(VLOOKUP(DG$5,DONNEES!$AB$17:$AH$25,2,FALSE),)</f>
        <v/>
      </c>
      <c r="DH10" s="179" t="str">
        <f>IFERROR(VLOOKUP(DG$5,DONNEES!$AB$17:$AH$25,4,FALSE),)</f>
        <v/>
      </c>
      <c r="DI10" s="179" t="str">
        <f>IFERROR(VLOOKUP(DG$5,DONNEES!$AB$17:$AH$25,6,FALSE),)</f>
        <v/>
      </c>
      <c r="DJ10" s="180" t="str">
        <f>IFERROR(VLOOKUP(DJ$5,DONNEES!$AB$17:$AH$25,2,FALSE),)</f>
        <v/>
      </c>
      <c r="DK10" s="180" t="str">
        <f>IFERROR(VLOOKUP(DJ$5,DONNEES!$AB$17:$AH$25,4,FALSE),)</f>
        <v/>
      </c>
      <c r="DL10" s="180" t="str">
        <f>IFERROR(VLOOKUP(DJ$5,DONNEES!$AB$17:$AH$25,6,FALSE),)</f>
        <v/>
      </c>
    </row>
    <row r="11" ht="15.0" customHeight="1">
      <c r="B11" s="164" t="s">
        <v>181</v>
      </c>
      <c r="C11" s="179" t="str">
        <f>IFERROR(VLOOKUP(C$5,DONNEES!$AJ$6:$AP$15,2,FALSE),)</f>
        <v/>
      </c>
      <c r="D11" s="179" t="str">
        <f>IFERROR(VLOOKUP(C$5,DONNEES!$AJ$6:$AP$15,3,FALSE),)</f>
        <v/>
      </c>
      <c r="E11" s="179" t="str">
        <f>IFERROR(VLOOKUP(C$5,DONNEES!$AJ$6:$AP$15,4,FALSE),)</f>
        <v/>
      </c>
      <c r="F11" s="179" t="str">
        <f>IFERROR(VLOOKUP(F$5,DONNEES!$AJ$6:$AP$15,2,FALSE),)</f>
        <v/>
      </c>
      <c r="G11" s="179" t="str">
        <f>IFERROR(VLOOKUP(F$5,DONNEES!$AJ$6:$AP$15,3,FALSE),)</f>
        <v/>
      </c>
      <c r="H11" s="179" t="str">
        <f>IFERROR(VLOOKUP(F$5,DONNEES!$AJ$6:$AP$15,4,FALSE),)</f>
        <v/>
      </c>
      <c r="I11" s="179" t="str">
        <f>IFERROR(VLOOKUP(I$5,DONNEES!$AJ$6:$AP$15,2,FALSE),)</f>
        <v/>
      </c>
      <c r="J11" s="179" t="str">
        <f>IFERROR(VLOOKUP(I$5,DONNEES!$AJ$6:$AP$15,3,FALSE),)</f>
        <v/>
      </c>
      <c r="K11" s="179" t="str">
        <f>IFERROR(VLOOKUP(I$5,DONNEES!$AJ$6:$AP$15,4,FALSE),)</f>
        <v/>
      </c>
      <c r="L11" s="179" t="str">
        <f>IFERROR(VLOOKUP(L$5,DONNEES!$AJ$6:$AP$15,2,FALSE),)</f>
        <v/>
      </c>
      <c r="M11" s="179" t="str">
        <f>IFERROR(VLOOKUP(L$5,DONNEES!$AJ$6:$AP$15,3,FALSE),)</f>
        <v/>
      </c>
      <c r="N11" s="179" t="str">
        <f>IFERROR(VLOOKUP(L$5,DONNEES!$AJ$6:$AP$15,4,FALSE),)</f>
        <v/>
      </c>
      <c r="O11" s="179" t="str">
        <f>IFERROR(VLOOKUP(O$5,DONNEES!$AJ$6:$AP$15,2,FALSE),)</f>
        <v/>
      </c>
      <c r="P11" s="179" t="str">
        <f>IFERROR(VLOOKUP(O$5,DONNEES!$AJ$6:$AP$15,3,FALSE),)</f>
        <v/>
      </c>
      <c r="Q11" s="179" t="str">
        <f>IFERROR(VLOOKUP(O$5,DONNEES!$AJ$6:$AP$15,4,FALSE),)</f>
        <v/>
      </c>
      <c r="R11" s="180" t="str">
        <f>IFERROR(VLOOKUP(R$5,DONNEES!$AJ$6:$AP$15,2,FALSE),)</f>
        <v/>
      </c>
      <c r="S11" s="179" t="str">
        <f>IFERROR(VLOOKUP(R$5,DONNEES!$AJ$6:$AP$15,3,FALSE),)</f>
        <v/>
      </c>
      <c r="T11" s="179" t="str">
        <f>IFERROR(VLOOKUP(R$5,DONNEES!$AJ$6:$AP$15,4,FALSE),)</f>
        <v/>
      </c>
      <c r="U11" s="179" t="str">
        <f>IFERROR(VLOOKUP(U$5,DONNEES!$AJ$6:$AP$15,2,FALSE),)</f>
        <v/>
      </c>
      <c r="V11" s="179" t="str">
        <f>IFERROR(VLOOKUP(U$5,DONNEES!$AJ$6:$AP$15,3,FALSE),)</f>
        <v/>
      </c>
      <c r="W11" s="179" t="str">
        <f>IFERROR(VLOOKUP(U$5,DONNEES!$AJ$6:$AP$15,4,FALSE),)</f>
        <v/>
      </c>
      <c r="X11" s="180" t="str">
        <f>IFERROR(VLOOKUP(X$5,DONNEES!$AJ$6:$AP$15,2,FALSE),)</f>
        <v/>
      </c>
      <c r="Y11" s="179" t="str">
        <f>IFERROR(VLOOKUP(X$5,DONNEES!$AJ$6:$AP$15,3,FALSE),)</f>
        <v/>
      </c>
      <c r="Z11" s="179" t="str">
        <f>IFERROR(VLOOKUP(X$5,DONNEES!$AJ$6:$AP$15,4,FALSE),)</f>
        <v/>
      </c>
      <c r="AA11" s="180" t="str">
        <f>IFERROR(VLOOKUP(AA$5,DONNEES!$AJ$6:$AP$15,2,FALSE),)</f>
        <v/>
      </c>
      <c r="AB11" s="179" t="str">
        <f>IFERROR(VLOOKUP(AA$5,DONNEES!$AJ$6:$AP$15,3,FALSE),)</f>
        <v/>
      </c>
      <c r="AC11" s="179" t="str">
        <f>IFERROR(VLOOKUP(AA$5,DONNEES!$AJ$6:$AP$15,4,FALSE),)</f>
        <v/>
      </c>
      <c r="AD11" s="179" t="str">
        <f>IFERROR(VLOOKUP(AD$5,DONNEES!$AJ$6:$AP$15,2,FALSE),)</f>
        <v/>
      </c>
      <c r="AE11" s="179" t="str">
        <f>IFERROR(VLOOKUP(AD$5,DONNEES!$AJ$6:$AP$15,3,FALSE),)</f>
        <v/>
      </c>
      <c r="AF11" s="179" t="str">
        <f>IFERROR(VLOOKUP(AD$5,DONNEES!$AJ$6:$AP$15,4,FALSE),)</f>
        <v/>
      </c>
      <c r="AG11" s="180" t="str">
        <f>IFERROR(VLOOKUP(AG$5,DONNEES!$AJ$6:$AP$15,2,FALSE),)</f>
        <v/>
      </c>
      <c r="AH11" s="179" t="str">
        <f>IFERROR(VLOOKUP(AG$5,DONNEES!$AJ$6:$AP$15,3,FALSE),)</f>
        <v/>
      </c>
      <c r="AI11" s="179" t="str">
        <f>IFERROR(VLOOKUP(AG$5,DONNEES!$AJ$6:$AP$15,4,FALSE),)</f>
        <v/>
      </c>
      <c r="AJ11" s="179" t="str">
        <f>IFERROR(VLOOKUP(AJ$5,DONNEES!$AJ$6:$AP$15,2,FALSE),)</f>
        <v/>
      </c>
      <c r="AK11" s="179" t="str">
        <f>IFERROR(VLOOKUP(AJ$5,DONNEES!$AJ$6:$AP$15,3,FALSE),)</f>
        <v/>
      </c>
      <c r="AL11" s="179" t="str">
        <f>IFERROR(VLOOKUP(AJ$5,DONNEES!$AJ$6:$AP$15,4,FALSE),)</f>
        <v/>
      </c>
      <c r="AM11" s="179" t="str">
        <f>IFERROR(VLOOKUP(AM$5,DONNEES!$AJ$6:$AP$15,2,FALSE),)</f>
        <v/>
      </c>
      <c r="AN11" s="179" t="str">
        <f>IFERROR(VLOOKUP(AM$5,DONNEES!$AJ$6:$AP$15,3,FALSE),)</f>
        <v/>
      </c>
      <c r="AO11" s="179" t="str">
        <f>IFERROR(VLOOKUP(AM$5,DONNEES!$AJ$6:$AP$15,4,FALSE),)</f>
        <v/>
      </c>
      <c r="AP11" s="179" t="str">
        <f>IFERROR(VLOOKUP(AP$5,DONNEES!$AJ$6:$AP$15,2,FALSE),)</f>
        <v/>
      </c>
      <c r="AQ11" s="179" t="str">
        <f>IFERROR(VLOOKUP(AP$5,DONNEES!$AJ$6:$AP$15,3,FALSE),)</f>
        <v/>
      </c>
      <c r="AR11" s="179" t="str">
        <f>IFERROR(VLOOKUP(AP$5,DONNEES!$AJ$6:$AP$15,4,FALSE),)</f>
        <v/>
      </c>
      <c r="AS11" s="179" t="str">
        <f>IFERROR(VLOOKUP(AS$5,DONNEES!$AJ$6:$AP$15,2,FALSE),)</f>
        <v/>
      </c>
      <c r="AT11" s="179" t="str">
        <f>IFERROR(VLOOKUP(AS$5,DONNEES!$AJ$6:$AP$15,3,FALSE),)</f>
        <v/>
      </c>
      <c r="AU11" s="179" t="str">
        <f>IFERROR(VLOOKUP(AS$5,DONNEES!$AJ$6:$AP$15,4,FALSE),)</f>
        <v/>
      </c>
      <c r="AV11" s="180" t="str">
        <f>IFERROR(VLOOKUP(AV$5,DONNEES!$AJ$6:$AP$15,2,FALSE),)</f>
        <v/>
      </c>
      <c r="AW11" s="179" t="str">
        <f>IFERROR(VLOOKUP(AV$5,DONNEES!$AJ$6:$AP$15,3,FALSE),)</f>
        <v/>
      </c>
      <c r="AX11" s="179" t="str">
        <f>IFERROR(VLOOKUP(AV$5,DONNEES!$AJ$6:$AP$15,4,FALSE),)</f>
        <v/>
      </c>
      <c r="AY11" s="179" t="str">
        <f>IFERROR(VLOOKUP(AY$5,DONNEES!$AJ$6:$AP$15,2,FALSE),)</f>
        <v/>
      </c>
      <c r="AZ11" s="179" t="str">
        <f>IFERROR(VLOOKUP(AY$5,DONNEES!$AJ$6:$AP$15,3,FALSE),)</f>
        <v/>
      </c>
      <c r="BA11" s="179" t="str">
        <f>IFERROR(VLOOKUP(AY$5,DONNEES!$AJ$6:$AP$15,4,FALSE),)</f>
        <v/>
      </c>
      <c r="BB11" s="180" t="str">
        <f>IFERROR(VLOOKUP(BB$5,DONNEES!$AJ$17:$AP$25,2,FALSE),)</f>
        <v/>
      </c>
      <c r="BC11" s="179" t="str">
        <f>IFERROR(VLOOKUP(BB$5,DONNEES!$AJ$17:$AP$25,4,FALSE),)</f>
        <v/>
      </c>
      <c r="BD11" s="179" t="str">
        <f>IFERROR(VLOOKUP(BB$5,DONNEES!$AJ$17:$AP$25,6,FALSE),)</f>
        <v/>
      </c>
      <c r="BE11" s="179" t="str">
        <f>IFERROR(VLOOKUP(BE$5,DONNEES!$AJ$17:$AP$25,2,FALSE),)</f>
        <v/>
      </c>
      <c r="BF11" s="179" t="str">
        <f>IFERROR(VLOOKUP(BE$5,DONNEES!$AJ$17:$AP$25,4,FALSE),)</f>
        <v/>
      </c>
      <c r="BG11" s="179" t="str">
        <f>IFERROR(VLOOKUP(BE$5,DONNEES!$AJ$17:$AP$25,6,FALSE),)</f>
        <v/>
      </c>
      <c r="BH11" s="179" t="str">
        <f>IFERROR(VLOOKUP(BH$5,DONNEES!$AJ$17:$AP$25,2,FALSE),)</f>
        <v/>
      </c>
      <c r="BI11" s="180" t="str">
        <f>IFERROR(VLOOKUP(BH$5,DONNEES!$AJ$17:$AP$25,4,FALSE),)</f>
        <v/>
      </c>
      <c r="BJ11" s="179" t="str">
        <f>IFERROR(VLOOKUP(BH$5,DONNEES!$AJ$17:$AP$25,6,FALSE),)</f>
        <v/>
      </c>
      <c r="BK11" s="179" t="str">
        <f>IFERROR(VLOOKUP(BK$5,DONNEES!$AJ$17:$AP$25,2,FALSE),)</f>
        <v/>
      </c>
      <c r="BL11" s="179" t="str">
        <f>IFERROR(VLOOKUP(BK$5,DONNEES!$AJ$17:$AP$25,4,FALSE),)</f>
        <v/>
      </c>
      <c r="BM11" s="179" t="str">
        <f>IFERROR(VLOOKUP(BK$5,DONNEES!$AJ$17:$AP$25,6,FALSE),)</f>
        <v/>
      </c>
      <c r="BN11" s="179" t="str">
        <f>IFERROR(VLOOKUP(BN$5,DONNEES!$AJ$17:$AP$25,2,FALSE),)</f>
        <v/>
      </c>
      <c r="BO11" s="179" t="str">
        <f>IFERROR(VLOOKUP(BN$5,DONNEES!$AJ$17:$AP$25,4,FALSE),)</f>
        <v/>
      </c>
      <c r="BP11" s="179" t="str">
        <f>IFERROR(VLOOKUP(BN$5,DONNEES!$AJ$17:$AP$25,6,FALSE),)</f>
        <v/>
      </c>
      <c r="BQ11" s="179" t="str">
        <f>IFERROR(VLOOKUP(BQ$5,DONNEES!$AJ$17:$AP$25,2,FALSE),)</f>
        <v/>
      </c>
      <c r="BR11" s="179" t="str">
        <f>IFERROR(VLOOKUP(BQ$5,DONNEES!$AJ$17:$AP$25,4,FALSE),)</f>
        <v/>
      </c>
      <c r="BS11" s="179" t="str">
        <f>IFERROR(VLOOKUP(BQ$5,DONNEES!$AJ$17:$AP$25,6,FALSE),)</f>
        <v/>
      </c>
      <c r="BT11" s="179" t="str">
        <f>IFERROR(VLOOKUP(BT$5,DONNEES!$AJ$17:$AP$25,2,FALSE),)</f>
        <v/>
      </c>
      <c r="BU11" s="179" t="str">
        <f>IFERROR(VLOOKUP(BT$5,DONNEES!$AJ$17:$AP$25,4,FALSE),)</f>
        <v/>
      </c>
      <c r="BV11" s="179" t="str">
        <f>IFERROR(VLOOKUP(BT$5,DONNEES!$AJ$17:$AP$25,6,FALSE),)</f>
        <v/>
      </c>
      <c r="BW11" s="179" t="str">
        <f>IFERROR(VLOOKUP(BW$5,DONNEES!$AJ$17:$AP$25,2,FALSE),)</f>
        <v/>
      </c>
      <c r="BX11" s="179" t="str">
        <f>IFERROR(VLOOKUP(BW$5,DONNEES!$AJ$17:$AP$25,4,FALSE),)</f>
        <v/>
      </c>
      <c r="BY11" s="179" t="str">
        <f>IFERROR(VLOOKUP(BW$5,DONNEES!$AJ$17:$AP$25,6,FALSE),)</f>
        <v/>
      </c>
      <c r="BZ11" s="179" t="str">
        <f>IFERROR(VLOOKUP(BZ$5,DONNEES!$AJ$17:$AP$25,2,FALSE),)</f>
        <v/>
      </c>
      <c r="CA11" s="179" t="str">
        <f>IFERROR(VLOOKUP(BZ$5,DONNEES!$AJ$17:$AP$25,4,FALSE),)</f>
        <v/>
      </c>
      <c r="CB11" s="179" t="str">
        <f>IFERROR(VLOOKUP(BZ$5,DONNEES!$AJ$17:$AP$25,6,FALSE),)</f>
        <v/>
      </c>
      <c r="CC11" s="179" t="str">
        <f>IFERROR(VLOOKUP(CC$5,DONNEES!$AJ$17:$AP$25,2,FALSE),)</f>
        <v/>
      </c>
      <c r="CD11" s="179" t="str">
        <f>IFERROR(VLOOKUP(CC$5,DONNEES!$AJ$17:$AP$25,4,FALSE),)</f>
        <v/>
      </c>
      <c r="CE11" s="179" t="str">
        <f>IFERROR(VLOOKUP(CC$5,DONNEES!$AJ$17:$AP$25,6,FALSE),)</f>
        <v/>
      </c>
      <c r="CF11" s="179" t="str">
        <f>IFERROR(VLOOKUP(CF$5,DONNEES!$AJ$17:$AP$25,2,FALSE),)</f>
        <v/>
      </c>
      <c r="CG11" s="179" t="str">
        <f>IFERROR(VLOOKUP(CF$5,DONNEES!$AJ$17:$AP$25,4,FALSE),)</f>
        <v/>
      </c>
      <c r="CH11" s="179" t="str">
        <f>IFERROR(VLOOKUP(CF$5,DONNEES!$AJ$17:$AP$25,6,FALSE),)</f>
        <v/>
      </c>
      <c r="CI11" s="179" t="str">
        <f>IFERROR(VLOOKUP(CI$5,DONNEES!$AJ$17:$AP$25,2,FALSE),)</f>
        <v/>
      </c>
      <c r="CJ11" s="179" t="str">
        <f>IFERROR(VLOOKUP(CI$5,DONNEES!$AJ$17:$AP$25,4,FALSE),)</f>
        <v/>
      </c>
      <c r="CK11" s="179" t="str">
        <f>IFERROR(VLOOKUP(CI$5,DONNEES!$AJ$17:$AP$25,6,FALSE),)</f>
        <v/>
      </c>
      <c r="CL11" s="180" t="str">
        <f>IFERROR(VLOOKUP(CL$5,DONNEES!$AJ$17:$AP$25,2,FALSE),)</f>
        <v/>
      </c>
      <c r="CM11" s="180" t="str">
        <f>IFERROR(VLOOKUP(CL$5,DONNEES!$AJ$17:$AP$25,4,FALSE),)</f>
        <v/>
      </c>
      <c r="CN11" s="180" t="str">
        <f>IFERROR(VLOOKUP(CL$5,DONNEES!$AJ$17:$AP$25,6,FALSE),)</f>
        <v/>
      </c>
      <c r="CO11" s="179" t="str">
        <f>IFERROR(VLOOKUP(CO$5,DONNEES!$AJ$17:$AP$25,2,FALSE),)</f>
        <v/>
      </c>
      <c r="CP11" s="179" t="str">
        <f>IFERROR(VLOOKUP(CO$5,DONNEES!$AJ$17:$AP$25,4,FALSE),)</f>
        <v/>
      </c>
      <c r="CQ11" s="179" t="str">
        <f>IFERROR(VLOOKUP(CO$5,DONNEES!$AJ$17:$AP$25,6,FALSE),)</f>
        <v/>
      </c>
      <c r="CR11" s="179" t="str">
        <f>IFERROR(VLOOKUP(CR$5,DONNEES!$AJ$17:$AP$25,2,FALSE),)</f>
        <v/>
      </c>
      <c r="CS11" s="179" t="str">
        <f>IFERROR(VLOOKUP(CR$5,DONNEES!$AJ$17:$AP$25,4,FALSE),)</f>
        <v/>
      </c>
      <c r="CT11" s="179" t="str">
        <f>IFERROR(VLOOKUP(CR$5,DONNEES!$AJ$17:$AP$25,6,FALSE),)</f>
        <v/>
      </c>
      <c r="CU11" s="179" t="str">
        <f>IFERROR(VLOOKUP(CU$5,DONNEES!$AJ$17:$AP$25,2,FALSE),)</f>
        <v/>
      </c>
      <c r="CV11" s="179" t="str">
        <f>IFERROR(VLOOKUP(CU$5,DONNEES!$AJ$17:$AP$25,4,FALSE),)</f>
        <v/>
      </c>
      <c r="CW11" s="179" t="str">
        <f>IFERROR(VLOOKUP(CU$5,DONNEES!$AJ$17:$AP$25,6,FALSE),)</f>
        <v/>
      </c>
      <c r="CX11" s="179" t="str">
        <f>IFERROR(VLOOKUP(CX$5,DONNEES!$AJ$17:$AP$25,2,FALSE),)</f>
        <v/>
      </c>
      <c r="CY11" s="179" t="str">
        <f>IFERROR(VLOOKUP(CX$5,DONNEES!$AJ$17:$AP$25,4,FALSE),)</f>
        <v/>
      </c>
      <c r="CZ11" s="179" t="str">
        <f>IFERROR(VLOOKUP(CX$5,DONNEES!$AJ$17:$AP$25,6,FALSE),)</f>
        <v/>
      </c>
      <c r="DA11" s="179" t="str">
        <f>IFERROR(VLOOKUP(DA$5,DONNEES!$AJ$17:$AP$25,2,FALSE),)</f>
        <v/>
      </c>
      <c r="DB11" s="179" t="str">
        <f>IFERROR(VLOOKUP(DA$5,DONNEES!$AJ$17:$AP$25,4,FALSE),)</f>
        <v/>
      </c>
      <c r="DC11" s="179" t="str">
        <f>IFERROR(VLOOKUP(DA$5,DONNEES!$AJ$17:$AP$25,6,FALSE),)</f>
        <v/>
      </c>
      <c r="DD11" s="179" t="str">
        <f>IFERROR(VLOOKUP(DD$5,DONNEES!$AJ$17:$AP$25,2,FALSE),)</f>
        <v/>
      </c>
      <c r="DE11" s="179" t="str">
        <f>IFERROR(VLOOKUP(DD$5,DONNEES!$AJ$17:$AP$25,4,FALSE),)</f>
        <v/>
      </c>
      <c r="DF11" s="179" t="str">
        <f>IFERROR(VLOOKUP(DD$5,DONNEES!$AJ$17:$AP$25,6,FALSE),)</f>
        <v/>
      </c>
      <c r="DG11" s="179" t="str">
        <f>IFERROR(VLOOKUP(DG$5,DONNEES!$AJ$17:$AP$25,2,FALSE),)</f>
        <v/>
      </c>
      <c r="DH11" s="179" t="str">
        <f>IFERROR(VLOOKUP(DG$5,DONNEES!$AJ$17:$AP$25,4,FALSE),)</f>
        <v/>
      </c>
      <c r="DI11" s="179" t="str">
        <f>IFERROR(VLOOKUP(DG$5,DONNEES!$AJ$17:$AP$25,6,FALSE),)</f>
        <v/>
      </c>
      <c r="DJ11" s="180" t="str">
        <f>IFERROR(VLOOKUP(DJ$5,DONNEES!$AJ$17:$AP$25,2,FALSE),)</f>
        <v/>
      </c>
      <c r="DK11" s="180" t="str">
        <f>IFERROR(VLOOKUP(DJ$5,DONNEES!$AJ$17:$AP$25,4,FALSE),)</f>
        <v/>
      </c>
      <c r="DL11" s="180" t="str">
        <f>IFERROR(VLOOKUP(DJ$5,DONNEES!$AJ$17:$AP$25,6,FALSE),)</f>
        <v/>
      </c>
      <c r="EI11" s="181"/>
    </row>
    <row r="12">
      <c r="EI12" s="181"/>
    </row>
    <row r="13" ht="14.25" customHeight="1">
      <c r="B13" s="182" t="s">
        <v>182</v>
      </c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83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5"/>
      <c r="DR13" s="185"/>
      <c r="DS13" s="185"/>
      <c r="DT13" s="185"/>
      <c r="DU13" s="185"/>
      <c r="DV13" s="185"/>
      <c r="DW13" s="185"/>
      <c r="DX13" s="185"/>
      <c r="DY13" s="185"/>
      <c r="DZ13" s="185"/>
      <c r="EA13" s="185"/>
      <c r="EB13" s="185"/>
      <c r="EC13" s="185"/>
      <c r="ED13" s="185"/>
      <c r="EE13" s="185"/>
      <c r="EF13" s="185"/>
      <c r="EG13" s="185"/>
      <c r="EH13" s="185"/>
      <c r="EI13" s="181"/>
    </row>
    <row r="14" ht="15.0" customHeight="1">
      <c r="B14" s="186"/>
      <c r="C14" s="187" t="s">
        <v>183</v>
      </c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9"/>
      <c r="BS14" s="190"/>
      <c r="BT14" s="190"/>
      <c r="BU14" s="190"/>
      <c r="BV14" s="190"/>
      <c r="BW14" s="190"/>
      <c r="BX14" s="190"/>
      <c r="BY14" s="190"/>
      <c r="BZ14" s="190"/>
      <c r="CA14" s="190"/>
      <c r="CB14" s="190"/>
      <c r="CC14" s="190"/>
      <c r="CD14" s="190"/>
      <c r="CE14" s="190"/>
      <c r="CF14" s="190"/>
      <c r="CG14" s="190"/>
      <c r="CH14" s="190"/>
      <c r="CI14" s="190"/>
      <c r="CJ14" s="190"/>
      <c r="CK14" s="191" t="s">
        <v>110</v>
      </c>
      <c r="CL14" s="192"/>
      <c r="CM14" s="193" t="s">
        <v>184</v>
      </c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92"/>
      <c r="DC14" s="194" t="s">
        <v>164</v>
      </c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92"/>
      <c r="DO14" s="195" t="s">
        <v>164</v>
      </c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9"/>
      <c r="EI14" s="181"/>
    </row>
    <row r="15" ht="15.0" customHeight="1">
      <c r="B15" s="196"/>
      <c r="C15" s="152" t="s">
        <v>160</v>
      </c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9"/>
      <c r="AQ15" s="197" t="s">
        <v>161</v>
      </c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9"/>
      <c r="BQ15" s="197" t="s">
        <v>162</v>
      </c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9"/>
      <c r="CK15" s="198" t="s">
        <v>185</v>
      </c>
      <c r="CL15" s="13"/>
      <c r="CM15" s="199" t="s">
        <v>186</v>
      </c>
      <c r="CN15" s="12"/>
      <c r="CO15" s="12"/>
      <c r="CP15" s="200"/>
      <c r="CQ15" s="201" t="s">
        <v>187</v>
      </c>
      <c r="CR15" s="12"/>
      <c r="CS15" s="12"/>
      <c r="CT15" s="200"/>
      <c r="CU15" s="201" t="s">
        <v>188</v>
      </c>
      <c r="CV15" s="12"/>
      <c r="CW15" s="12"/>
      <c r="CX15" s="200"/>
      <c r="CY15" s="201" t="s">
        <v>189</v>
      </c>
      <c r="CZ15" s="12"/>
      <c r="DA15" s="12"/>
      <c r="DB15" s="13"/>
      <c r="DC15" s="202" t="str">
        <f>BQ5</f>
        <v>Bactériosol concentré</v>
      </c>
      <c r="DD15" s="200"/>
      <c r="DE15" s="203" t="str">
        <f>BT5</f>
        <v>Bactériosol concentré UAB</v>
      </c>
      <c r="DF15" s="200"/>
      <c r="DG15" s="203" t="str">
        <f>BW5</f>
        <v>Bactériosol booster 10</v>
      </c>
      <c r="DH15" s="200"/>
      <c r="DI15" s="203" t="str">
        <f>BZ5</f>
        <v>Bactériosol booster 50</v>
      </c>
      <c r="DJ15" s="200"/>
      <c r="DK15" s="203" t="str">
        <f>CC5</f>
        <v>Bactériolit concentré</v>
      </c>
      <c r="DL15" s="200"/>
      <c r="DM15" s="203" t="str">
        <f>CF5</f>
        <v>Quaterna Plant</v>
      </c>
      <c r="DN15" s="200"/>
      <c r="DO15" s="204" t="s">
        <v>109</v>
      </c>
      <c r="DP15" s="200"/>
      <c r="DQ15" s="204" t="s">
        <v>112</v>
      </c>
      <c r="DR15" s="200"/>
      <c r="DS15" s="204" t="s">
        <v>115</v>
      </c>
      <c r="DT15" s="200"/>
      <c r="DU15" s="204" t="s">
        <v>117</v>
      </c>
      <c r="DV15" s="200"/>
      <c r="DW15" s="205" t="s">
        <v>22</v>
      </c>
      <c r="DX15" s="200"/>
      <c r="DY15" s="205" t="s">
        <v>121</v>
      </c>
      <c r="DZ15" s="200"/>
      <c r="EA15" s="204" t="s">
        <v>123</v>
      </c>
      <c r="EB15" s="200"/>
      <c r="EC15" s="204" t="s">
        <v>125</v>
      </c>
      <c r="ED15" s="200"/>
      <c r="EE15" s="206" t="s">
        <v>126</v>
      </c>
      <c r="EF15" s="12"/>
      <c r="EG15" s="204" t="s">
        <v>127</v>
      </c>
      <c r="EH15" s="13"/>
      <c r="EI15" s="181"/>
    </row>
    <row r="16">
      <c r="B16" s="196"/>
      <c r="C16" s="207" t="s">
        <v>190</v>
      </c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3"/>
      <c r="AA16" s="208" t="s">
        <v>191</v>
      </c>
      <c r="AB16" s="162"/>
      <c r="AC16" s="162"/>
      <c r="AD16" s="162"/>
      <c r="AE16" s="162"/>
      <c r="AF16" s="162"/>
      <c r="AG16" s="162"/>
      <c r="AH16" s="163"/>
      <c r="AI16" s="209" t="s">
        <v>192</v>
      </c>
      <c r="AJ16" s="162"/>
      <c r="AK16" s="162"/>
      <c r="AL16" s="162"/>
      <c r="AM16" s="162"/>
      <c r="AN16" s="162"/>
      <c r="AO16" s="162"/>
      <c r="AP16" s="165"/>
      <c r="AQ16" s="207" t="s">
        <v>193</v>
      </c>
      <c r="AR16" s="162"/>
      <c r="AS16" s="162"/>
      <c r="AT16" s="162"/>
      <c r="AU16" s="162"/>
      <c r="AV16" s="162"/>
      <c r="AW16" s="163"/>
      <c r="AX16" s="208" t="s">
        <v>194</v>
      </c>
      <c r="AY16" s="162"/>
      <c r="AZ16" s="162"/>
      <c r="BA16" s="163"/>
      <c r="BB16" s="208" t="s">
        <v>195</v>
      </c>
      <c r="BC16" s="162"/>
      <c r="BD16" s="162"/>
      <c r="BE16" s="162"/>
      <c r="BF16" s="162"/>
      <c r="BG16" s="162"/>
      <c r="BH16" s="163"/>
      <c r="BI16" s="208" t="s">
        <v>196</v>
      </c>
      <c r="BJ16" s="162"/>
      <c r="BK16" s="162"/>
      <c r="BL16" s="163"/>
      <c r="BM16" s="208" t="s">
        <v>197</v>
      </c>
      <c r="BN16" s="162"/>
      <c r="BO16" s="162"/>
      <c r="BP16" s="165"/>
      <c r="BQ16" s="207" t="s">
        <v>198</v>
      </c>
      <c r="BR16" s="162"/>
      <c r="BS16" s="162"/>
      <c r="BT16" s="162"/>
      <c r="BU16" s="162"/>
      <c r="BV16" s="162"/>
      <c r="BW16" s="162"/>
      <c r="BX16" s="162"/>
      <c r="BY16" s="162"/>
      <c r="BZ16" s="163"/>
      <c r="CA16" s="208" t="s">
        <v>199</v>
      </c>
      <c r="CB16" s="162"/>
      <c r="CC16" s="162"/>
      <c r="CD16" s="162"/>
      <c r="CE16" s="162"/>
      <c r="CF16" s="162"/>
      <c r="CG16" s="162"/>
      <c r="CH16" s="162"/>
      <c r="CI16" s="162"/>
      <c r="CJ16" s="165"/>
      <c r="CK16" s="51"/>
      <c r="CL16" s="30"/>
      <c r="CM16" s="51"/>
      <c r="CP16" s="210"/>
      <c r="CQ16" s="211"/>
      <c r="CT16" s="210"/>
      <c r="CU16" s="211"/>
      <c r="CX16" s="210"/>
      <c r="CY16" s="211"/>
      <c r="DB16" s="30"/>
      <c r="DC16" s="51"/>
      <c r="DD16" s="210"/>
      <c r="DE16" s="211"/>
      <c r="DF16" s="210"/>
      <c r="DG16" s="211"/>
      <c r="DH16" s="210"/>
      <c r="DI16" s="211"/>
      <c r="DJ16" s="210"/>
      <c r="DK16" s="211"/>
      <c r="DL16" s="210"/>
      <c r="DM16" s="211"/>
      <c r="DN16" s="210"/>
      <c r="DO16" s="211"/>
      <c r="DP16" s="210"/>
      <c r="DQ16" s="211"/>
      <c r="DR16" s="210"/>
      <c r="DS16" s="211"/>
      <c r="DT16" s="210"/>
      <c r="DU16" s="211"/>
      <c r="DV16" s="210"/>
      <c r="DW16" s="211"/>
      <c r="DX16" s="210"/>
      <c r="DY16" s="211"/>
      <c r="DZ16" s="210"/>
      <c r="EA16" s="211"/>
      <c r="EB16" s="210"/>
      <c r="EC16" s="211"/>
      <c r="ED16" s="210"/>
      <c r="EE16" s="211"/>
      <c r="EG16" s="211"/>
      <c r="EH16" s="30"/>
    </row>
    <row r="17">
      <c r="B17" s="196"/>
      <c r="C17" s="207" t="s">
        <v>87</v>
      </c>
      <c r="D17" s="162"/>
      <c r="E17" s="162"/>
      <c r="F17" s="163"/>
      <c r="G17" s="208" t="s">
        <v>14</v>
      </c>
      <c r="H17" s="162"/>
      <c r="I17" s="162"/>
      <c r="J17" s="163"/>
      <c r="K17" s="208" t="s">
        <v>93</v>
      </c>
      <c r="L17" s="162"/>
      <c r="M17" s="162"/>
      <c r="N17" s="163"/>
      <c r="O17" s="208" t="s">
        <v>16</v>
      </c>
      <c r="P17" s="162"/>
      <c r="Q17" s="162"/>
      <c r="R17" s="163"/>
      <c r="S17" s="208" t="s">
        <v>100</v>
      </c>
      <c r="T17" s="162"/>
      <c r="U17" s="162"/>
      <c r="V17" s="163"/>
      <c r="W17" s="209" t="s">
        <v>103</v>
      </c>
      <c r="X17" s="162"/>
      <c r="Y17" s="162"/>
      <c r="Z17" s="163"/>
      <c r="AA17" s="208" t="s">
        <v>17</v>
      </c>
      <c r="AB17" s="162"/>
      <c r="AC17" s="162"/>
      <c r="AD17" s="163"/>
      <c r="AE17" s="209" t="s">
        <v>108</v>
      </c>
      <c r="AF17" s="162"/>
      <c r="AG17" s="162"/>
      <c r="AH17" s="163"/>
      <c r="AI17" s="209" t="s">
        <v>111</v>
      </c>
      <c r="AJ17" s="162"/>
      <c r="AK17" s="162"/>
      <c r="AL17" s="163"/>
      <c r="AM17" s="209" t="s">
        <v>114</v>
      </c>
      <c r="AN17" s="162"/>
      <c r="AO17" s="162"/>
      <c r="AP17" s="165"/>
      <c r="AQ17" s="212" t="s">
        <v>200</v>
      </c>
      <c r="AR17" s="209" t="s">
        <v>201</v>
      </c>
      <c r="AS17" s="162"/>
      <c r="AT17" s="163"/>
      <c r="AU17" s="209" t="s">
        <v>202</v>
      </c>
      <c r="AV17" s="162"/>
      <c r="AW17" s="163"/>
      <c r="AX17" s="213" t="s">
        <v>200</v>
      </c>
      <c r="AY17" s="209" t="s">
        <v>202</v>
      </c>
      <c r="AZ17" s="162"/>
      <c r="BA17" s="163"/>
      <c r="BB17" s="213" t="s">
        <v>200</v>
      </c>
      <c r="BC17" s="209" t="s">
        <v>203</v>
      </c>
      <c r="BD17" s="162"/>
      <c r="BE17" s="163"/>
      <c r="BF17" s="209" t="s">
        <v>202</v>
      </c>
      <c r="BG17" s="162"/>
      <c r="BH17" s="163"/>
      <c r="BI17" s="213" t="s">
        <v>200</v>
      </c>
      <c r="BJ17" s="209" t="s">
        <v>202</v>
      </c>
      <c r="BK17" s="162"/>
      <c r="BL17" s="163"/>
      <c r="BM17" s="213" t="s">
        <v>200</v>
      </c>
      <c r="BN17" s="209" t="s">
        <v>202</v>
      </c>
      <c r="BO17" s="162"/>
      <c r="BP17" s="165"/>
      <c r="BQ17" s="212" t="s">
        <v>200</v>
      </c>
      <c r="BR17" s="209" t="s">
        <v>203</v>
      </c>
      <c r="BS17" s="162"/>
      <c r="BT17" s="163"/>
      <c r="BU17" s="209" t="s">
        <v>201</v>
      </c>
      <c r="BV17" s="162"/>
      <c r="BW17" s="163"/>
      <c r="BX17" s="209" t="s">
        <v>202</v>
      </c>
      <c r="BY17" s="162"/>
      <c r="BZ17" s="163"/>
      <c r="CA17" s="213" t="s">
        <v>200</v>
      </c>
      <c r="CB17" s="209" t="s">
        <v>203</v>
      </c>
      <c r="CC17" s="162"/>
      <c r="CD17" s="163"/>
      <c r="CE17" s="209" t="s">
        <v>201</v>
      </c>
      <c r="CF17" s="162"/>
      <c r="CG17" s="163"/>
      <c r="CH17" s="209" t="s">
        <v>202</v>
      </c>
      <c r="CI17" s="162"/>
      <c r="CJ17" s="165"/>
      <c r="CK17" s="214"/>
      <c r="CL17" s="215"/>
      <c r="CM17" s="214"/>
      <c r="CN17" s="216"/>
      <c r="CO17" s="216"/>
      <c r="CP17" s="217"/>
      <c r="CQ17" s="218"/>
      <c r="CR17" s="216"/>
      <c r="CS17" s="216"/>
      <c r="CT17" s="217"/>
      <c r="CU17" s="218"/>
      <c r="CV17" s="216"/>
      <c r="CW17" s="216"/>
      <c r="CX17" s="217"/>
      <c r="CY17" s="218"/>
      <c r="CZ17" s="216"/>
      <c r="DA17" s="216"/>
      <c r="DB17" s="215"/>
      <c r="DC17" s="214"/>
      <c r="DD17" s="217"/>
      <c r="DE17" s="218"/>
      <c r="DF17" s="217"/>
      <c r="DG17" s="218"/>
      <c r="DH17" s="217"/>
      <c r="DI17" s="218"/>
      <c r="DJ17" s="217"/>
      <c r="DK17" s="218"/>
      <c r="DL17" s="217"/>
      <c r="DM17" s="218"/>
      <c r="DN17" s="217"/>
      <c r="DO17" s="218"/>
      <c r="DP17" s="217"/>
      <c r="DQ17" s="218"/>
      <c r="DR17" s="217"/>
      <c r="DS17" s="218"/>
      <c r="DT17" s="217"/>
      <c r="DU17" s="218"/>
      <c r="DV17" s="217"/>
      <c r="DW17" s="218"/>
      <c r="DX17" s="217"/>
      <c r="DY17" s="218"/>
      <c r="DZ17" s="217"/>
      <c r="EA17" s="218"/>
      <c r="EB17" s="217"/>
      <c r="EC17" s="218"/>
      <c r="ED17" s="217"/>
      <c r="EE17" s="218"/>
      <c r="EF17" s="216"/>
      <c r="EG17" s="218"/>
      <c r="EH17" s="215"/>
    </row>
    <row r="18">
      <c r="B18" s="219"/>
      <c r="C18" s="220" t="s">
        <v>200</v>
      </c>
      <c r="D18" s="221" t="s">
        <v>10</v>
      </c>
      <c r="E18" s="221" t="s">
        <v>204</v>
      </c>
      <c r="F18" s="221" t="s">
        <v>82</v>
      </c>
      <c r="G18" s="221" t="s">
        <v>200</v>
      </c>
      <c r="H18" s="221" t="s">
        <v>10</v>
      </c>
      <c r="I18" s="221" t="s">
        <v>204</v>
      </c>
      <c r="J18" s="221" t="s">
        <v>82</v>
      </c>
      <c r="K18" s="221" t="s">
        <v>200</v>
      </c>
      <c r="L18" s="221" t="s">
        <v>10</v>
      </c>
      <c r="M18" s="221" t="s">
        <v>204</v>
      </c>
      <c r="N18" s="221" t="s">
        <v>82</v>
      </c>
      <c r="O18" s="221" t="s">
        <v>200</v>
      </c>
      <c r="P18" s="221" t="s">
        <v>10</v>
      </c>
      <c r="Q18" s="221" t="s">
        <v>204</v>
      </c>
      <c r="R18" s="221" t="s">
        <v>82</v>
      </c>
      <c r="S18" s="221" t="s">
        <v>200</v>
      </c>
      <c r="T18" s="221" t="s">
        <v>10</v>
      </c>
      <c r="U18" s="221" t="s">
        <v>204</v>
      </c>
      <c r="V18" s="221" t="s">
        <v>82</v>
      </c>
      <c r="W18" s="221" t="s">
        <v>200</v>
      </c>
      <c r="X18" s="221" t="s">
        <v>10</v>
      </c>
      <c r="Y18" s="221" t="s">
        <v>204</v>
      </c>
      <c r="Z18" s="208" t="s">
        <v>82</v>
      </c>
      <c r="AA18" s="221" t="s">
        <v>200</v>
      </c>
      <c r="AB18" s="221" t="s">
        <v>205</v>
      </c>
      <c r="AC18" s="221" t="s">
        <v>206</v>
      </c>
      <c r="AD18" s="221" t="s">
        <v>207</v>
      </c>
      <c r="AE18" s="221" t="s">
        <v>200</v>
      </c>
      <c r="AF18" s="221" t="s">
        <v>205</v>
      </c>
      <c r="AG18" s="221" t="s">
        <v>206</v>
      </c>
      <c r="AH18" s="221" t="s">
        <v>207</v>
      </c>
      <c r="AI18" s="221" t="s">
        <v>200</v>
      </c>
      <c r="AJ18" s="221" t="s">
        <v>208</v>
      </c>
      <c r="AK18" s="221" t="s">
        <v>209</v>
      </c>
      <c r="AL18" s="221" t="s">
        <v>210</v>
      </c>
      <c r="AM18" s="221" t="s">
        <v>200</v>
      </c>
      <c r="AN18" s="221" t="s">
        <v>211</v>
      </c>
      <c r="AO18" s="221" t="s">
        <v>209</v>
      </c>
      <c r="AP18" s="222" t="s">
        <v>210</v>
      </c>
      <c r="AQ18" s="223"/>
      <c r="AR18" s="221" t="s">
        <v>205</v>
      </c>
      <c r="AS18" s="221" t="s">
        <v>206</v>
      </c>
      <c r="AT18" s="221" t="s">
        <v>207</v>
      </c>
      <c r="AU18" s="221" t="s">
        <v>211</v>
      </c>
      <c r="AV18" s="221" t="s">
        <v>209</v>
      </c>
      <c r="AW18" s="208" t="s">
        <v>210</v>
      </c>
      <c r="AX18" s="219"/>
      <c r="AY18" s="221" t="s">
        <v>211</v>
      </c>
      <c r="AZ18" s="221" t="s">
        <v>209</v>
      </c>
      <c r="BA18" s="208" t="s">
        <v>210</v>
      </c>
      <c r="BB18" s="219"/>
      <c r="BC18" s="221" t="s">
        <v>10</v>
      </c>
      <c r="BD18" s="221" t="s">
        <v>204</v>
      </c>
      <c r="BE18" s="221" t="s">
        <v>82</v>
      </c>
      <c r="BF18" s="221" t="s">
        <v>208</v>
      </c>
      <c r="BG18" s="221" t="s">
        <v>209</v>
      </c>
      <c r="BH18" s="221" t="s">
        <v>210</v>
      </c>
      <c r="BI18" s="219"/>
      <c r="BJ18" s="221" t="s">
        <v>212</v>
      </c>
      <c r="BK18" s="221" t="s">
        <v>213</v>
      </c>
      <c r="BL18" s="208" t="s">
        <v>214</v>
      </c>
      <c r="BM18" s="219"/>
      <c r="BN18" s="221" t="s">
        <v>212</v>
      </c>
      <c r="BO18" s="221" t="s">
        <v>213</v>
      </c>
      <c r="BP18" s="222" t="s">
        <v>214</v>
      </c>
      <c r="BQ18" s="223"/>
      <c r="BR18" s="221" t="s">
        <v>10</v>
      </c>
      <c r="BS18" s="221" t="s">
        <v>204</v>
      </c>
      <c r="BT18" s="221" t="s">
        <v>82</v>
      </c>
      <c r="BU18" s="221" t="s">
        <v>205</v>
      </c>
      <c r="BV18" s="221" t="s">
        <v>206</v>
      </c>
      <c r="BW18" s="221" t="s">
        <v>207</v>
      </c>
      <c r="BX18" s="221" t="s">
        <v>208</v>
      </c>
      <c r="BY18" s="221" t="s">
        <v>209</v>
      </c>
      <c r="BZ18" s="221" t="s">
        <v>210</v>
      </c>
      <c r="CA18" s="219"/>
      <c r="CB18" s="221" t="s">
        <v>10</v>
      </c>
      <c r="CC18" s="221" t="s">
        <v>204</v>
      </c>
      <c r="CD18" s="221" t="s">
        <v>82</v>
      </c>
      <c r="CE18" s="221" t="s">
        <v>205</v>
      </c>
      <c r="CF18" s="221" t="s">
        <v>206</v>
      </c>
      <c r="CG18" s="221" t="s">
        <v>207</v>
      </c>
      <c r="CH18" s="221" t="s">
        <v>208</v>
      </c>
      <c r="CI18" s="221" t="s">
        <v>209</v>
      </c>
      <c r="CJ18" s="222" t="s">
        <v>210</v>
      </c>
      <c r="CK18" s="224" t="s">
        <v>200</v>
      </c>
      <c r="CL18" s="225" t="s">
        <v>215</v>
      </c>
      <c r="CM18" s="224" t="s">
        <v>200</v>
      </c>
      <c r="CN18" s="166" t="s">
        <v>216</v>
      </c>
      <c r="CO18" s="226" t="s">
        <v>217</v>
      </c>
      <c r="CP18" s="166" t="s">
        <v>218</v>
      </c>
      <c r="CQ18" s="226" t="s">
        <v>200</v>
      </c>
      <c r="CR18" s="166" t="s">
        <v>219</v>
      </c>
      <c r="CS18" s="226" t="s">
        <v>217</v>
      </c>
      <c r="CT18" s="226" t="s">
        <v>220</v>
      </c>
      <c r="CU18" s="226" t="s">
        <v>200</v>
      </c>
      <c r="CV18" s="166" t="s">
        <v>219</v>
      </c>
      <c r="CW18" s="226" t="s">
        <v>217</v>
      </c>
      <c r="CX18" s="226" t="s">
        <v>221</v>
      </c>
      <c r="CY18" s="226" t="s">
        <v>200</v>
      </c>
      <c r="CZ18" s="166" t="s">
        <v>219</v>
      </c>
      <c r="DA18" s="226" t="s">
        <v>217</v>
      </c>
      <c r="DB18" s="225" t="s">
        <v>222</v>
      </c>
      <c r="DC18" s="224" t="s">
        <v>200</v>
      </c>
      <c r="DD18" s="226" t="s">
        <v>223</v>
      </c>
      <c r="DE18" s="226" t="s">
        <v>200</v>
      </c>
      <c r="DF18" s="226" t="s">
        <v>224</v>
      </c>
      <c r="DG18" s="226" t="s">
        <v>200</v>
      </c>
      <c r="DH18" s="226" t="s">
        <v>225</v>
      </c>
      <c r="DI18" s="226" t="s">
        <v>200</v>
      </c>
      <c r="DJ18" s="226" t="s">
        <v>226</v>
      </c>
      <c r="DK18" s="226" t="s">
        <v>200</v>
      </c>
      <c r="DL18" s="226" t="s">
        <v>227</v>
      </c>
      <c r="DM18" s="226" t="s">
        <v>200</v>
      </c>
      <c r="DN18" s="226" t="s">
        <v>228</v>
      </c>
      <c r="DO18" s="226" t="s">
        <v>229</v>
      </c>
      <c r="DP18" s="226" t="s">
        <v>230</v>
      </c>
      <c r="DQ18" s="226" t="s">
        <v>229</v>
      </c>
      <c r="DR18" s="226" t="s">
        <v>230</v>
      </c>
      <c r="DS18" s="226" t="s">
        <v>229</v>
      </c>
      <c r="DT18" s="226" t="s">
        <v>230</v>
      </c>
      <c r="DU18" s="226" t="s">
        <v>229</v>
      </c>
      <c r="DV18" s="226" t="s">
        <v>230</v>
      </c>
      <c r="DW18" s="226" t="s">
        <v>229</v>
      </c>
      <c r="DX18" s="226" t="s">
        <v>230</v>
      </c>
      <c r="DY18" s="226" t="s">
        <v>229</v>
      </c>
      <c r="DZ18" s="226" t="s">
        <v>230</v>
      </c>
      <c r="EA18" s="226" t="s">
        <v>229</v>
      </c>
      <c r="EB18" s="226" t="s">
        <v>230</v>
      </c>
      <c r="EC18" s="226" t="s">
        <v>229</v>
      </c>
      <c r="ED18" s="226" t="s">
        <v>230</v>
      </c>
      <c r="EE18" s="226" t="s">
        <v>229</v>
      </c>
      <c r="EF18" s="226" t="s">
        <v>230</v>
      </c>
      <c r="EG18" s="226" t="s">
        <v>229</v>
      </c>
      <c r="EH18" s="225" t="s">
        <v>230</v>
      </c>
    </row>
    <row r="19">
      <c r="B19" s="164" t="s">
        <v>177</v>
      </c>
      <c r="C19" s="227">
        <f t="shared" ref="C19:C23" si="1">C7+D7-E7</f>
        <v>0</v>
      </c>
      <c r="D19" s="228">
        <v>0.82</v>
      </c>
      <c r="E19" s="166">
        <f t="shared" ref="E19:E23" si="2">C19*D19</f>
        <v>0</v>
      </c>
      <c r="F19" s="229">
        <v>2.926</v>
      </c>
      <c r="G19" s="166">
        <f t="shared" ref="G19:G23" si="3">F7+G7-H7</f>
        <v>15000</v>
      </c>
      <c r="H19" s="230">
        <v>0.335</v>
      </c>
      <c r="I19" s="166">
        <f t="shared" ref="I19:I23" si="4">G19*H19</f>
        <v>5025</v>
      </c>
      <c r="J19" s="229">
        <v>3.97</v>
      </c>
      <c r="K19" s="166">
        <f t="shared" ref="K19:K23" si="5">I7+J7-K7</f>
        <v>0</v>
      </c>
      <c r="L19" s="228">
        <v>0.27</v>
      </c>
      <c r="M19" s="166">
        <f t="shared" ref="M19:M23" si="6">K19*L19</f>
        <v>0</v>
      </c>
      <c r="N19" s="229">
        <v>4.18</v>
      </c>
      <c r="O19" s="166">
        <f t="shared" ref="O19:O23" si="7">L7+M7-N7</f>
        <v>157000</v>
      </c>
      <c r="P19" s="228">
        <v>0.39</v>
      </c>
      <c r="Q19" s="166">
        <f t="shared" ref="Q19:Q23" si="8">O19*P19/1.3</f>
        <v>47100</v>
      </c>
      <c r="R19" s="229">
        <v>4.99</v>
      </c>
      <c r="S19" s="231">
        <f t="shared" ref="S19:S23" si="9">O7+P7-Q7</f>
        <v>0</v>
      </c>
      <c r="T19" s="228">
        <v>0.46</v>
      </c>
      <c r="U19" s="166">
        <f t="shared" ref="U19:U23" si="10">S19*T19</f>
        <v>0</v>
      </c>
      <c r="V19" s="229">
        <v>4.54</v>
      </c>
      <c r="W19" s="231">
        <f t="shared" ref="W19:W23" si="11">R7+S7-T7</f>
        <v>0</v>
      </c>
      <c r="X19" s="232" t="str">
        <f>IFERROR(VLOOKUP(W$17,DONNEES!$D$6:$J$15,5,FALSE)/100,)</f>
        <v/>
      </c>
      <c r="Y19" s="231">
        <f t="shared" ref="Y19:Y23" si="12">W19*X19</f>
        <v>0</v>
      </c>
      <c r="Z19" s="229">
        <v>4.99</v>
      </c>
      <c r="AA19" s="231">
        <f t="shared" ref="AA19:AA23" si="13">U7+V7-W7</f>
        <v>0</v>
      </c>
      <c r="AB19" s="233">
        <v>0.45</v>
      </c>
      <c r="AC19" s="166">
        <f t="shared" ref="AC19:AC23" si="14">AA19*AB19</f>
        <v>0</v>
      </c>
      <c r="AD19" s="229">
        <v>1.45</v>
      </c>
      <c r="AE19" s="231">
        <f t="shared" ref="AE19:AE23" si="15">X7+Y7-Z7</f>
        <v>0</v>
      </c>
      <c r="AF19" s="232" t="str">
        <f>IFERROR(VLOOKUP(AE$17,DONNEES!$D$6:$J$15,6,FALSE)/100,)</f>
        <v/>
      </c>
      <c r="AG19" s="166">
        <f t="shared" ref="AG19:AG23" si="16">AE19*AF19</f>
        <v>0</v>
      </c>
      <c r="AH19" s="229">
        <v>1.45</v>
      </c>
      <c r="AI19" s="231">
        <f t="shared" ref="AI19:AI23" si="17">AA7+AB7-AC7</f>
        <v>0</v>
      </c>
      <c r="AJ19" s="234">
        <v>0.6</v>
      </c>
      <c r="AK19" s="166">
        <f t="shared" ref="AK19:AK23" si="18">AI19*AJ19</f>
        <v>0</v>
      </c>
      <c r="AL19" s="229">
        <v>0.71</v>
      </c>
      <c r="AM19" s="231">
        <f t="shared" ref="AM19:AM23" si="19">AD7+AE7-AF7</f>
        <v>0</v>
      </c>
      <c r="AN19" s="232" t="str">
        <f>IFERROR(VLOOKUP(AM$17,DONNEES!$D$6:$J$15,7,FALSE)/100,)</f>
        <v/>
      </c>
      <c r="AO19" s="166">
        <f t="shared" ref="AO19:AO23" si="20">AM19*AN19</f>
        <v>0</v>
      </c>
      <c r="AP19" s="235">
        <v>0.71</v>
      </c>
      <c r="AQ19" s="236">
        <f t="shared" ref="AQ19:AQ23" si="21">AG7+AH7-AI7</f>
        <v>30000</v>
      </c>
      <c r="AR19" s="232">
        <f>IFERROR(VLOOKUP(AQ$16,DONNEES!$D$6:$J$15,6,FALSE)/100,)</f>
        <v>0.28</v>
      </c>
      <c r="AS19" s="166">
        <f t="shared" ref="AS19:AS23" si="22">AQ19*AR19</f>
        <v>8400</v>
      </c>
      <c r="AT19" s="229">
        <v>1.45</v>
      </c>
      <c r="AU19" s="232">
        <f>IFERROR(VLOOKUP(AQ$16,DONNEES!$D$6:$J$15,7,FALSE)/100,)</f>
        <v>0.2</v>
      </c>
      <c r="AV19" s="166">
        <f t="shared" ref="AV19:AV23" si="23">AQ19*AU19</f>
        <v>6000</v>
      </c>
      <c r="AW19" s="229">
        <v>0.71</v>
      </c>
      <c r="AX19" s="166">
        <f t="shared" ref="AX19:AX23" si="24">AJ7+AK7-AL7</f>
        <v>0</v>
      </c>
      <c r="AY19" s="237">
        <v>0.44</v>
      </c>
      <c r="AZ19" s="166">
        <f t="shared" ref="AZ19:AZ23" si="25">AX19*AY19</f>
        <v>0</v>
      </c>
      <c r="BA19" s="229">
        <v>2.74</v>
      </c>
      <c r="BB19" s="231">
        <f t="shared" ref="BB19:BB23" si="26">AM7+AN7-AO7</f>
        <v>0</v>
      </c>
      <c r="BC19" s="232" t="str">
        <f>IFERROR(VLOOKUP(BB$16,DONNEES!$D$6:$J$15,5,FALSE)/100,)</f>
        <v/>
      </c>
      <c r="BD19" s="166">
        <f t="shared" ref="BD19:BD23" si="27">BB19*BC19</f>
        <v>0</v>
      </c>
      <c r="BE19" s="229">
        <v>2.74</v>
      </c>
      <c r="BF19" s="232" t="str">
        <f>IFERROR(VLOOKUP(BB$16,DONNEES!$D$6:$J$15,7,FALSE)/100,)</f>
        <v/>
      </c>
      <c r="BG19" s="231">
        <f t="shared" ref="BG19:BG23" si="28">BB19*BF19</f>
        <v>0</v>
      </c>
      <c r="BH19" s="229">
        <v>0.71</v>
      </c>
      <c r="BI19" s="166">
        <f t="shared" ref="BI19:BI23" si="29">AP7+AQ7-AR7</f>
        <v>0</v>
      </c>
      <c r="BJ19" s="228">
        <v>0.54</v>
      </c>
      <c r="BK19" s="166">
        <f t="shared" ref="BK19:BK23" si="30">BI19*BJ19</f>
        <v>0</v>
      </c>
      <c r="BL19" s="229">
        <v>1.82</v>
      </c>
      <c r="BM19" s="166">
        <f t="shared" ref="BM19:BM23" si="31">AS7+AT7-AU7</f>
        <v>0</v>
      </c>
      <c r="BN19" s="237">
        <v>0.46</v>
      </c>
      <c r="BO19" s="166">
        <f t="shared" ref="BO19:BO23" si="32">BM19*BN19</f>
        <v>0</v>
      </c>
      <c r="BP19" s="235">
        <v>3.02</v>
      </c>
      <c r="BQ19" s="238">
        <f t="shared" ref="BQ19:BQ23" si="33">AV7-AW7-AX7</f>
        <v>0</v>
      </c>
      <c r="BR19" s="232" t="str">
        <f>IFERROR(VLOOKUP(BQ$16,DONNEES!$D$6:$J$15,5,FALSE)/100,)</f>
        <v/>
      </c>
      <c r="BS19" s="166">
        <f t="shared" ref="BS19:BS23" si="34">BQ19*BR19</f>
        <v>0</v>
      </c>
      <c r="BT19" s="229">
        <v>3.97</v>
      </c>
      <c r="BU19" s="232" t="str">
        <f>IFERROR(VLOOKUP(BQ$16,DONNEES!$D$6:$J$15,6,FALSE)/100,)</f>
        <v/>
      </c>
      <c r="BV19" s="166">
        <f t="shared" ref="BV19:BV23" si="35">BQ19*BU19</f>
        <v>0</v>
      </c>
      <c r="BW19" s="229">
        <v>1.83</v>
      </c>
      <c r="BX19" s="232" t="str">
        <f>IFERROR(VLOOKUP(BQ$16,DONNEES!$D$6:$J$15,7,FALSE)/100,)</f>
        <v/>
      </c>
      <c r="BY19" s="166">
        <f t="shared" ref="BY19:BY23" si="36">BQ19*BX19</f>
        <v>0</v>
      </c>
      <c r="BZ19" s="229">
        <v>0.71</v>
      </c>
      <c r="CA19" s="231">
        <f t="shared" ref="CA19:CA23" si="37">AY7+AZ7-BA7</f>
        <v>0</v>
      </c>
      <c r="CB19" s="232" t="str">
        <f>IFERROR(VLOOKUP(CA$16,DONNEES!$D$6:$J$15,5,FALSE)/100,)</f>
        <v/>
      </c>
      <c r="CC19" s="166">
        <f t="shared" ref="CC19:CC23" si="38">CA19*CB19</f>
        <v>0</v>
      </c>
      <c r="CD19" s="229">
        <v>3.97</v>
      </c>
      <c r="CE19" s="232" t="str">
        <f>IFERROR(VLOOKUP(CA$16,DONNEES!$D$6:$J$15,6,FALSE)/100,)</f>
        <v/>
      </c>
      <c r="CF19" s="166">
        <f t="shared" ref="CF19:CF23" si="39">CA19*CE19</f>
        <v>0</v>
      </c>
      <c r="CG19" s="229">
        <v>1.83</v>
      </c>
      <c r="CH19" s="232" t="str">
        <f>IFERROR(VLOOKUP(CA$16,DONNEES!$D$6:$J$15,7,FALSE)/100,)</f>
        <v/>
      </c>
      <c r="CI19" s="166">
        <f t="shared" ref="CI19:CI23" si="40">CA19*CH19</f>
        <v>0</v>
      </c>
      <c r="CJ19" s="235">
        <v>0.71</v>
      </c>
      <c r="CK19" s="227">
        <f t="shared" ref="CK19:CK23" si="41">BB7+BC7-BD7</f>
        <v>1634</v>
      </c>
      <c r="CL19" s="235">
        <v>9.861</v>
      </c>
      <c r="CM19" s="227">
        <f t="shared" ref="CM19:CM23" si="42">BE7+BF7-BG7</f>
        <v>0</v>
      </c>
      <c r="CN19" s="228">
        <v>0.94</v>
      </c>
      <c r="CO19" s="186">
        <f t="shared" ref="CO19:CO23" si="43">CM19*CN19</f>
        <v>0</v>
      </c>
      <c r="CP19" s="229">
        <v>0.311</v>
      </c>
      <c r="CQ19" s="231">
        <f t="shared" ref="CQ19:CQ23" si="44">BH7+BI7-BJ7</f>
        <v>0</v>
      </c>
      <c r="CR19" s="234">
        <v>0.55</v>
      </c>
      <c r="CS19" s="231">
        <f t="shared" ref="CS19:CS23" si="45">CQ19*CR19</f>
        <v>0</v>
      </c>
      <c r="CT19" s="229">
        <v>1.257</v>
      </c>
      <c r="CU19" s="231">
        <f t="shared" ref="CU19:CU23" si="46">BK7+BL7-BM7</f>
        <v>0</v>
      </c>
      <c r="CV19" s="234">
        <v>0.55</v>
      </c>
      <c r="CW19" s="231">
        <f t="shared" ref="CW19:CW23" si="47">CU19*CV19</f>
        <v>0</v>
      </c>
      <c r="CX19" s="229">
        <v>1.257</v>
      </c>
      <c r="CY19" s="231">
        <f t="shared" ref="CY19:CY23" si="48">BN7+BO7-BP7</f>
        <v>0</v>
      </c>
      <c r="CZ19" s="234">
        <v>0.35</v>
      </c>
      <c r="DA19" s="231">
        <f t="shared" ref="DA19:DA23" si="49">CY19*CZ19</f>
        <v>0</v>
      </c>
      <c r="DB19" s="235">
        <v>0.1</v>
      </c>
      <c r="DC19" s="236">
        <f t="shared" ref="DC19:DC23" si="50">BQ7+BR7-BS7</f>
        <v>0</v>
      </c>
      <c r="DD19" s="239">
        <v>0.551</v>
      </c>
      <c r="DE19" s="231">
        <f t="shared" ref="DE19:DE23" si="51">BT7+BU7-BV7</f>
        <v>0</v>
      </c>
      <c r="DF19" s="239">
        <v>0.674</v>
      </c>
      <c r="DG19" s="231">
        <f t="shared" ref="DG19:DG23" si="52">BW7+BX7-BY7</f>
        <v>0</v>
      </c>
      <c r="DH19" s="239">
        <v>0.137</v>
      </c>
      <c r="DI19" s="231">
        <f t="shared" ref="DI19:DI23" si="53">BZ7+CA7-CB7</f>
        <v>0</v>
      </c>
      <c r="DJ19" s="239">
        <v>0.704</v>
      </c>
      <c r="DK19" s="231">
        <f t="shared" ref="DK19:DK23" si="54">CC7+CD7-CE7</f>
        <v>0</v>
      </c>
      <c r="DL19" s="239">
        <v>1.378</v>
      </c>
      <c r="DM19" s="166">
        <f t="shared" ref="DM19:DM23" si="55">CF7+CG7-CH7</f>
        <v>0</v>
      </c>
      <c r="DN19" s="239">
        <v>0.146</v>
      </c>
      <c r="DO19" s="240">
        <f t="shared" ref="DO19:DO23" si="56">CI7+CJ7-CK7</f>
        <v>0</v>
      </c>
      <c r="DP19" s="229">
        <v>625.0</v>
      </c>
      <c r="DQ19" s="240">
        <f t="shared" ref="DQ19:DQ23" si="57">CL7+CM7-CN7</f>
        <v>0</v>
      </c>
      <c r="DR19" s="229">
        <v>517.0</v>
      </c>
      <c r="DS19" s="240">
        <f t="shared" ref="DS19:DS23" si="58">CO7+CP7-CQ7</f>
        <v>0</v>
      </c>
      <c r="DT19" s="229">
        <v>14.6</v>
      </c>
      <c r="DU19" s="240">
        <f t="shared" ref="DU19:DU23" si="59">CR7+CS7-CT7</f>
        <v>0</v>
      </c>
      <c r="DV19" s="229">
        <v>234.0</v>
      </c>
      <c r="DW19" s="240">
        <f t="shared" ref="DW19:DW23" si="60">CU7+CV7-CW7</f>
        <v>0</v>
      </c>
      <c r="DX19" s="229">
        <v>701.0</v>
      </c>
      <c r="DY19" s="240">
        <f t="shared" ref="DY19:DY23" si="61">CX7+CY7-CZ7</f>
        <v>0</v>
      </c>
      <c r="DZ19" s="229">
        <v>1190.0</v>
      </c>
      <c r="EA19" s="240">
        <f t="shared" ref="EA19:EA23" si="62">DA7+DB7-DC7</f>
        <v>0</v>
      </c>
      <c r="EB19" s="229">
        <v>1486.0</v>
      </c>
      <c r="EC19" s="240">
        <f t="shared" ref="EC19:EC23" si="63">DD7+DE7-DF7</f>
        <v>0</v>
      </c>
      <c r="ED19" s="229">
        <v>3084.0</v>
      </c>
      <c r="EE19" s="240">
        <f t="shared" ref="EE19:EE23" si="64">DG7+DH7-DI7</f>
        <v>0</v>
      </c>
      <c r="EF19" s="229">
        <v>193.0</v>
      </c>
      <c r="EG19" s="240">
        <f t="shared" ref="EG19:EG23" si="65">DJ7+DK7-DL7</f>
        <v>0</v>
      </c>
      <c r="EH19" s="235">
        <v>320.0</v>
      </c>
    </row>
    <row r="20">
      <c r="B20" s="164" t="s">
        <v>178</v>
      </c>
      <c r="C20" s="227">
        <f t="shared" si="1"/>
        <v>0</v>
      </c>
      <c r="D20" s="228">
        <v>0.82</v>
      </c>
      <c r="E20" s="166">
        <f t="shared" si="2"/>
        <v>0</v>
      </c>
      <c r="F20" s="196"/>
      <c r="G20" s="166">
        <f t="shared" si="3"/>
        <v>12000</v>
      </c>
      <c r="H20" s="230">
        <v>0.335</v>
      </c>
      <c r="I20" s="166">
        <f t="shared" si="4"/>
        <v>4020</v>
      </c>
      <c r="J20" s="196"/>
      <c r="K20" s="166">
        <f t="shared" si="5"/>
        <v>0</v>
      </c>
      <c r="L20" s="228">
        <v>0.27</v>
      </c>
      <c r="M20" s="166">
        <f t="shared" si="6"/>
        <v>0</v>
      </c>
      <c r="N20" s="196"/>
      <c r="O20" s="166">
        <f t="shared" si="7"/>
        <v>126000</v>
      </c>
      <c r="P20" s="228">
        <v>0.39</v>
      </c>
      <c r="Q20" s="166">
        <f t="shared" si="8"/>
        <v>37800</v>
      </c>
      <c r="R20" s="196"/>
      <c r="S20" s="231">
        <f t="shared" si="9"/>
        <v>0</v>
      </c>
      <c r="T20" s="228">
        <v>0.46</v>
      </c>
      <c r="U20" s="166">
        <f t="shared" si="10"/>
        <v>0</v>
      </c>
      <c r="V20" s="196"/>
      <c r="W20" s="231">
        <f t="shared" si="11"/>
        <v>0</v>
      </c>
      <c r="X20" s="232" t="str">
        <f>IFERROR(VLOOKUP(W$17,DONNEES!$L$6:$R$15,5,FALSE)/100,)</f>
        <v/>
      </c>
      <c r="Y20" s="231">
        <f t="shared" si="12"/>
        <v>0</v>
      </c>
      <c r="Z20" s="196"/>
      <c r="AA20" s="231">
        <f t="shared" si="13"/>
        <v>27000</v>
      </c>
      <c r="AB20" s="233">
        <f t="shared" ref="AB20:AB23" si="66">AB19</f>
        <v>0.45</v>
      </c>
      <c r="AC20" s="166">
        <f t="shared" si="14"/>
        <v>12150</v>
      </c>
      <c r="AD20" s="196"/>
      <c r="AE20" s="231">
        <f t="shared" si="15"/>
        <v>0</v>
      </c>
      <c r="AF20" s="232" t="str">
        <f>IFERROR(VLOOKUP(AE$17,DONNEES!$L$6:$R$15,6,FALSE)/100,)</f>
        <v/>
      </c>
      <c r="AG20" s="166">
        <f t="shared" si="16"/>
        <v>0</v>
      </c>
      <c r="AH20" s="196"/>
      <c r="AI20" s="231">
        <f t="shared" si="17"/>
        <v>0</v>
      </c>
      <c r="AJ20" s="234">
        <v>0.6</v>
      </c>
      <c r="AK20" s="166">
        <f t="shared" si="18"/>
        <v>0</v>
      </c>
      <c r="AL20" s="196"/>
      <c r="AM20" s="231">
        <f t="shared" si="19"/>
        <v>0</v>
      </c>
      <c r="AN20" s="232" t="str">
        <f>IFERROR(VLOOKUP(AM$17,DONNEES!$L$6:$R$15,7,FALSE)/100,)</f>
        <v/>
      </c>
      <c r="AO20" s="166">
        <f t="shared" si="20"/>
        <v>0</v>
      </c>
      <c r="AP20" s="241"/>
      <c r="AQ20" s="236">
        <f t="shared" si="21"/>
        <v>30000</v>
      </c>
      <c r="AR20" s="232">
        <f>IFERROR(VLOOKUP(AQ$16,DONNEES!$L$6:$R$15,6,FALSE)/100,)</f>
        <v>0.28</v>
      </c>
      <c r="AS20" s="166">
        <f t="shared" si="22"/>
        <v>8400</v>
      </c>
      <c r="AT20" s="196"/>
      <c r="AU20" s="232">
        <f>IFERROR(VLOOKUP(AQ$16,DONNEES!$L$6:$R$15,7,FALSE)/100,)</f>
        <v>0.2</v>
      </c>
      <c r="AV20" s="166">
        <f t="shared" si="23"/>
        <v>6000</v>
      </c>
      <c r="AW20" s="196"/>
      <c r="AX20" s="166">
        <f t="shared" si="24"/>
        <v>0</v>
      </c>
      <c r="AY20" s="237">
        <v>0.44</v>
      </c>
      <c r="AZ20" s="166">
        <f t="shared" si="25"/>
        <v>0</v>
      </c>
      <c r="BA20" s="196"/>
      <c r="BB20" s="231">
        <f t="shared" si="26"/>
        <v>0</v>
      </c>
      <c r="BC20" s="232" t="str">
        <f>IFERROR(VLOOKUP(BB$16,DONNEES!$L$6:$R$15,5,FALSE)/100,)</f>
        <v/>
      </c>
      <c r="BD20" s="166">
        <f t="shared" si="27"/>
        <v>0</v>
      </c>
      <c r="BE20" s="196"/>
      <c r="BF20" s="232" t="str">
        <f>IFERROR(VLOOKUP(BB$16,DONNEES!$L$6:$R$15,7,FALSE)/100,)</f>
        <v/>
      </c>
      <c r="BG20" s="231">
        <f t="shared" si="28"/>
        <v>0</v>
      </c>
      <c r="BH20" s="196"/>
      <c r="BI20" s="166">
        <f t="shared" si="29"/>
        <v>0</v>
      </c>
      <c r="BJ20" s="228">
        <v>0.54</v>
      </c>
      <c r="BK20" s="166">
        <f t="shared" si="30"/>
        <v>0</v>
      </c>
      <c r="BL20" s="196"/>
      <c r="BM20" s="166">
        <f t="shared" si="31"/>
        <v>0</v>
      </c>
      <c r="BN20" s="237">
        <v>0.46</v>
      </c>
      <c r="BO20" s="166">
        <f t="shared" si="32"/>
        <v>0</v>
      </c>
      <c r="BP20" s="241"/>
      <c r="BQ20" s="238">
        <f t="shared" si="33"/>
        <v>0</v>
      </c>
      <c r="BR20" s="232" t="str">
        <f>IFERROR(VLOOKUP(BQ$16,DONNEES!$L$6:$R$15,5,FALSE)/100,)</f>
        <v/>
      </c>
      <c r="BS20" s="166">
        <f t="shared" si="34"/>
        <v>0</v>
      </c>
      <c r="BT20" s="196"/>
      <c r="BU20" s="232" t="str">
        <f>IFERROR(VLOOKUP(BQ$16,DONNEES!$L$6:$R$15,6,FALSE)/100,)</f>
        <v/>
      </c>
      <c r="BV20" s="166">
        <f t="shared" si="35"/>
        <v>0</v>
      </c>
      <c r="BW20" s="196"/>
      <c r="BX20" s="232" t="str">
        <f>IFERROR(VLOOKUP(BQ$16,DONNEES!$L$6:$R$15,7,FALSE)/100,)</f>
        <v/>
      </c>
      <c r="BY20" s="166">
        <f t="shared" si="36"/>
        <v>0</v>
      </c>
      <c r="BZ20" s="196"/>
      <c r="CA20" s="231">
        <f t="shared" si="37"/>
        <v>0</v>
      </c>
      <c r="CB20" s="232" t="str">
        <f>IFERROR(VLOOKUP(CA$16,DONNEES!$L$6:$R$15,5,FALSE)/100,)</f>
        <v/>
      </c>
      <c r="CC20" s="166">
        <f t="shared" si="38"/>
        <v>0</v>
      </c>
      <c r="CD20" s="196"/>
      <c r="CE20" s="232" t="str">
        <f>IFERROR(VLOOKUP(CA$16,DONNEES!$L$6:$R$15,6,FALSE)/100,)</f>
        <v/>
      </c>
      <c r="CF20" s="166">
        <f t="shared" si="39"/>
        <v>0</v>
      </c>
      <c r="CG20" s="196"/>
      <c r="CH20" s="232" t="str">
        <f>IFERROR(VLOOKUP(CA$16,DONNEES!$L$6:$R$15,7,FALSE)/100,)</f>
        <v/>
      </c>
      <c r="CI20" s="166">
        <f t="shared" si="40"/>
        <v>0</v>
      </c>
      <c r="CJ20" s="241"/>
      <c r="CK20" s="227">
        <f t="shared" si="41"/>
        <v>1496</v>
      </c>
      <c r="CL20" s="241"/>
      <c r="CM20" s="227">
        <f t="shared" si="42"/>
        <v>0</v>
      </c>
      <c r="CN20" s="228">
        <v>0.94</v>
      </c>
      <c r="CO20" s="186">
        <f t="shared" si="43"/>
        <v>0</v>
      </c>
      <c r="CP20" s="196"/>
      <c r="CQ20" s="231">
        <f t="shared" si="44"/>
        <v>0</v>
      </c>
      <c r="CR20" s="234">
        <v>0.55</v>
      </c>
      <c r="CS20" s="231">
        <f t="shared" si="45"/>
        <v>0</v>
      </c>
      <c r="CT20" s="196"/>
      <c r="CU20" s="231">
        <f t="shared" si="46"/>
        <v>0</v>
      </c>
      <c r="CV20" s="234">
        <v>0.55</v>
      </c>
      <c r="CW20" s="231">
        <f t="shared" si="47"/>
        <v>0</v>
      </c>
      <c r="CX20" s="196"/>
      <c r="CY20" s="231">
        <f t="shared" si="48"/>
        <v>0</v>
      </c>
      <c r="CZ20" s="234">
        <v>0.35</v>
      </c>
      <c r="DA20" s="231">
        <f t="shared" si="49"/>
        <v>0</v>
      </c>
      <c r="DB20" s="241"/>
      <c r="DC20" s="236">
        <f t="shared" si="50"/>
        <v>0</v>
      </c>
      <c r="DD20" s="196"/>
      <c r="DE20" s="231">
        <f t="shared" si="51"/>
        <v>0</v>
      </c>
      <c r="DF20" s="196"/>
      <c r="DG20" s="231">
        <f t="shared" si="52"/>
        <v>0</v>
      </c>
      <c r="DH20" s="196"/>
      <c r="DI20" s="231">
        <f t="shared" si="53"/>
        <v>0</v>
      </c>
      <c r="DJ20" s="196"/>
      <c r="DK20" s="231">
        <f t="shared" si="54"/>
        <v>0</v>
      </c>
      <c r="DL20" s="196"/>
      <c r="DM20" s="166">
        <f t="shared" si="55"/>
        <v>0</v>
      </c>
      <c r="DN20" s="196"/>
      <c r="DO20" s="240">
        <f t="shared" si="56"/>
        <v>0</v>
      </c>
      <c r="DP20" s="196"/>
      <c r="DQ20" s="240">
        <f t="shared" si="57"/>
        <v>0</v>
      </c>
      <c r="DR20" s="196"/>
      <c r="DS20" s="240">
        <f t="shared" si="58"/>
        <v>0</v>
      </c>
      <c r="DT20" s="196"/>
      <c r="DU20" s="240">
        <f t="shared" si="59"/>
        <v>0</v>
      </c>
      <c r="DV20" s="196"/>
      <c r="DW20" s="240">
        <f t="shared" si="60"/>
        <v>150</v>
      </c>
      <c r="DX20" s="196"/>
      <c r="DY20" s="240">
        <f t="shared" si="61"/>
        <v>0</v>
      </c>
      <c r="DZ20" s="196"/>
      <c r="EA20" s="240">
        <f t="shared" si="62"/>
        <v>0</v>
      </c>
      <c r="EB20" s="196"/>
      <c r="EC20" s="240">
        <f t="shared" si="63"/>
        <v>0</v>
      </c>
      <c r="ED20" s="196"/>
      <c r="EE20" s="240">
        <f t="shared" si="64"/>
        <v>0</v>
      </c>
      <c r="EF20" s="196"/>
      <c r="EG20" s="240">
        <f t="shared" si="65"/>
        <v>0</v>
      </c>
      <c r="EH20" s="241"/>
    </row>
    <row r="21" ht="15.75" customHeight="1">
      <c r="B21" s="164" t="s">
        <v>179</v>
      </c>
      <c r="C21" s="227">
        <f t="shared" si="1"/>
        <v>0</v>
      </c>
      <c r="D21" s="228">
        <v>0.82</v>
      </c>
      <c r="E21" s="166">
        <f t="shared" si="2"/>
        <v>0</v>
      </c>
      <c r="F21" s="196"/>
      <c r="G21" s="166">
        <f t="shared" si="3"/>
        <v>28000</v>
      </c>
      <c r="H21" s="230">
        <v>0.335</v>
      </c>
      <c r="I21" s="166">
        <f t="shared" si="4"/>
        <v>9380</v>
      </c>
      <c r="J21" s="196"/>
      <c r="K21" s="166">
        <f t="shared" si="5"/>
        <v>0</v>
      </c>
      <c r="L21" s="228">
        <v>0.27</v>
      </c>
      <c r="M21" s="166">
        <f t="shared" si="6"/>
        <v>0</v>
      </c>
      <c r="N21" s="196"/>
      <c r="O21" s="166">
        <f t="shared" si="7"/>
        <v>179000</v>
      </c>
      <c r="P21" s="228">
        <v>0.39</v>
      </c>
      <c r="Q21" s="166">
        <f t="shared" si="8"/>
        <v>53700</v>
      </c>
      <c r="R21" s="196"/>
      <c r="S21" s="231">
        <f t="shared" si="9"/>
        <v>0</v>
      </c>
      <c r="T21" s="228">
        <v>0.46</v>
      </c>
      <c r="U21" s="166">
        <f t="shared" si="10"/>
        <v>0</v>
      </c>
      <c r="V21" s="196"/>
      <c r="W21" s="231">
        <f t="shared" si="11"/>
        <v>0</v>
      </c>
      <c r="X21" s="232" t="str">
        <f>IFERROR(VLOOKUP(W$17,DONNEES!$T$6:$Z$15,5,FALSE)/100,)</f>
        <v/>
      </c>
      <c r="Y21" s="231">
        <f t="shared" si="12"/>
        <v>0</v>
      </c>
      <c r="Z21" s="196"/>
      <c r="AA21" s="231">
        <f t="shared" si="13"/>
        <v>29000</v>
      </c>
      <c r="AB21" s="233">
        <f t="shared" si="66"/>
        <v>0.45</v>
      </c>
      <c r="AC21" s="166">
        <f t="shared" si="14"/>
        <v>13050</v>
      </c>
      <c r="AD21" s="196"/>
      <c r="AE21" s="231">
        <f t="shared" si="15"/>
        <v>0</v>
      </c>
      <c r="AF21" s="232" t="str">
        <f>IFERROR(VLOOKUP(AE$17,DONNEES!$T$6:$Z$15,6,FALSE)/100,)</f>
        <v/>
      </c>
      <c r="AG21" s="166">
        <f t="shared" si="16"/>
        <v>0</v>
      </c>
      <c r="AH21" s="196"/>
      <c r="AI21" s="231">
        <f t="shared" si="17"/>
        <v>0</v>
      </c>
      <c r="AJ21" s="234">
        <v>0.6</v>
      </c>
      <c r="AK21" s="166">
        <f t="shared" si="18"/>
        <v>0</v>
      </c>
      <c r="AL21" s="196"/>
      <c r="AM21" s="231">
        <f t="shared" si="19"/>
        <v>0</v>
      </c>
      <c r="AN21" s="232" t="str">
        <f>IFERROR(VLOOKUP(AM$17,DONNEES!$T$6:$Z$15,7,FALSE)/100,)</f>
        <v/>
      </c>
      <c r="AO21" s="166">
        <f t="shared" si="20"/>
        <v>0</v>
      </c>
      <c r="AP21" s="241"/>
      <c r="AQ21" s="236">
        <f t="shared" si="21"/>
        <v>5000</v>
      </c>
      <c r="AR21" s="232">
        <f>IFERROR(VLOOKUP(AQ$16,DONNEES!$T$6:$Z$15,6,FALSE)/100,)</f>
        <v>0.28</v>
      </c>
      <c r="AS21" s="166">
        <f t="shared" si="22"/>
        <v>1400</v>
      </c>
      <c r="AT21" s="196"/>
      <c r="AU21" s="232">
        <f>IFERROR(VLOOKUP(AQ$16,DONNEES!$T$6:$Z$15,7,FALSE)/100,)</f>
        <v>0.2</v>
      </c>
      <c r="AV21" s="166">
        <f t="shared" si="23"/>
        <v>1000</v>
      </c>
      <c r="AW21" s="196"/>
      <c r="AX21" s="166">
        <f t="shared" si="24"/>
        <v>0</v>
      </c>
      <c r="AY21" s="237">
        <v>0.44</v>
      </c>
      <c r="AZ21" s="166">
        <f t="shared" si="25"/>
        <v>0</v>
      </c>
      <c r="BA21" s="196"/>
      <c r="BB21" s="231">
        <f t="shared" si="26"/>
        <v>0</v>
      </c>
      <c r="BC21" s="232" t="str">
        <f>IFERROR(VLOOKUP(BB$16,DONNEES!$T$6:$Z$15,5,FALSE)/100,)</f>
        <v/>
      </c>
      <c r="BD21" s="166">
        <f t="shared" si="27"/>
        <v>0</v>
      </c>
      <c r="BE21" s="196"/>
      <c r="BF21" s="232" t="str">
        <f>IFERROR(VLOOKUP(BB$16,DONNEES!$T$6:$Z$15,7,FALSE)/100,)</f>
        <v/>
      </c>
      <c r="BG21" s="231">
        <f t="shared" si="28"/>
        <v>0</v>
      </c>
      <c r="BH21" s="196"/>
      <c r="BI21" s="166">
        <f t="shared" si="29"/>
        <v>0</v>
      </c>
      <c r="BJ21" s="228">
        <v>0.54</v>
      </c>
      <c r="BK21" s="166">
        <f t="shared" si="30"/>
        <v>0</v>
      </c>
      <c r="BL21" s="196"/>
      <c r="BM21" s="166">
        <f t="shared" si="31"/>
        <v>0</v>
      </c>
      <c r="BN21" s="237">
        <v>0.46</v>
      </c>
      <c r="BO21" s="166">
        <f t="shared" si="32"/>
        <v>0</v>
      </c>
      <c r="BP21" s="241"/>
      <c r="BQ21" s="238">
        <f t="shared" si="33"/>
        <v>0</v>
      </c>
      <c r="BR21" s="232" t="str">
        <f>IFERROR(VLOOKUP(BQ$16,DONNEES!$T$6:$Z$15,5,FALSE)/100,)</f>
        <v/>
      </c>
      <c r="BS21" s="166">
        <f t="shared" si="34"/>
        <v>0</v>
      </c>
      <c r="BT21" s="196"/>
      <c r="BU21" s="232" t="str">
        <f>IFERROR(VLOOKUP(BQ$16,DONNEES!$T$6:$Z$15,6,FALSE)/100,)</f>
        <v/>
      </c>
      <c r="BV21" s="166">
        <f t="shared" si="35"/>
        <v>0</v>
      </c>
      <c r="BW21" s="196"/>
      <c r="BX21" s="232" t="str">
        <f>IFERROR(VLOOKUP(BQ$16,DONNEES!$T$6:$Z$15,7,FALSE)/100,)</f>
        <v/>
      </c>
      <c r="BY21" s="166">
        <f t="shared" si="36"/>
        <v>0</v>
      </c>
      <c r="BZ21" s="196"/>
      <c r="CA21" s="231">
        <f t="shared" si="37"/>
        <v>0</v>
      </c>
      <c r="CB21" s="232" t="str">
        <f>IFERROR(VLOOKUP(CA$16,DONNEES!$T$6:$Z$15,5,FALSE)/100,)</f>
        <v/>
      </c>
      <c r="CC21" s="166">
        <f t="shared" si="38"/>
        <v>0</v>
      </c>
      <c r="CD21" s="196"/>
      <c r="CE21" s="232" t="str">
        <f>IFERROR(VLOOKUP(CA$16,DONNEES!$T$6:$Z$15,6,FALSE)/100,)</f>
        <v/>
      </c>
      <c r="CF21" s="166">
        <f t="shared" si="39"/>
        <v>0</v>
      </c>
      <c r="CG21" s="196"/>
      <c r="CH21" s="232" t="str">
        <f>IFERROR(VLOOKUP(CA$16,DONNEES!$T$6:$Z$15,7,FALSE)/100,)</f>
        <v/>
      </c>
      <c r="CI21" s="166">
        <f t="shared" si="40"/>
        <v>0</v>
      </c>
      <c r="CJ21" s="241"/>
      <c r="CK21" s="227">
        <f t="shared" si="41"/>
        <v>1370</v>
      </c>
      <c r="CL21" s="241"/>
      <c r="CM21" s="227">
        <f t="shared" si="42"/>
        <v>0</v>
      </c>
      <c r="CN21" s="228">
        <v>0.94</v>
      </c>
      <c r="CO21" s="186">
        <f t="shared" si="43"/>
        <v>0</v>
      </c>
      <c r="CP21" s="196"/>
      <c r="CQ21" s="231">
        <f t="shared" si="44"/>
        <v>0</v>
      </c>
      <c r="CR21" s="234">
        <v>0.55</v>
      </c>
      <c r="CS21" s="231">
        <f t="shared" si="45"/>
        <v>0</v>
      </c>
      <c r="CT21" s="196"/>
      <c r="CU21" s="231">
        <f t="shared" si="46"/>
        <v>0</v>
      </c>
      <c r="CV21" s="234">
        <v>0.55</v>
      </c>
      <c r="CW21" s="231">
        <f t="shared" si="47"/>
        <v>0</v>
      </c>
      <c r="CX21" s="196"/>
      <c r="CY21" s="231">
        <f t="shared" si="48"/>
        <v>0</v>
      </c>
      <c r="CZ21" s="234">
        <v>0.35</v>
      </c>
      <c r="DA21" s="231">
        <f t="shared" si="49"/>
        <v>0</v>
      </c>
      <c r="DB21" s="241"/>
      <c r="DC21" s="236">
        <f t="shared" si="50"/>
        <v>0</v>
      </c>
      <c r="DD21" s="196"/>
      <c r="DE21" s="231">
        <f t="shared" si="51"/>
        <v>0</v>
      </c>
      <c r="DF21" s="196"/>
      <c r="DG21" s="231">
        <f t="shared" si="52"/>
        <v>0</v>
      </c>
      <c r="DH21" s="196"/>
      <c r="DI21" s="231">
        <f t="shared" si="53"/>
        <v>0</v>
      </c>
      <c r="DJ21" s="196"/>
      <c r="DK21" s="231">
        <f t="shared" si="54"/>
        <v>0</v>
      </c>
      <c r="DL21" s="196"/>
      <c r="DM21" s="166">
        <f t="shared" si="55"/>
        <v>0</v>
      </c>
      <c r="DN21" s="196"/>
      <c r="DO21" s="240">
        <f t="shared" si="56"/>
        <v>0</v>
      </c>
      <c r="DP21" s="196"/>
      <c r="DQ21" s="240">
        <f t="shared" si="57"/>
        <v>0</v>
      </c>
      <c r="DR21" s="196"/>
      <c r="DS21" s="240">
        <f t="shared" si="58"/>
        <v>0</v>
      </c>
      <c r="DT21" s="196"/>
      <c r="DU21" s="240">
        <f t="shared" si="59"/>
        <v>0</v>
      </c>
      <c r="DV21" s="196"/>
      <c r="DW21" s="240">
        <f t="shared" si="60"/>
        <v>145</v>
      </c>
      <c r="DX21" s="196"/>
      <c r="DY21" s="240">
        <f t="shared" si="61"/>
        <v>0</v>
      </c>
      <c r="DZ21" s="196"/>
      <c r="EA21" s="240">
        <f t="shared" si="62"/>
        <v>0</v>
      </c>
      <c r="EB21" s="196"/>
      <c r="EC21" s="240">
        <f t="shared" si="63"/>
        <v>0</v>
      </c>
      <c r="ED21" s="196"/>
      <c r="EE21" s="240">
        <f t="shared" si="64"/>
        <v>0</v>
      </c>
      <c r="EF21" s="196"/>
      <c r="EG21" s="240">
        <f t="shared" si="65"/>
        <v>0</v>
      </c>
      <c r="EH21" s="241"/>
    </row>
    <row r="22" ht="15.75" customHeight="1">
      <c r="B22" s="164" t="s">
        <v>180</v>
      </c>
      <c r="C22" s="227">
        <f t="shared" si="1"/>
        <v>0</v>
      </c>
      <c r="D22" s="228">
        <v>0.82</v>
      </c>
      <c r="E22" s="166">
        <f t="shared" si="2"/>
        <v>0</v>
      </c>
      <c r="F22" s="196"/>
      <c r="G22" s="166">
        <f t="shared" si="3"/>
        <v>17000</v>
      </c>
      <c r="H22" s="230">
        <v>0.335</v>
      </c>
      <c r="I22" s="166">
        <f t="shared" si="4"/>
        <v>5695</v>
      </c>
      <c r="J22" s="196"/>
      <c r="K22" s="166">
        <f t="shared" si="5"/>
        <v>0</v>
      </c>
      <c r="L22" s="228">
        <v>0.27</v>
      </c>
      <c r="M22" s="166">
        <f t="shared" si="6"/>
        <v>0</v>
      </c>
      <c r="N22" s="196"/>
      <c r="O22" s="166">
        <f t="shared" si="7"/>
        <v>90000</v>
      </c>
      <c r="P22" s="228">
        <v>0.39</v>
      </c>
      <c r="Q22" s="166">
        <f t="shared" si="8"/>
        <v>27000</v>
      </c>
      <c r="R22" s="196"/>
      <c r="S22" s="231">
        <f t="shared" si="9"/>
        <v>0</v>
      </c>
      <c r="T22" s="228">
        <v>0.46</v>
      </c>
      <c r="U22" s="166">
        <f t="shared" si="10"/>
        <v>0</v>
      </c>
      <c r="V22" s="196"/>
      <c r="W22" s="231">
        <f t="shared" si="11"/>
        <v>0</v>
      </c>
      <c r="X22" s="232" t="str">
        <f>IFERROR(VLOOKUP(W$17,DONNEES!$AB$6:$AH$15,5,FALSE)/100,)</f>
        <v/>
      </c>
      <c r="Y22" s="231">
        <f t="shared" si="12"/>
        <v>0</v>
      </c>
      <c r="Z22" s="196"/>
      <c r="AA22" s="231">
        <f t="shared" si="13"/>
        <v>18000</v>
      </c>
      <c r="AB22" s="233">
        <f t="shared" si="66"/>
        <v>0.45</v>
      </c>
      <c r="AC22" s="166">
        <f t="shared" si="14"/>
        <v>8100</v>
      </c>
      <c r="AD22" s="196"/>
      <c r="AE22" s="231">
        <f t="shared" si="15"/>
        <v>0</v>
      </c>
      <c r="AF22" s="232" t="str">
        <f>IFERROR(VLOOKUP(AE$17,DONNEES!$AB$6:$AH$15,6,FALSE)/100,)</f>
        <v/>
      </c>
      <c r="AG22" s="166">
        <f t="shared" si="16"/>
        <v>0</v>
      </c>
      <c r="AH22" s="196"/>
      <c r="AI22" s="231">
        <f t="shared" si="17"/>
        <v>0</v>
      </c>
      <c r="AJ22" s="234">
        <v>0.6</v>
      </c>
      <c r="AK22" s="166">
        <f t="shared" si="18"/>
        <v>0</v>
      </c>
      <c r="AL22" s="196"/>
      <c r="AM22" s="231">
        <f t="shared" si="19"/>
        <v>0</v>
      </c>
      <c r="AN22" s="232" t="str">
        <f>IFERROR(VLOOKUP(AM$17,DONNEES!$AB$6:$AH$15,7,FALSE)/100,)</f>
        <v/>
      </c>
      <c r="AO22" s="166">
        <f t="shared" si="20"/>
        <v>0</v>
      </c>
      <c r="AP22" s="241"/>
      <c r="AQ22" s="236">
        <f t="shared" si="21"/>
        <v>6000</v>
      </c>
      <c r="AR22" s="232">
        <f>IFERROR(VLOOKUP(AQ$16,DONNEES!$AB$6:$AH$15,6,FALSE)/100,)</f>
        <v>0.28</v>
      </c>
      <c r="AS22" s="166">
        <f t="shared" si="22"/>
        <v>1680</v>
      </c>
      <c r="AT22" s="196"/>
      <c r="AU22" s="232">
        <f>IFERROR(VLOOKUP(AQ$16,DONNEES!$AB$6:$AH$15,7,FALSE)/100,)</f>
        <v>0.2</v>
      </c>
      <c r="AV22" s="166">
        <f t="shared" si="23"/>
        <v>1200</v>
      </c>
      <c r="AW22" s="196"/>
      <c r="AX22" s="166">
        <f t="shared" si="24"/>
        <v>0</v>
      </c>
      <c r="AY22" s="237">
        <v>0.44</v>
      </c>
      <c r="AZ22" s="166">
        <f t="shared" si="25"/>
        <v>0</v>
      </c>
      <c r="BA22" s="196"/>
      <c r="BB22" s="231">
        <f t="shared" si="26"/>
        <v>0</v>
      </c>
      <c r="BC22" s="232" t="str">
        <f>IFERROR(VLOOKUP(BB$16,DONNEES!$AB$6:$AH$15,5,FALSE)/100,)</f>
        <v/>
      </c>
      <c r="BD22" s="166">
        <f t="shared" si="27"/>
        <v>0</v>
      </c>
      <c r="BE22" s="196"/>
      <c r="BF22" s="232" t="str">
        <f>IFERROR(VLOOKUP(BB$16,DONNEES!$AB$6:$AH$15,7,FALSE)/100,)</f>
        <v/>
      </c>
      <c r="BG22" s="231">
        <f t="shared" si="28"/>
        <v>0</v>
      </c>
      <c r="BH22" s="196"/>
      <c r="BI22" s="166">
        <f t="shared" si="29"/>
        <v>0</v>
      </c>
      <c r="BJ22" s="228">
        <v>0.54</v>
      </c>
      <c r="BK22" s="166">
        <f t="shared" si="30"/>
        <v>0</v>
      </c>
      <c r="BL22" s="196"/>
      <c r="BM22" s="166">
        <f t="shared" si="31"/>
        <v>0</v>
      </c>
      <c r="BN22" s="237">
        <v>0.46</v>
      </c>
      <c r="BO22" s="166">
        <f t="shared" si="32"/>
        <v>0</v>
      </c>
      <c r="BP22" s="241"/>
      <c r="BQ22" s="238">
        <f t="shared" si="33"/>
        <v>0</v>
      </c>
      <c r="BR22" s="232" t="str">
        <f>IFERROR(VLOOKUP(BQ$16,DONNEES!$AB$6:$AH$15,5,FALSE)/100,)</f>
        <v/>
      </c>
      <c r="BS22" s="166">
        <f t="shared" si="34"/>
        <v>0</v>
      </c>
      <c r="BT22" s="196"/>
      <c r="BU22" s="232" t="str">
        <f>IFERROR(VLOOKUP(BQ$16,DONNEES!$AB$6:$AH$15,6,FALSE)/100,)</f>
        <v/>
      </c>
      <c r="BV22" s="166">
        <f t="shared" si="35"/>
        <v>0</v>
      </c>
      <c r="BW22" s="196"/>
      <c r="BX22" s="232" t="str">
        <f>IFERROR(VLOOKUP(BQ$16,DONNEES!$AB$6:$AH$15,7,FALSE)/100,)</f>
        <v/>
      </c>
      <c r="BY22" s="166">
        <f t="shared" si="36"/>
        <v>0</v>
      </c>
      <c r="BZ22" s="196"/>
      <c r="CA22" s="231">
        <f t="shared" si="37"/>
        <v>0</v>
      </c>
      <c r="CB22" s="232" t="str">
        <f>IFERROR(VLOOKUP(CA$16,DONNEES!$AB$6:$AH$15,5,FALSE)/100,)</f>
        <v/>
      </c>
      <c r="CC22" s="166">
        <f t="shared" si="38"/>
        <v>0</v>
      </c>
      <c r="CD22" s="196"/>
      <c r="CE22" s="232" t="str">
        <f>IFERROR(VLOOKUP(CA$16,DONNEES!$AB$6:$AH$15,6,FALSE)/100,)</f>
        <v/>
      </c>
      <c r="CF22" s="166">
        <f t="shared" si="39"/>
        <v>0</v>
      </c>
      <c r="CG22" s="196"/>
      <c r="CH22" s="232" t="str">
        <f>IFERROR(VLOOKUP(CA$16,DONNEES!$AB$6:$AH$15,7,FALSE)/100,)</f>
        <v/>
      </c>
      <c r="CI22" s="166">
        <f t="shared" si="40"/>
        <v>0</v>
      </c>
      <c r="CJ22" s="241"/>
      <c r="CK22" s="227">
        <f t="shared" si="41"/>
        <v>1209</v>
      </c>
      <c r="CL22" s="241"/>
      <c r="CM22" s="227">
        <f t="shared" si="42"/>
        <v>0</v>
      </c>
      <c r="CN22" s="228">
        <v>0.94</v>
      </c>
      <c r="CO22" s="186">
        <f t="shared" si="43"/>
        <v>0</v>
      </c>
      <c r="CP22" s="196"/>
      <c r="CQ22" s="231">
        <f t="shared" si="44"/>
        <v>0</v>
      </c>
      <c r="CR22" s="234">
        <v>0.55</v>
      </c>
      <c r="CS22" s="231">
        <f t="shared" si="45"/>
        <v>0</v>
      </c>
      <c r="CT22" s="196"/>
      <c r="CU22" s="231">
        <f t="shared" si="46"/>
        <v>0</v>
      </c>
      <c r="CV22" s="234">
        <v>0.55</v>
      </c>
      <c r="CW22" s="231">
        <f t="shared" si="47"/>
        <v>0</v>
      </c>
      <c r="CX22" s="196"/>
      <c r="CY22" s="231">
        <f t="shared" si="48"/>
        <v>0</v>
      </c>
      <c r="CZ22" s="234">
        <v>0.35</v>
      </c>
      <c r="DA22" s="231">
        <f t="shared" si="49"/>
        <v>0</v>
      </c>
      <c r="DB22" s="241"/>
      <c r="DC22" s="236">
        <f t="shared" si="50"/>
        <v>0</v>
      </c>
      <c r="DD22" s="196"/>
      <c r="DE22" s="231">
        <f t="shared" si="51"/>
        <v>0</v>
      </c>
      <c r="DF22" s="196"/>
      <c r="DG22" s="231">
        <f t="shared" si="52"/>
        <v>0</v>
      </c>
      <c r="DH22" s="196"/>
      <c r="DI22" s="231">
        <f t="shared" si="53"/>
        <v>0</v>
      </c>
      <c r="DJ22" s="196"/>
      <c r="DK22" s="231">
        <f t="shared" si="54"/>
        <v>0</v>
      </c>
      <c r="DL22" s="196"/>
      <c r="DM22" s="166">
        <f t="shared" si="55"/>
        <v>0</v>
      </c>
      <c r="DN22" s="196"/>
      <c r="DO22" s="240">
        <f t="shared" si="56"/>
        <v>0</v>
      </c>
      <c r="DP22" s="196"/>
      <c r="DQ22" s="240">
        <f t="shared" si="57"/>
        <v>0</v>
      </c>
      <c r="DR22" s="196"/>
      <c r="DS22" s="240">
        <f t="shared" si="58"/>
        <v>0</v>
      </c>
      <c r="DT22" s="196"/>
      <c r="DU22" s="240">
        <f t="shared" si="59"/>
        <v>0</v>
      </c>
      <c r="DV22" s="196"/>
      <c r="DW22" s="240">
        <f t="shared" si="60"/>
        <v>0</v>
      </c>
      <c r="DX22" s="196"/>
      <c r="DY22" s="240">
        <f t="shared" si="61"/>
        <v>0</v>
      </c>
      <c r="DZ22" s="196"/>
      <c r="EA22" s="240">
        <f t="shared" si="62"/>
        <v>0</v>
      </c>
      <c r="EB22" s="196"/>
      <c r="EC22" s="240">
        <f t="shared" si="63"/>
        <v>0</v>
      </c>
      <c r="ED22" s="196"/>
      <c r="EE22" s="240">
        <f t="shared" si="64"/>
        <v>0</v>
      </c>
      <c r="EF22" s="196"/>
      <c r="EG22" s="240">
        <f t="shared" si="65"/>
        <v>0</v>
      </c>
      <c r="EH22" s="241"/>
    </row>
    <row r="23" ht="15.75" customHeight="1">
      <c r="B23" s="164" t="s">
        <v>181</v>
      </c>
      <c r="C23" s="242">
        <f t="shared" si="1"/>
        <v>0</v>
      </c>
      <c r="D23" s="243">
        <v>0.82</v>
      </c>
      <c r="E23" s="244">
        <f t="shared" si="2"/>
        <v>0</v>
      </c>
      <c r="F23" s="245"/>
      <c r="G23" s="244">
        <f t="shared" si="3"/>
        <v>0</v>
      </c>
      <c r="H23" s="246">
        <v>0.335</v>
      </c>
      <c r="I23" s="244">
        <f t="shared" si="4"/>
        <v>0</v>
      </c>
      <c r="J23" s="245"/>
      <c r="K23" s="244">
        <f t="shared" si="5"/>
        <v>0</v>
      </c>
      <c r="L23" s="243">
        <v>0.27</v>
      </c>
      <c r="M23" s="244">
        <f t="shared" si="6"/>
        <v>0</v>
      </c>
      <c r="N23" s="245"/>
      <c r="O23" s="244">
        <f t="shared" si="7"/>
        <v>0</v>
      </c>
      <c r="P23" s="243">
        <v>0.39</v>
      </c>
      <c r="Q23" s="244">
        <f t="shared" si="8"/>
        <v>0</v>
      </c>
      <c r="R23" s="245"/>
      <c r="S23" s="247">
        <f t="shared" si="9"/>
        <v>0</v>
      </c>
      <c r="T23" s="243">
        <v>0.46</v>
      </c>
      <c r="U23" s="244">
        <f t="shared" si="10"/>
        <v>0</v>
      </c>
      <c r="V23" s="245"/>
      <c r="W23" s="247">
        <f t="shared" si="11"/>
        <v>0</v>
      </c>
      <c r="X23" s="248" t="str">
        <f>IFERROR(VLOOKUP(W$17,DONNEES!$AJ$6:$AP$15,5,FALSE)/100,)</f>
        <v/>
      </c>
      <c r="Y23" s="249">
        <f t="shared" si="12"/>
        <v>0</v>
      </c>
      <c r="Z23" s="245"/>
      <c r="AA23" s="247">
        <f t="shared" si="13"/>
        <v>0</v>
      </c>
      <c r="AB23" s="250">
        <f t="shared" si="66"/>
        <v>0.45</v>
      </c>
      <c r="AC23" s="244">
        <f t="shared" si="14"/>
        <v>0</v>
      </c>
      <c r="AD23" s="245"/>
      <c r="AE23" s="247">
        <f t="shared" si="15"/>
        <v>0</v>
      </c>
      <c r="AF23" s="248" t="str">
        <f>IFERROR(VLOOKUP(AE$17,DONNEES!$AJ$6:$AP$15,6,FALSE)/100,)</f>
        <v/>
      </c>
      <c r="AG23" s="244">
        <f t="shared" si="16"/>
        <v>0</v>
      </c>
      <c r="AH23" s="245"/>
      <c r="AI23" s="247">
        <f t="shared" si="17"/>
        <v>0</v>
      </c>
      <c r="AJ23" s="251">
        <v>0.6</v>
      </c>
      <c r="AK23" s="244">
        <f t="shared" si="18"/>
        <v>0</v>
      </c>
      <c r="AL23" s="245"/>
      <c r="AM23" s="247">
        <f t="shared" si="19"/>
        <v>0</v>
      </c>
      <c r="AN23" s="248" t="str">
        <f>IFERROR(VLOOKUP(AM$17,DONNEES!$AJ$6:$AP$15,7,FALSE)/100,)</f>
        <v/>
      </c>
      <c r="AO23" s="244">
        <f t="shared" si="20"/>
        <v>0</v>
      </c>
      <c r="AP23" s="252"/>
      <c r="AQ23" s="253">
        <f t="shared" si="21"/>
        <v>0</v>
      </c>
      <c r="AR23" s="248" t="str">
        <f>IFERROR(VLOOKUP(AQ$16,DONNEES!$AJ$6:$AP$15,6,FALSE)/100,)</f>
        <v/>
      </c>
      <c r="AS23" s="244">
        <f t="shared" si="22"/>
        <v>0</v>
      </c>
      <c r="AT23" s="245"/>
      <c r="AU23" s="248" t="str">
        <f>IFERROR(VLOOKUP(AQ$16,DONNEES!$AJ$6:$AP$15,7,FALSE)/100,)</f>
        <v/>
      </c>
      <c r="AV23" s="244">
        <f t="shared" si="23"/>
        <v>0</v>
      </c>
      <c r="AW23" s="245"/>
      <c r="AX23" s="244">
        <f t="shared" si="24"/>
        <v>0</v>
      </c>
      <c r="AY23" s="254">
        <v>0.44</v>
      </c>
      <c r="AZ23" s="244">
        <f t="shared" si="25"/>
        <v>0</v>
      </c>
      <c r="BA23" s="245"/>
      <c r="BB23" s="247">
        <f t="shared" si="26"/>
        <v>0</v>
      </c>
      <c r="BC23" s="248" t="str">
        <f>IFERROR(VLOOKUP(BB$16,DONNEES!$AJ$6:$AP$15,5,FALSE)/100,)</f>
        <v/>
      </c>
      <c r="BD23" s="244">
        <f t="shared" si="27"/>
        <v>0</v>
      </c>
      <c r="BE23" s="245"/>
      <c r="BF23" s="248" t="str">
        <f>IFERROR(VLOOKUP(BB$16,DONNEES!$AJ$6:$AP$15,7,FALSE)/100,)</f>
        <v/>
      </c>
      <c r="BG23" s="247">
        <f t="shared" si="28"/>
        <v>0</v>
      </c>
      <c r="BH23" s="245"/>
      <c r="BI23" s="244">
        <f t="shared" si="29"/>
        <v>0</v>
      </c>
      <c r="BJ23" s="243">
        <v>0.54</v>
      </c>
      <c r="BK23" s="244">
        <f t="shared" si="30"/>
        <v>0</v>
      </c>
      <c r="BL23" s="245"/>
      <c r="BM23" s="244">
        <f t="shared" si="31"/>
        <v>0</v>
      </c>
      <c r="BN23" s="254">
        <v>0.46</v>
      </c>
      <c r="BO23" s="244">
        <f t="shared" si="32"/>
        <v>0</v>
      </c>
      <c r="BP23" s="252"/>
      <c r="BQ23" s="242">
        <f t="shared" si="33"/>
        <v>0</v>
      </c>
      <c r="BR23" s="248" t="str">
        <f>IFERROR(VLOOKUP(BQ$16,DONNEES!$AJ$6:$AP$15,5,FALSE)/100,)</f>
        <v/>
      </c>
      <c r="BS23" s="244">
        <f t="shared" si="34"/>
        <v>0</v>
      </c>
      <c r="BT23" s="245"/>
      <c r="BU23" s="248" t="str">
        <f>IFERROR(VLOOKUP(BQ$16,DONNEES!$AJ$6:$AP$15,6,FALSE)/100,)</f>
        <v/>
      </c>
      <c r="BV23" s="244">
        <f t="shared" si="35"/>
        <v>0</v>
      </c>
      <c r="BW23" s="245"/>
      <c r="BX23" s="248" t="str">
        <f>IFERROR(VLOOKUP(BQ$16,DONNEES!$AJ$6:$AP$15,7,FALSE)/100,)</f>
        <v/>
      </c>
      <c r="BY23" s="244">
        <f t="shared" si="36"/>
        <v>0</v>
      </c>
      <c r="BZ23" s="245"/>
      <c r="CA23" s="247">
        <f t="shared" si="37"/>
        <v>0</v>
      </c>
      <c r="CB23" s="248" t="str">
        <f>IFERROR(VLOOKUP(CA$16,DONNEES!$AJ$6:$AP$15,5,FALSE)/100,)</f>
        <v/>
      </c>
      <c r="CC23" s="244">
        <f t="shared" si="38"/>
        <v>0</v>
      </c>
      <c r="CD23" s="245"/>
      <c r="CE23" s="248" t="str">
        <f>IFERROR(VLOOKUP(CA$16,DONNEES!$AJ$6:$AP$15,6,FALSE)/100,)</f>
        <v/>
      </c>
      <c r="CF23" s="244">
        <f t="shared" si="39"/>
        <v>0</v>
      </c>
      <c r="CG23" s="245"/>
      <c r="CH23" s="248" t="str">
        <f>IFERROR(VLOOKUP(CA$16,DONNEES!$AJ$6:$AP$15,7,FALSE)/100,)</f>
        <v/>
      </c>
      <c r="CI23" s="244">
        <f t="shared" si="40"/>
        <v>0</v>
      </c>
      <c r="CJ23" s="252"/>
      <c r="CK23" s="242">
        <f t="shared" si="41"/>
        <v>0</v>
      </c>
      <c r="CL23" s="252"/>
      <c r="CM23" s="242">
        <f t="shared" si="42"/>
        <v>0</v>
      </c>
      <c r="CN23" s="243">
        <v>0.94</v>
      </c>
      <c r="CO23" s="244">
        <f t="shared" si="43"/>
        <v>0</v>
      </c>
      <c r="CP23" s="245"/>
      <c r="CQ23" s="247">
        <f t="shared" si="44"/>
        <v>0</v>
      </c>
      <c r="CR23" s="251">
        <v>0.55</v>
      </c>
      <c r="CS23" s="247">
        <f t="shared" si="45"/>
        <v>0</v>
      </c>
      <c r="CT23" s="245"/>
      <c r="CU23" s="247">
        <f t="shared" si="46"/>
        <v>0</v>
      </c>
      <c r="CV23" s="251">
        <v>0.55</v>
      </c>
      <c r="CW23" s="247">
        <f t="shared" si="47"/>
        <v>0</v>
      </c>
      <c r="CX23" s="245"/>
      <c r="CY23" s="247">
        <f t="shared" si="48"/>
        <v>0</v>
      </c>
      <c r="CZ23" s="251">
        <v>0.35</v>
      </c>
      <c r="DA23" s="247">
        <f t="shared" si="49"/>
        <v>0</v>
      </c>
      <c r="DB23" s="252"/>
      <c r="DC23" s="253">
        <f t="shared" si="50"/>
        <v>0</v>
      </c>
      <c r="DD23" s="245"/>
      <c r="DE23" s="247">
        <f t="shared" si="51"/>
        <v>0</v>
      </c>
      <c r="DF23" s="245"/>
      <c r="DG23" s="247">
        <f t="shared" si="52"/>
        <v>0</v>
      </c>
      <c r="DH23" s="245"/>
      <c r="DI23" s="247">
        <f t="shared" si="53"/>
        <v>0</v>
      </c>
      <c r="DJ23" s="245"/>
      <c r="DK23" s="247">
        <f t="shared" si="54"/>
        <v>0</v>
      </c>
      <c r="DL23" s="245"/>
      <c r="DM23" s="244">
        <f t="shared" si="55"/>
        <v>0</v>
      </c>
      <c r="DN23" s="245"/>
      <c r="DO23" s="255">
        <f t="shared" si="56"/>
        <v>0</v>
      </c>
      <c r="DP23" s="245"/>
      <c r="DQ23" s="255">
        <f t="shared" si="57"/>
        <v>0</v>
      </c>
      <c r="DR23" s="245"/>
      <c r="DS23" s="255">
        <f t="shared" si="58"/>
        <v>0</v>
      </c>
      <c r="DT23" s="245"/>
      <c r="DU23" s="255">
        <f t="shared" si="59"/>
        <v>0</v>
      </c>
      <c r="DV23" s="245"/>
      <c r="DW23" s="255">
        <f t="shared" si="60"/>
        <v>0</v>
      </c>
      <c r="DX23" s="245"/>
      <c r="DY23" s="255">
        <f t="shared" si="61"/>
        <v>0</v>
      </c>
      <c r="DZ23" s="245"/>
      <c r="EA23" s="255">
        <f t="shared" si="62"/>
        <v>0</v>
      </c>
      <c r="EB23" s="245"/>
      <c r="EC23" s="255">
        <f t="shared" si="63"/>
        <v>0</v>
      </c>
      <c r="ED23" s="245"/>
      <c r="EE23" s="255">
        <f t="shared" si="64"/>
        <v>0</v>
      </c>
      <c r="EF23" s="245"/>
      <c r="EG23" s="255">
        <f t="shared" si="65"/>
        <v>0</v>
      </c>
      <c r="EH23" s="252"/>
    </row>
    <row r="24" ht="15.75" customHeight="1">
      <c r="B24" s="256" t="s">
        <v>231</v>
      </c>
      <c r="C24" s="257">
        <f>SUM(C19:C23)</f>
        <v>0</v>
      </c>
      <c r="E24" s="257">
        <f>SUM(E19:E23)</f>
        <v>0</v>
      </c>
      <c r="G24" s="257">
        <f>SUM(G19:G23)</f>
        <v>72000</v>
      </c>
      <c r="I24" s="257">
        <f>SUM(I19:I23)</f>
        <v>24120</v>
      </c>
      <c r="K24" s="257">
        <f>SUM(K19:K23)</f>
        <v>0</v>
      </c>
      <c r="M24" s="257">
        <f>SUM(M19:M23)</f>
        <v>0</v>
      </c>
      <c r="O24" s="257">
        <f>SUM(O19:O23)</f>
        <v>552000</v>
      </c>
      <c r="Q24" s="258">
        <f>SUM(Q19:Q23)</f>
        <v>165600</v>
      </c>
      <c r="S24" s="257">
        <f>SUM(S19:S23)</f>
        <v>0</v>
      </c>
      <c r="U24" s="257">
        <f>SUM(U19:U23)</f>
        <v>0</v>
      </c>
      <c r="W24" s="257">
        <f>SUM(W19:W23)</f>
        <v>0</v>
      </c>
      <c r="Y24" s="257">
        <f>SUM(Y19:Y23)</f>
        <v>0</v>
      </c>
      <c r="AA24" s="257">
        <f>SUM(AA19:AA23)</f>
        <v>74000</v>
      </c>
      <c r="AC24" s="259">
        <f>SUM(AC19:AC23)</f>
        <v>33300</v>
      </c>
      <c r="AE24" s="259">
        <f>SUM(AE19:AE23)</f>
        <v>0</v>
      </c>
      <c r="AG24" s="257">
        <f>SUM(AG19:AG23)</f>
        <v>0</v>
      </c>
      <c r="AI24" s="257">
        <f>SUM(AI19:AI23)</f>
        <v>0</v>
      </c>
      <c r="AK24" s="257">
        <f>SUM(AK19:AK23)</f>
        <v>0</v>
      </c>
      <c r="AM24" s="259">
        <f>SUM(AM19:AM23)</f>
        <v>0</v>
      </c>
      <c r="AO24" s="259">
        <f>SUM(AO19:AO23)</f>
        <v>0</v>
      </c>
      <c r="AQ24" s="257">
        <f>SUM(AQ19:AQ23)</f>
        <v>71000</v>
      </c>
      <c r="AS24" s="257">
        <f>SUM(AS19:AS23)</f>
        <v>19880</v>
      </c>
      <c r="AV24" s="259">
        <f>SUM(AV19:AV23)</f>
        <v>14200</v>
      </c>
      <c r="AZ24" s="259">
        <f>SUM(AZ19:AZ23)</f>
        <v>0</v>
      </c>
      <c r="BB24" s="259">
        <f>SUM(BB19:BB23)</f>
        <v>0</v>
      </c>
      <c r="BD24" s="259">
        <f>SUM(BD19:BD23)</f>
        <v>0</v>
      </c>
      <c r="BG24" s="259">
        <f>SUM(BG19:BG23)</f>
        <v>0</v>
      </c>
      <c r="BK24" s="259">
        <f>SUM(BK19:BK23)</f>
        <v>0</v>
      </c>
      <c r="BO24" s="259">
        <f>SUM(BO19:BO23)</f>
        <v>0</v>
      </c>
      <c r="BQ24" s="259">
        <f>SUM(BQ19:BQ23)</f>
        <v>0</v>
      </c>
      <c r="BS24" s="259">
        <f>SUM(BS19:BS23)</f>
        <v>0</v>
      </c>
      <c r="BV24" s="259">
        <f>SUM(BV19:BV23)</f>
        <v>0</v>
      </c>
      <c r="BY24" s="259">
        <f>SUM(BY19:BY23)</f>
        <v>0</v>
      </c>
      <c r="CA24" s="257">
        <f>SUM(CA19:CA23)</f>
        <v>0</v>
      </c>
      <c r="CC24" s="257">
        <f>SUM(CC19:CC23)</f>
        <v>0</v>
      </c>
      <c r="CF24" s="257">
        <f>SUM(CF19:CF23)</f>
        <v>0</v>
      </c>
      <c r="CI24" s="257">
        <f>SUM(CI19:CI23)</f>
        <v>0</v>
      </c>
      <c r="CK24" s="257">
        <f>SUM(CK19:CK23)</f>
        <v>5709</v>
      </c>
      <c r="CM24" s="260">
        <f>SUM(CM19:CM23)</f>
        <v>0</v>
      </c>
      <c r="CN24" s="261"/>
      <c r="CO24" s="262">
        <f>SUM(CO19:CO23)</f>
        <v>0</v>
      </c>
      <c r="CQ24" s="259">
        <f>SUM(CQ19:CQ23)</f>
        <v>0</v>
      </c>
      <c r="CR24" s="263"/>
      <c r="CS24" s="264">
        <f> SUM(CS19:CS23)</f>
        <v>0</v>
      </c>
      <c r="CT24" s="263"/>
      <c r="CU24" s="259">
        <f>SUM(CU19:CU23)</f>
        <v>0</v>
      </c>
      <c r="CV24" s="263"/>
      <c r="CW24" s="264">
        <f> SUM(CW19:CW23)</f>
        <v>0</v>
      </c>
      <c r="CX24" s="263"/>
      <c r="CY24" s="259">
        <f>SUM(CY19:CY23)</f>
        <v>0</v>
      </c>
      <c r="CZ24" s="263"/>
      <c r="DA24" s="264">
        <f> SUM(DA19:DA23)</f>
        <v>0</v>
      </c>
      <c r="DB24" s="263"/>
      <c r="DC24" s="259">
        <f>SUM(DC19:DC23)</f>
        <v>0</v>
      </c>
      <c r="DE24" s="259">
        <f>SUM(DE19:DE23)</f>
        <v>0</v>
      </c>
      <c r="DG24" s="259">
        <f>SUM(DG19:DG23)</f>
        <v>0</v>
      </c>
      <c r="DI24" s="259">
        <f>SUM(DI19:DI23)</f>
        <v>0</v>
      </c>
      <c r="DK24" s="259">
        <f>SUM(DK19:DK23)</f>
        <v>0</v>
      </c>
      <c r="DM24" s="259">
        <f>SUM(DM19:DM23)</f>
        <v>0</v>
      </c>
      <c r="DO24" s="259">
        <f>SUM(DO19:DO23)</f>
        <v>0</v>
      </c>
      <c r="DQ24" s="259">
        <f>SUM(DQ19:DQ23)</f>
        <v>0</v>
      </c>
      <c r="DS24" s="259">
        <f>SUM(DS19:DS23)</f>
        <v>0</v>
      </c>
      <c r="DU24" s="259">
        <f>SUM(DU19:DU23)</f>
        <v>0</v>
      </c>
      <c r="DW24" s="259">
        <f>SUM(DW19:DW23)</f>
        <v>295</v>
      </c>
      <c r="DY24" s="259">
        <f>SUM(DY19:DY23)</f>
        <v>0</v>
      </c>
      <c r="EA24" s="259">
        <f>SUM(EA19:EA23)</f>
        <v>0</v>
      </c>
      <c r="EC24" s="259">
        <f>SUM(EC19:EC23)</f>
        <v>0</v>
      </c>
      <c r="EE24" s="259">
        <f>SUM(EE19:EE23)</f>
        <v>0</v>
      </c>
      <c r="EG24" s="259">
        <f>SUM(EG19:EG23)</f>
        <v>0</v>
      </c>
    </row>
    <row r="25" ht="15.75" customHeight="1">
      <c r="A25" s="113">
        <f>SUM(E24,I24,M24,Q24,U24,Y24,BD24,BS24,CC24)</f>
        <v>189720</v>
      </c>
      <c r="H25" s="265"/>
      <c r="I25" s="265"/>
      <c r="J25" s="265"/>
      <c r="K25" s="265"/>
      <c r="U25" s="265"/>
    </row>
    <row r="26" ht="14.25" customHeight="1">
      <c r="B26" s="266" t="s">
        <v>232</v>
      </c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  <c r="T26" s="266"/>
      <c r="U26" s="266"/>
      <c r="V26" s="266"/>
      <c r="W26" s="266"/>
      <c r="X26" s="266"/>
      <c r="Y26" s="266"/>
      <c r="Z26" s="266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6"/>
      <c r="AL26" s="266"/>
      <c r="AM26" s="266"/>
      <c r="AN26" s="266"/>
      <c r="AO26" s="266"/>
      <c r="AP26" s="184"/>
      <c r="AQ26" s="267"/>
      <c r="AR26" s="267"/>
      <c r="AS26" s="267"/>
    </row>
    <row r="27" ht="30.0" customHeight="1">
      <c r="B27" s="186"/>
      <c r="C27" s="268" t="s">
        <v>183</v>
      </c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70"/>
      <c r="T27" s="271" t="s">
        <v>233</v>
      </c>
      <c r="U27" s="169" t="s">
        <v>163</v>
      </c>
      <c r="V27" s="162"/>
      <c r="W27" s="162"/>
      <c r="X27" s="163"/>
      <c r="Y27" s="272" t="s">
        <v>164</v>
      </c>
      <c r="Z27" s="162"/>
      <c r="AA27" s="162"/>
      <c r="AB27" s="162"/>
      <c r="AC27" s="162"/>
      <c r="AD27" s="163"/>
      <c r="AE27" s="272" t="s">
        <v>234</v>
      </c>
      <c r="AF27" s="162"/>
      <c r="AG27" s="162"/>
      <c r="AH27" s="162"/>
      <c r="AI27" s="162"/>
      <c r="AJ27" s="162"/>
      <c r="AK27" s="162"/>
      <c r="AL27" s="162"/>
      <c r="AM27" s="162"/>
      <c r="AN27" s="163"/>
      <c r="AO27" s="273" t="s">
        <v>235</v>
      </c>
      <c r="AP27" s="273" t="s">
        <v>236</v>
      </c>
      <c r="AR27" s="274"/>
    </row>
    <row r="28" ht="15.0" customHeight="1">
      <c r="B28" s="196"/>
      <c r="C28" s="164" t="s">
        <v>160</v>
      </c>
      <c r="D28" s="162"/>
      <c r="E28" s="162"/>
      <c r="F28" s="162"/>
      <c r="G28" s="162"/>
      <c r="H28" s="162"/>
      <c r="I28" s="162"/>
      <c r="J28" s="162"/>
      <c r="K28" s="162"/>
      <c r="L28" s="163"/>
      <c r="M28" s="164" t="s">
        <v>161</v>
      </c>
      <c r="N28" s="162"/>
      <c r="O28" s="162"/>
      <c r="P28" s="162"/>
      <c r="Q28" s="163"/>
      <c r="R28" s="164" t="s">
        <v>162</v>
      </c>
      <c r="S28" s="163"/>
      <c r="T28" s="213" t="s">
        <v>237</v>
      </c>
      <c r="U28" s="213" t="s">
        <v>168</v>
      </c>
      <c r="V28" s="213" t="s">
        <v>169</v>
      </c>
      <c r="W28" s="186" t="s">
        <v>170</v>
      </c>
      <c r="X28" s="213" t="s">
        <v>238</v>
      </c>
      <c r="Y28" s="213" t="str">
        <f>DC15</f>
        <v>Bactériosol concentré</v>
      </c>
      <c r="Z28" s="213" t="str">
        <f>DE15</f>
        <v>Bactériosol concentré UAB</v>
      </c>
      <c r="AA28" s="213" t="str">
        <f>DG15</f>
        <v>Bactériosol booster 10</v>
      </c>
      <c r="AB28" s="213" t="s">
        <v>239</v>
      </c>
      <c r="AC28" s="213" t="str">
        <f>DK15</f>
        <v>Bactériolit concentré</v>
      </c>
      <c r="AD28" s="213" t="str">
        <f>DM15</f>
        <v>Quaterna Plant</v>
      </c>
      <c r="AE28" s="275" t="s">
        <v>109</v>
      </c>
      <c r="AF28" s="275" t="s">
        <v>112</v>
      </c>
      <c r="AG28" s="275" t="s">
        <v>115</v>
      </c>
      <c r="AH28" s="276" t="s">
        <v>117</v>
      </c>
      <c r="AI28" s="276" t="s">
        <v>22</v>
      </c>
      <c r="AJ28" s="276" t="s">
        <v>121</v>
      </c>
      <c r="AK28" s="276" t="s">
        <v>123</v>
      </c>
      <c r="AL28" s="276" t="s">
        <v>125</v>
      </c>
      <c r="AM28" s="276" t="s">
        <v>126</v>
      </c>
      <c r="AN28" s="276" t="s">
        <v>127</v>
      </c>
      <c r="AO28" s="196"/>
      <c r="AP28" s="196"/>
    </row>
    <row r="29" ht="15.0" customHeight="1">
      <c r="B29" s="196"/>
      <c r="C29" s="208" t="s">
        <v>190</v>
      </c>
      <c r="D29" s="162"/>
      <c r="E29" s="162"/>
      <c r="F29" s="162"/>
      <c r="G29" s="162"/>
      <c r="H29" s="163"/>
      <c r="I29" s="208" t="s">
        <v>191</v>
      </c>
      <c r="J29" s="163"/>
      <c r="K29" s="208" t="s">
        <v>192</v>
      </c>
      <c r="L29" s="163"/>
      <c r="M29" s="213" t="s">
        <v>193</v>
      </c>
      <c r="N29" s="213" t="s">
        <v>119</v>
      </c>
      <c r="O29" s="213" t="s">
        <v>195</v>
      </c>
      <c r="P29" s="213" t="s">
        <v>196</v>
      </c>
      <c r="Q29" s="213" t="s">
        <v>197</v>
      </c>
      <c r="R29" s="213" t="s">
        <v>198</v>
      </c>
      <c r="S29" s="213" t="s">
        <v>199</v>
      </c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211"/>
      <c r="AF29" s="211"/>
      <c r="AG29" s="211"/>
      <c r="AH29" s="196"/>
      <c r="AI29" s="196"/>
      <c r="AJ29" s="196"/>
      <c r="AK29" s="196"/>
      <c r="AL29" s="196"/>
      <c r="AM29" s="196"/>
      <c r="AN29" s="196"/>
      <c r="AO29" s="196"/>
      <c r="AP29" s="196"/>
    </row>
    <row r="30" ht="15.75" customHeight="1">
      <c r="B30" s="219"/>
      <c r="C30" s="221" t="s">
        <v>87</v>
      </c>
      <c r="D30" s="221" t="s">
        <v>14</v>
      </c>
      <c r="E30" s="221" t="s">
        <v>93</v>
      </c>
      <c r="F30" s="221" t="s">
        <v>16</v>
      </c>
      <c r="G30" s="221" t="s">
        <v>100</v>
      </c>
      <c r="H30" s="221" t="s">
        <v>240</v>
      </c>
      <c r="I30" s="221" t="s">
        <v>17</v>
      </c>
      <c r="J30" s="221" t="s">
        <v>240</v>
      </c>
      <c r="K30" s="221" t="s">
        <v>111</v>
      </c>
      <c r="L30" s="221" t="s">
        <v>240</v>
      </c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8"/>
      <c r="AF30" s="218"/>
      <c r="AG30" s="218"/>
      <c r="AH30" s="219"/>
      <c r="AI30" s="219"/>
      <c r="AJ30" s="219"/>
      <c r="AK30" s="219"/>
      <c r="AL30" s="219"/>
      <c r="AM30" s="219"/>
      <c r="AN30" s="219"/>
      <c r="AO30" s="219"/>
      <c r="AP30" s="219"/>
    </row>
    <row r="31" ht="15.75" customHeight="1">
      <c r="B31" s="166" t="s">
        <v>177</v>
      </c>
      <c r="C31" s="166">
        <f t="shared" ref="C31:C35" si="67">E19*$F$19</f>
        <v>0</v>
      </c>
      <c r="D31" s="166">
        <f t="shared" ref="D31:D35" si="68">I19*$J$19</f>
        <v>19949.25</v>
      </c>
      <c r="E31" s="166">
        <f t="shared" ref="E31:E35" si="69">M19*$N$19</f>
        <v>0</v>
      </c>
      <c r="F31" s="166">
        <f t="shared" ref="F31:F35" si="70">Q19*$R$19</f>
        <v>235029</v>
      </c>
      <c r="G31" s="166">
        <f t="shared" ref="G31:G35" si="71">U19*$V$19</f>
        <v>0</v>
      </c>
      <c r="H31" s="166">
        <f t="shared" ref="H31:H35" si="72">Y19*$Z$19</f>
        <v>0</v>
      </c>
      <c r="I31" s="166">
        <f t="shared" ref="I31:I35" si="73">AC19*$AD$19</f>
        <v>0</v>
      </c>
      <c r="J31" s="166">
        <f t="shared" ref="J31:J35" si="74">AG19*$AH$19</f>
        <v>0</v>
      </c>
      <c r="K31" s="166">
        <f t="shared" ref="K31:K35" si="75">AK19*$AL$19</f>
        <v>0</v>
      </c>
      <c r="L31" s="166">
        <f t="shared" ref="L31:L35" si="76">AO19*$AP$19</f>
        <v>0</v>
      </c>
      <c r="M31" s="166">
        <f t="shared" ref="M31:M35" si="77">AS19*$AT$19+AV19*$AW$19</f>
        <v>16440</v>
      </c>
      <c r="N31" s="166">
        <f t="shared" ref="N31:N35" si="78">AZ19*$BA$19</f>
        <v>0</v>
      </c>
      <c r="O31" s="166">
        <f t="shared" ref="O31:O35" si="79">BD19*$BE$19+BG19*$BH$19</f>
        <v>0</v>
      </c>
      <c r="P31" s="166">
        <f t="shared" ref="P31:P35" si="80">BK19*$BL$19</f>
        <v>0</v>
      </c>
      <c r="Q31" s="166">
        <f t="shared" ref="Q31:Q35" si="81">BO19*$BP$19</f>
        <v>0</v>
      </c>
      <c r="R31" s="166">
        <f t="shared" ref="R31:R35" si="82">BS19*$BT$19+BV19*$BW$19+BY19*$BZ$19</f>
        <v>0</v>
      </c>
      <c r="S31" s="166">
        <f t="shared" ref="S31:S35" si="83">CC19*$CD$19+CF19*$CG$19+CI19*$CJ$19</f>
        <v>0</v>
      </c>
      <c r="T31" s="166">
        <f t="shared" ref="T31:T35" si="84">CK19*$CL$19</f>
        <v>16112.874</v>
      </c>
      <c r="U31" s="166">
        <f t="shared" ref="U31:U35" si="85">CO19*$CP$19</f>
        <v>0</v>
      </c>
      <c r="V31" s="166">
        <f t="shared" ref="V31:V35" si="86">CS19*$CT$19</f>
        <v>0</v>
      </c>
      <c r="W31" s="166">
        <f t="shared" ref="W31:W35" si="87">CW19*$CX$19</f>
        <v>0</v>
      </c>
      <c r="X31" s="164">
        <f t="shared" ref="X31:X35" si="88">DA19*$DB$19</f>
        <v>0</v>
      </c>
      <c r="Y31" s="166">
        <f t="shared" ref="Y31:Y35" si="89">DC19*$DD$19</f>
        <v>0</v>
      </c>
      <c r="Z31" s="164">
        <f t="shared" ref="Z31:Z35" si="90">DE19*$DF$19</f>
        <v>0</v>
      </c>
      <c r="AA31" s="164">
        <f t="shared" ref="AA31:AA35" si="91">DG19*$DH$19</f>
        <v>0</v>
      </c>
      <c r="AB31" s="164">
        <f t="shared" ref="AB31:AB35" si="92">DI19*$DJ$19</f>
        <v>0</v>
      </c>
      <c r="AC31" s="164">
        <f t="shared" ref="AC31:AC35" si="93">DK19*$DL$19</f>
        <v>0</v>
      </c>
      <c r="AD31" s="164">
        <f t="shared" ref="AD31:AD35" si="94">DM19*$DN$19</f>
        <v>0</v>
      </c>
      <c r="AE31" s="164">
        <f t="shared" ref="AE31:AE35" si="95">DO19*$DP$19</f>
        <v>0</v>
      </c>
      <c r="AF31" s="164">
        <f t="shared" ref="AF31:AF35" si="96">DQ19*$DR$19</f>
        <v>0</v>
      </c>
      <c r="AG31" s="164">
        <f t="shared" ref="AG31:AG35" si="97">DS19*$DT$19</f>
        <v>0</v>
      </c>
      <c r="AH31" s="164">
        <f t="shared" ref="AH31:AH35" si="98">DU19*$DV$19</f>
        <v>0</v>
      </c>
      <c r="AI31" s="164">
        <f t="shared" ref="AI31:AI35" si="99">DW19*$DX$19</f>
        <v>0</v>
      </c>
      <c r="AJ31" s="164">
        <f t="shared" ref="AJ31:AJ35" si="100">DY19*$DZ$19</f>
        <v>0</v>
      </c>
      <c r="AK31" s="164">
        <f t="shared" ref="AK31:AK35" si="101">EA19*$EB$19</f>
        <v>0</v>
      </c>
      <c r="AL31" s="164">
        <f t="shared" ref="AL31:AL35" si="102">EC19*$ED$19</f>
        <v>0</v>
      </c>
      <c r="AM31" s="164">
        <f t="shared" ref="AM31:AM35" si="103">EE19*$EF$19</f>
        <v>0</v>
      </c>
      <c r="AN31" s="164">
        <f t="shared" ref="AN31:AN35" si="104">EG19*$EH$19</f>
        <v>0</v>
      </c>
      <c r="AO31" s="277">
        <f t="shared" ref="AO31:AO35" si="105">SUM(C31:AN31)</f>
        <v>287531.124</v>
      </c>
      <c r="AP31" s="277">
        <f>AO31/'SUIVI RABAIS PRODUCTION ET C '!D9</f>
        <v>890.1892384</v>
      </c>
    </row>
    <row r="32" ht="15.75" customHeight="1">
      <c r="B32" s="166" t="s">
        <v>178</v>
      </c>
      <c r="C32" s="166">
        <f t="shared" si="67"/>
        <v>0</v>
      </c>
      <c r="D32" s="166">
        <f t="shared" si="68"/>
        <v>15959.4</v>
      </c>
      <c r="E32" s="166">
        <f t="shared" si="69"/>
        <v>0</v>
      </c>
      <c r="F32" s="166">
        <f t="shared" si="70"/>
        <v>188622</v>
      </c>
      <c r="G32" s="166">
        <f t="shared" si="71"/>
        <v>0</v>
      </c>
      <c r="H32" s="166">
        <f t="shared" si="72"/>
        <v>0</v>
      </c>
      <c r="I32" s="166">
        <f t="shared" si="73"/>
        <v>17617.5</v>
      </c>
      <c r="J32" s="166">
        <f t="shared" si="74"/>
        <v>0</v>
      </c>
      <c r="K32" s="166">
        <f t="shared" si="75"/>
        <v>0</v>
      </c>
      <c r="L32" s="166">
        <f t="shared" si="76"/>
        <v>0</v>
      </c>
      <c r="M32" s="166">
        <f t="shared" si="77"/>
        <v>16440</v>
      </c>
      <c r="N32" s="166">
        <f t="shared" si="78"/>
        <v>0</v>
      </c>
      <c r="O32" s="166">
        <f t="shared" si="79"/>
        <v>0</v>
      </c>
      <c r="P32" s="166">
        <f t="shared" si="80"/>
        <v>0</v>
      </c>
      <c r="Q32" s="166">
        <f t="shared" si="81"/>
        <v>0</v>
      </c>
      <c r="R32" s="166">
        <f t="shared" si="82"/>
        <v>0</v>
      </c>
      <c r="S32" s="166">
        <f t="shared" si="83"/>
        <v>0</v>
      </c>
      <c r="T32" s="166">
        <f t="shared" si="84"/>
        <v>14752.056</v>
      </c>
      <c r="U32" s="166">
        <f t="shared" si="85"/>
        <v>0</v>
      </c>
      <c r="V32" s="166">
        <f t="shared" si="86"/>
        <v>0</v>
      </c>
      <c r="W32" s="166">
        <f t="shared" si="87"/>
        <v>0</v>
      </c>
      <c r="X32" s="164">
        <f t="shared" si="88"/>
        <v>0</v>
      </c>
      <c r="Y32" s="166">
        <f t="shared" si="89"/>
        <v>0</v>
      </c>
      <c r="Z32" s="164">
        <f t="shared" si="90"/>
        <v>0</v>
      </c>
      <c r="AA32" s="164">
        <f t="shared" si="91"/>
        <v>0</v>
      </c>
      <c r="AB32" s="164">
        <f t="shared" si="92"/>
        <v>0</v>
      </c>
      <c r="AC32" s="164">
        <f t="shared" si="93"/>
        <v>0</v>
      </c>
      <c r="AD32" s="164">
        <f t="shared" si="94"/>
        <v>0</v>
      </c>
      <c r="AE32" s="164">
        <f t="shared" si="95"/>
        <v>0</v>
      </c>
      <c r="AF32" s="164">
        <f t="shared" si="96"/>
        <v>0</v>
      </c>
      <c r="AG32" s="164">
        <f t="shared" si="97"/>
        <v>0</v>
      </c>
      <c r="AH32" s="164">
        <f t="shared" si="98"/>
        <v>0</v>
      </c>
      <c r="AI32" s="164">
        <f t="shared" si="99"/>
        <v>105150</v>
      </c>
      <c r="AJ32" s="164">
        <f t="shared" si="100"/>
        <v>0</v>
      </c>
      <c r="AK32" s="164">
        <f t="shared" si="101"/>
        <v>0</v>
      </c>
      <c r="AL32" s="164">
        <f t="shared" si="102"/>
        <v>0</v>
      </c>
      <c r="AM32" s="164">
        <f t="shared" si="103"/>
        <v>0</v>
      </c>
      <c r="AN32" s="164">
        <f t="shared" si="104"/>
        <v>0</v>
      </c>
      <c r="AO32" s="277">
        <f t="shared" si="105"/>
        <v>358540.956</v>
      </c>
      <c r="AP32" s="277">
        <f>AO32/'SUIVI RABAIS PRODUCTION ET C '!E9</f>
        <v>1110.03392</v>
      </c>
    </row>
    <row r="33" ht="15.75" customHeight="1">
      <c r="B33" s="166" t="s">
        <v>179</v>
      </c>
      <c r="C33" s="166">
        <f t="shared" si="67"/>
        <v>0</v>
      </c>
      <c r="D33" s="166">
        <f t="shared" si="68"/>
        <v>37238.6</v>
      </c>
      <c r="E33" s="166">
        <f t="shared" si="69"/>
        <v>0</v>
      </c>
      <c r="F33" s="166">
        <f t="shared" si="70"/>
        <v>267963</v>
      </c>
      <c r="G33" s="166">
        <f t="shared" si="71"/>
        <v>0</v>
      </c>
      <c r="H33" s="166">
        <f t="shared" si="72"/>
        <v>0</v>
      </c>
      <c r="I33" s="166">
        <f t="shared" si="73"/>
        <v>18922.5</v>
      </c>
      <c r="J33" s="166">
        <f t="shared" si="74"/>
        <v>0</v>
      </c>
      <c r="K33" s="166">
        <f t="shared" si="75"/>
        <v>0</v>
      </c>
      <c r="L33" s="166">
        <f t="shared" si="76"/>
        <v>0</v>
      </c>
      <c r="M33" s="166">
        <f t="shared" si="77"/>
        <v>2740</v>
      </c>
      <c r="N33" s="166">
        <f t="shared" si="78"/>
        <v>0</v>
      </c>
      <c r="O33" s="166">
        <f t="shared" si="79"/>
        <v>0</v>
      </c>
      <c r="P33" s="166">
        <f t="shared" si="80"/>
        <v>0</v>
      </c>
      <c r="Q33" s="166">
        <f t="shared" si="81"/>
        <v>0</v>
      </c>
      <c r="R33" s="166">
        <f t="shared" si="82"/>
        <v>0</v>
      </c>
      <c r="S33" s="166">
        <f t="shared" si="83"/>
        <v>0</v>
      </c>
      <c r="T33" s="166">
        <f t="shared" si="84"/>
        <v>13509.57</v>
      </c>
      <c r="U33" s="166">
        <f t="shared" si="85"/>
        <v>0</v>
      </c>
      <c r="V33" s="166">
        <f t="shared" si="86"/>
        <v>0</v>
      </c>
      <c r="W33" s="166">
        <f t="shared" si="87"/>
        <v>0</v>
      </c>
      <c r="X33" s="164">
        <f t="shared" si="88"/>
        <v>0</v>
      </c>
      <c r="Y33" s="166">
        <f t="shared" si="89"/>
        <v>0</v>
      </c>
      <c r="Z33" s="164">
        <f t="shared" si="90"/>
        <v>0</v>
      </c>
      <c r="AA33" s="164">
        <f t="shared" si="91"/>
        <v>0</v>
      </c>
      <c r="AB33" s="164">
        <f t="shared" si="92"/>
        <v>0</v>
      </c>
      <c r="AC33" s="164">
        <f t="shared" si="93"/>
        <v>0</v>
      </c>
      <c r="AD33" s="164">
        <f t="shared" si="94"/>
        <v>0</v>
      </c>
      <c r="AE33" s="164">
        <f t="shared" si="95"/>
        <v>0</v>
      </c>
      <c r="AF33" s="164">
        <f t="shared" si="96"/>
        <v>0</v>
      </c>
      <c r="AG33" s="164">
        <f t="shared" si="97"/>
        <v>0</v>
      </c>
      <c r="AH33" s="164">
        <f t="shared" si="98"/>
        <v>0</v>
      </c>
      <c r="AI33" s="164">
        <f t="shared" si="99"/>
        <v>101645</v>
      </c>
      <c r="AJ33" s="164">
        <f t="shared" si="100"/>
        <v>0</v>
      </c>
      <c r="AK33" s="164">
        <f t="shared" si="101"/>
        <v>0</v>
      </c>
      <c r="AL33" s="164">
        <f t="shared" si="102"/>
        <v>0</v>
      </c>
      <c r="AM33" s="164">
        <f t="shared" si="103"/>
        <v>0</v>
      </c>
      <c r="AN33" s="164">
        <f t="shared" si="104"/>
        <v>0</v>
      </c>
      <c r="AO33" s="277">
        <f t="shared" si="105"/>
        <v>442018.67</v>
      </c>
      <c r="AP33" s="277">
        <f>AO33/'SUIVI RABAIS PRODUCTION ET C '!F9</f>
        <v>1327.383393</v>
      </c>
    </row>
    <row r="34" ht="15.75" customHeight="1">
      <c r="B34" s="166" t="s">
        <v>180</v>
      </c>
      <c r="C34" s="166">
        <f t="shared" si="67"/>
        <v>0</v>
      </c>
      <c r="D34" s="166">
        <f t="shared" si="68"/>
        <v>22609.15</v>
      </c>
      <c r="E34" s="166">
        <f t="shared" si="69"/>
        <v>0</v>
      </c>
      <c r="F34" s="166">
        <f t="shared" si="70"/>
        <v>134730</v>
      </c>
      <c r="G34" s="166">
        <f t="shared" si="71"/>
        <v>0</v>
      </c>
      <c r="H34" s="166">
        <f t="shared" si="72"/>
        <v>0</v>
      </c>
      <c r="I34" s="166">
        <f t="shared" si="73"/>
        <v>11745</v>
      </c>
      <c r="J34" s="166">
        <f t="shared" si="74"/>
        <v>0</v>
      </c>
      <c r="K34" s="166">
        <f t="shared" si="75"/>
        <v>0</v>
      </c>
      <c r="L34" s="166">
        <f t="shared" si="76"/>
        <v>0</v>
      </c>
      <c r="M34" s="166">
        <f t="shared" si="77"/>
        <v>3288</v>
      </c>
      <c r="N34" s="166">
        <f t="shared" si="78"/>
        <v>0</v>
      </c>
      <c r="O34" s="166">
        <f t="shared" si="79"/>
        <v>0</v>
      </c>
      <c r="P34" s="166">
        <f t="shared" si="80"/>
        <v>0</v>
      </c>
      <c r="Q34" s="166">
        <f t="shared" si="81"/>
        <v>0</v>
      </c>
      <c r="R34" s="166">
        <f t="shared" si="82"/>
        <v>0</v>
      </c>
      <c r="S34" s="166">
        <f t="shared" si="83"/>
        <v>0</v>
      </c>
      <c r="T34" s="166">
        <f t="shared" si="84"/>
        <v>11921.949</v>
      </c>
      <c r="U34" s="166">
        <f t="shared" si="85"/>
        <v>0</v>
      </c>
      <c r="V34" s="166">
        <f t="shared" si="86"/>
        <v>0</v>
      </c>
      <c r="W34" s="166">
        <f t="shared" si="87"/>
        <v>0</v>
      </c>
      <c r="X34" s="164">
        <f t="shared" si="88"/>
        <v>0</v>
      </c>
      <c r="Y34" s="166">
        <f t="shared" si="89"/>
        <v>0</v>
      </c>
      <c r="Z34" s="164">
        <f t="shared" si="90"/>
        <v>0</v>
      </c>
      <c r="AA34" s="164">
        <f t="shared" si="91"/>
        <v>0</v>
      </c>
      <c r="AB34" s="164">
        <f t="shared" si="92"/>
        <v>0</v>
      </c>
      <c r="AC34" s="164">
        <f t="shared" si="93"/>
        <v>0</v>
      </c>
      <c r="AD34" s="164">
        <f t="shared" si="94"/>
        <v>0</v>
      </c>
      <c r="AE34" s="164">
        <f t="shared" si="95"/>
        <v>0</v>
      </c>
      <c r="AF34" s="164">
        <f t="shared" si="96"/>
        <v>0</v>
      </c>
      <c r="AG34" s="164">
        <f t="shared" si="97"/>
        <v>0</v>
      </c>
      <c r="AH34" s="164">
        <f t="shared" si="98"/>
        <v>0</v>
      </c>
      <c r="AI34" s="164">
        <f t="shared" si="99"/>
        <v>0</v>
      </c>
      <c r="AJ34" s="164">
        <f t="shared" si="100"/>
        <v>0</v>
      </c>
      <c r="AK34" s="164">
        <f t="shared" si="101"/>
        <v>0</v>
      </c>
      <c r="AL34" s="164">
        <f t="shared" si="102"/>
        <v>0</v>
      </c>
      <c r="AM34" s="164">
        <f t="shared" si="103"/>
        <v>0</v>
      </c>
      <c r="AN34" s="164">
        <f t="shared" si="104"/>
        <v>0</v>
      </c>
      <c r="AO34" s="277">
        <f t="shared" si="105"/>
        <v>184294.099</v>
      </c>
      <c r="AP34" s="277">
        <f>AO34/'SUIVI RABAIS PRODUCTION ET C '!G9</f>
        <v>553.4357327</v>
      </c>
    </row>
    <row r="35" ht="15.75" customHeight="1">
      <c r="B35" s="166" t="s">
        <v>181</v>
      </c>
      <c r="C35" s="166">
        <f t="shared" si="67"/>
        <v>0</v>
      </c>
      <c r="D35" s="166">
        <f t="shared" si="68"/>
        <v>0</v>
      </c>
      <c r="E35" s="166">
        <f t="shared" si="69"/>
        <v>0</v>
      </c>
      <c r="F35" s="166">
        <f t="shared" si="70"/>
        <v>0</v>
      </c>
      <c r="G35" s="166">
        <f t="shared" si="71"/>
        <v>0</v>
      </c>
      <c r="H35" s="166">
        <f t="shared" si="72"/>
        <v>0</v>
      </c>
      <c r="I35" s="166">
        <f t="shared" si="73"/>
        <v>0</v>
      </c>
      <c r="J35" s="166">
        <f t="shared" si="74"/>
        <v>0</v>
      </c>
      <c r="K35" s="166">
        <f t="shared" si="75"/>
        <v>0</v>
      </c>
      <c r="L35" s="166">
        <f t="shared" si="76"/>
        <v>0</v>
      </c>
      <c r="M35" s="166">
        <f t="shared" si="77"/>
        <v>0</v>
      </c>
      <c r="N35" s="166">
        <f t="shared" si="78"/>
        <v>0</v>
      </c>
      <c r="O35" s="166">
        <f t="shared" si="79"/>
        <v>0</v>
      </c>
      <c r="P35" s="166">
        <f t="shared" si="80"/>
        <v>0</v>
      </c>
      <c r="Q35" s="166">
        <f t="shared" si="81"/>
        <v>0</v>
      </c>
      <c r="R35" s="166">
        <f t="shared" si="82"/>
        <v>0</v>
      </c>
      <c r="S35" s="166">
        <f t="shared" si="83"/>
        <v>0</v>
      </c>
      <c r="T35" s="166">
        <f t="shared" si="84"/>
        <v>0</v>
      </c>
      <c r="U35" s="166">
        <f t="shared" si="85"/>
        <v>0</v>
      </c>
      <c r="V35" s="166">
        <f t="shared" si="86"/>
        <v>0</v>
      </c>
      <c r="W35" s="166">
        <f t="shared" si="87"/>
        <v>0</v>
      </c>
      <c r="X35" s="164">
        <f t="shared" si="88"/>
        <v>0</v>
      </c>
      <c r="Y35" s="166">
        <f t="shared" si="89"/>
        <v>0</v>
      </c>
      <c r="Z35" s="164">
        <f t="shared" si="90"/>
        <v>0</v>
      </c>
      <c r="AA35" s="164">
        <f t="shared" si="91"/>
        <v>0</v>
      </c>
      <c r="AB35" s="164">
        <f t="shared" si="92"/>
        <v>0</v>
      </c>
      <c r="AC35" s="164">
        <f t="shared" si="93"/>
        <v>0</v>
      </c>
      <c r="AD35" s="164">
        <f t="shared" si="94"/>
        <v>0</v>
      </c>
      <c r="AE35" s="164">
        <f t="shared" si="95"/>
        <v>0</v>
      </c>
      <c r="AF35" s="164">
        <f t="shared" si="96"/>
        <v>0</v>
      </c>
      <c r="AG35" s="164">
        <f t="shared" si="97"/>
        <v>0</v>
      </c>
      <c r="AH35" s="164">
        <f t="shared" si="98"/>
        <v>0</v>
      </c>
      <c r="AI35" s="164">
        <f t="shared" si="99"/>
        <v>0</v>
      </c>
      <c r="AJ35" s="164">
        <f t="shared" si="100"/>
        <v>0</v>
      </c>
      <c r="AK35" s="164">
        <f t="shared" si="101"/>
        <v>0</v>
      </c>
      <c r="AL35" s="164">
        <f t="shared" si="102"/>
        <v>0</v>
      </c>
      <c r="AM35" s="164">
        <f t="shared" si="103"/>
        <v>0</v>
      </c>
      <c r="AN35" s="164">
        <f t="shared" si="104"/>
        <v>0</v>
      </c>
      <c r="AO35" s="277">
        <f t="shared" si="105"/>
        <v>0</v>
      </c>
      <c r="AP35" s="277">
        <f>AO35/'SUIVI RABAIS PRODUCTION ET C '!H9</f>
        <v>0</v>
      </c>
      <c r="DE35" s="278"/>
    </row>
    <row r="36" ht="15.75" customHeight="1">
      <c r="B36" s="256" t="s">
        <v>231</v>
      </c>
      <c r="C36" s="256">
        <f t="shared" ref="C36:AO36" si="106">SUM(C31:C35)</f>
        <v>0</v>
      </c>
      <c r="D36" s="256">
        <f t="shared" si="106"/>
        <v>95756.4</v>
      </c>
      <c r="E36" s="256">
        <f t="shared" si="106"/>
        <v>0</v>
      </c>
      <c r="F36" s="256">
        <f t="shared" si="106"/>
        <v>826344</v>
      </c>
      <c r="G36" s="256">
        <f t="shared" si="106"/>
        <v>0</v>
      </c>
      <c r="H36" s="256">
        <f t="shared" si="106"/>
        <v>0</v>
      </c>
      <c r="I36" s="256">
        <f t="shared" si="106"/>
        <v>48285</v>
      </c>
      <c r="J36" s="256">
        <f t="shared" si="106"/>
        <v>0</v>
      </c>
      <c r="K36" s="256">
        <f t="shared" si="106"/>
        <v>0</v>
      </c>
      <c r="L36" s="256">
        <f t="shared" si="106"/>
        <v>0</v>
      </c>
      <c r="M36" s="256">
        <f t="shared" si="106"/>
        <v>38908</v>
      </c>
      <c r="N36" s="256">
        <f t="shared" si="106"/>
        <v>0</v>
      </c>
      <c r="O36" s="256">
        <f t="shared" si="106"/>
        <v>0</v>
      </c>
      <c r="P36" s="256">
        <f t="shared" si="106"/>
        <v>0</v>
      </c>
      <c r="Q36" s="256">
        <f t="shared" si="106"/>
        <v>0</v>
      </c>
      <c r="R36" s="256">
        <f t="shared" si="106"/>
        <v>0</v>
      </c>
      <c r="S36" s="256">
        <f t="shared" si="106"/>
        <v>0</v>
      </c>
      <c r="T36" s="256">
        <f t="shared" si="106"/>
        <v>56296.449</v>
      </c>
      <c r="U36" s="256">
        <f t="shared" si="106"/>
        <v>0</v>
      </c>
      <c r="V36" s="256">
        <f t="shared" si="106"/>
        <v>0</v>
      </c>
      <c r="W36" s="256">
        <f t="shared" si="106"/>
        <v>0</v>
      </c>
      <c r="X36" s="256">
        <f t="shared" si="106"/>
        <v>0</v>
      </c>
      <c r="Y36" s="256">
        <f t="shared" si="106"/>
        <v>0</v>
      </c>
      <c r="Z36" s="256">
        <f t="shared" si="106"/>
        <v>0</v>
      </c>
      <c r="AA36" s="256">
        <f t="shared" si="106"/>
        <v>0</v>
      </c>
      <c r="AB36" s="256">
        <f t="shared" si="106"/>
        <v>0</v>
      </c>
      <c r="AC36" s="256">
        <f t="shared" si="106"/>
        <v>0</v>
      </c>
      <c r="AD36" s="256">
        <f t="shared" si="106"/>
        <v>0</v>
      </c>
      <c r="AE36" s="256">
        <f t="shared" si="106"/>
        <v>0</v>
      </c>
      <c r="AF36" s="256">
        <f t="shared" si="106"/>
        <v>0</v>
      </c>
      <c r="AG36" s="256">
        <f t="shared" si="106"/>
        <v>0</v>
      </c>
      <c r="AH36" s="256">
        <f t="shared" si="106"/>
        <v>0</v>
      </c>
      <c r="AI36" s="256">
        <f t="shared" si="106"/>
        <v>206795</v>
      </c>
      <c r="AJ36" s="256">
        <f t="shared" si="106"/>
        <v>0</v>
      </c>
      <c r="AK36" s="256">
        <f t="shared" si="106"/>
        <v>0</v>
      </c>
      <c r="AL36" s="256">
        <f t="shared" si="106"/>
        <v>0</v>
      </c>
      <c r="AM36" s="256">
        <f t="shared" si="106"/>
        <v>0</v>
      </c>
      <c r="AN36" s="256">
        <f t="shared" si="106"/>
        <v>0</v>
      </c>
      <c r="AO36" s="279">
        <f t="shared" si="106"/>
        <v>1272384.849</v>
      </c>
    </row>
    <row r="37" ht="15.75" customHeight="1">
      <c r="G37" s="113">
        <f>SUM(E19,I19,M19,Q19,U19,Y19,BD19,BS19,CC19)</f>
        <v>52125</v>
      </c>
    </row>
    <row r="38" ht="15.75" customHeight="1">
      <c r="B38" s="280" t="s">
        <v>241</v>
      </c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0"/>
      <c r="Z38" s="280"/>
      <c r="AA38" s="280"/>
      <c r="AB38" s="280"/>
      <c r="AC38" s="280"/>
      <c r="AD38" s="280"/>
      <c r="AE38" s="280"/>
      <c r="AF38" s="280"/>
      <c r="AG38" s="280"/>
      <c r="AH38" s="280"/>
      <c r="AI38" s="280"/>
      <c r="AJ38" s="280"/>
      <c r="AK38" s="280"/>
      <c r="AL38" s="280"/>
      <c r="AM38" s="280"/>
      <c r="AN38" s="280"/>
      <c r="AO38" s="280"/>
      <c r="AP38" s="280"/>
      <c r="AQ38" s="280"/>
      <c r="AR38" s="280"/>
      <c r="AS38" s="280"/>
      <c r="AT38" s="280"/>
      <c r="AU38" s="280"/>
      <c r="AV38" s="280"/>
      <c r="AW38" s="280"/>
      <c r="AX38" s="280"/>
    </row>
    <row r="39" ht="15.0" customHeight="1">
      <c r="B39" s="186"/>
      <c r="C39" s="281" t="s">
        <v>242</v>
      </c>
      <c r="D39" s="162"/>
      <c r="E39" s="162"/>
      <c r="F39" s="163"/>
      <c r="G39" s="281" t="s">
        <v>243</v>
      </c>
      <c r="H39" s="162"/>
      <c r="I39" s="162"/>
      <c r="J39" s="163"/>
      <c r="K39" s="282" t="s">
        <v>244</v>
      </c>
      <c r="L39" s="162"/>
      <c r="M39" s="162"/>
      <c r="N39" s="163"/>
      <c r="O39" s="283" t="s">
        <v>164</v>
      </c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3"/>
      <c r="AA39" s="283" t="s">
        <v>234</v>
      </c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3"/>
      <c r="AU39" s="284" t="s">
        <v>235</v>
      </c>
      <c r="AV39" s="273" t="s">
        <v>245</v>
      </c>
    </row>
    <row r="40" ht="45.0" customHeight="1">
      <c r="B40" s="196"/>
      <c r="C40" s="285" t="s">
        <v>246</v>
      </c>
      <c r="D40" s="285" t="s">
        <v>247</v>
      </c>
      <c r="E40" s="285" t="s">
        <v>248</v>
      </c>
      <c r="F40" s="285" t="s">
        <v>249</v>
      </c>
      <c r="G40" s="285" t="s">
        <v>250</v>
      </c>
      <c r="H40" s="285" t="s">
        <v>247</v>
      </c>
      <c r="I40" s="285" t="s">
        <v>248</v>
      </c>
      <c r="J40" s="285" t="s">
        <v>249</v>
      </c>
      <c r="K40" s="285" t="s">
        <v>251</v>
      </c>
      <c r="L40" s="285" t="s">
        <v>252</v>
      </c>
      <c r="M40" s="285" t="s">
        <v>253</v>
      </c>
      <c r="N40" s="285" t="s">
        <v>252</v>
      </c>
      <c r="O40" s="286" t="s">
        <v>254</v>
      </c>
      <c r="P40" s="286" t="s">
        <v>255</v>
      </c>
      <c r="Q40" s="286" t="s">
        <v>256</v>
      </c>
      <c r="R40" s="286" t="s">
        <v>255</v>
      </c>
      <c r="S40" s="286" t="s">
        <v>257</v>
      </c>
      <c r="T40" s="286" t="s">
        <v>255</v>
      </c>
      <c r="U40" s="286" t="s">
        <v>258</v>
      </c>
      <c r="V40" s="286" t="s">
        <v>255</v>
      </c>
      <c r="W40" s="286" t="s">
        <v>259</v>
      </c>
      <c r="X40" s="286" t="s">
        <v>255</v>
      </c>
      <c r="Y40" s="286" t="s">
        <v>260</v>
      </c>
      <c r="Z40" s="286" t="s">
        <v>255</v>
      </c>
      <c r="AA40" s="285" t="s">
        <v>261</v>
      </c>
      <c r="AB40" s="285" t="s">
        <v>255</v>
      </c>
      <c r="AC40" s="285" t="s">
        <v>262</v>
      </c>
      <c r="AD40" s="285" t="s">
        <v>255</v>
      </c>
      <c r="AE40" s="285" t="s">
        <v>263</v>
      </c>
      <c r="AF40" s="285" t="s">
        <v>255</v>
      </c>
      <c r="AG40" s="285" t="s">
        <v>264</v>
      </c>
      <c r="AH40" s="285" t="s">
        <v>255</v>
      </c>
      <c r="AI40" s="285" t="s">
        <v>265</v>
      </c>
      <c r="AJ40" s="285" t="s">
        <v>255</v>
      </c>
      <c r="AK40" s="285" t="s">
        <v>266</v>
      </c>
      <c r="AL40" s="285" t="s">
        <v>255</v>
      </c>
      <c r="AM40" s="285" t="s">
        <v>267</v>
      </c>
      <c r="AN40" s="285" t="s">
        <v>255</v>
      </c>
      <c r="AO40" s="285" t="s">
        <v>268</v>
      </c>
      <c r="AP40" s="285" t="s">
        <v>255</v>
      </c>
      <c r="AQ40" s="285" t="s">
        <v>269</v>
      </c>
      <c r="AR40" s="285" t="s">
        <v>255</v>
      </c>
      <c r="AS40" s="285" t="s">
        <v>270</v>
      </c>
      <c r="AT40" s="285" t="s">
        <v>255</v>
      </c>
      <c r="AU40" s="219"/>
      <c r="AV40" s="219"/>
    </row>
    <row r="41" ht="15.0" customHeight="1">
      <c r="B41" s="164" t="s">
        <v>177</v>
      </c>
      <c r="C41" s="166">
        <f t="shared" ref="C41:C45" si="107">E19+I19+M19+Q19+U19+Y19+BD19+BS19+CC19</f>
        <v>52125</v>
      </c>
      <c r="D41" s="287">
        <f t="shared" ref="D41:D45" si="108">C41*$I$49*$I$58</f>
        <v>347301.4286</v>
      </c>
      <c r="E41" s="166">
        <f t="shared" ref="E41:E45" si="109">(C41*$I$51+C41*$I$53)*$I$58</f>
        <v>81181.70893</v>
      </c>
      <c r="F41" s="288">
        <f t="shared" ref="F41:F45" si="110">SUM(D41:E41)</f>
        <v>428483.1375</v>
      </c>
      <c r="G41" s="289"/>
      <c r="H41" s="288">
        <f t="shared" ref="H41:H45" si="111">G41*$I$50*$I$58</f>
        <v>0</v>
      </c>
      <c r="I41" s="288">
        <f t="shared" ref="I41:I45" si="112">(G41*I52*+G41*I53)*$I$58</f>
        <v>0</v>
      </c>
      <c r="J41" s="288">
        <f t="shared" ref="J41:J45" si="113">SUM(H41:I41)</f>
        <v>0</v>
      </c>
      <c r="K41" s="166">
        <f t="shared" ref="K41:K45" si="114">CM19+CQ19</f>
        <v>0</v>
      </c>
      <c r="L41" s="290">
        <f t="shared" ref="L41:L45" si="115">K41*$I$54</f>
        <v>0</v>
      </c>
      <c r="M41" s="164">
        <f t="shared" ref="M41:M45" si="116">CU19</f>
        <v>0</v>
      </c>
      <c r="N41" s="290">
        <f t="shared" ref="N41:N45" si="117">M41*$I$55</f>
        <v>0</v>
      </c>
      <c r="O41" s="166">
        <f t="shared" ref="O41:O45" si="118">$C$65/1000*DC19</f>
        <v>0</v>
      </c>
      <c r="P41" s="290">
        <f t="shared" ref="P41:P45" si="119">O41*$I$50+O41*$I$52+O41*$I$53</f>
        <v>0</v>
      </c>
      <c r="Q41" s="290">
        <f t="shared" ref="Q41:Q45" si="120">DE19*$D$65/1000</f>
        <v>0</v>
      </c>
      <c r="R41" s="290">
        <f t="shared" ref="R41:R45" si="121">Q41*$I$50+Q41*$I$52+Q41*$I$53</f>
        <v>0</v>
      </c>
      <c r="S41" s="290">
        <f t="shared" ref="S41:S45" si="122">DG19*$E$65/1000</f>
        <v>0</v>
      </c>
      <c r="T41" s="290">
        <f t="shared" ref="T41:T45" si="123">S41*$I$50+S41*$I$52+S41*$I$53</f>
        <v>0</v>
      </c>
      <c r="U41" s="290">
        <f t="shared" ref="U41:U45" si="124">DI19*$F$65/1000</f>
        <v>0</v>
      </c>
      <c r="V41" s="290">
        <f t="shared" ref="V41:V45" si="125">U41*$I$50+U41*$I$52+U41*$I$53</f>
        <v>0</v>
      </c>
      <c r="W41" s="290">
        <f t="shared" ref="W41:W45" si="126">DK19*$G$65/1000</f>
        <v>0</v>
      </c>
      <c r="X41" s="290">
        <f t="shared" ref="X41:X45" si="127">W41*$I$50+W41*$I$52+W41*$I$53</f>
        <v>0</v>
      </c>
      <c r="Y41" s="164">
        <f t="shared" ref="Y41:Y45" si="128">DM19*$H$65/1000</f>
        <v>0</v>
      </c>
      <c r="Z41" s="291">
        <f t="shared" ref="Z41:Z45" si="129">Y41*$I$50+Y41*$I$52+Y41*$I$53</f>
        <v>0</v>
      </c>
      <c r="AA41" s="164">
        <f t="shared" ref="AA41:AA45" si="130">DO19*1000*$I$65/1000</f>
        <v>0</v>
      </c>
      <c r="AB41" s="164">
        <f t="shared" ref="AB41:AB45" si="131">AA41*$I$50+AA41*$I$52+AA41*$I$53</f>
        <v>0</v>
      </c>
      <c r="AC41" s="164">
        <f t="shared" ref="AC41:AC45" si="132">DQ19*$J$65</f>
        <v>0</v>
      </c>
      <c r="AD41" s="164">
        <f t="shared" ref="AD41:AD45" si="133">AC41*$I$50+AC41*$I$52+AC41*$I$53</f>
        <v>0</v>
      </c>
      <c r="AE41" s="164">
        <f t="shared" ref="AE41:AE45" si="134">DS19*$K$65</f>
        <v>0</v>
      </c>
      <c r="AF41" s="164">
        <f t="shared" ref="AF41:AF45" si="135">AE41*$I$50+AE41*$I$52+AE41*$I$53</f>
        <v>0</v>
      </c>
      <c r="AG41" s="164">
        <f t="shared" ref="AG41:AG45" si="136">DU19*$L$65</f>
        <v>0</v>
      </c>
      <c r="AH41" s="164">
        <f t="shared" ref="AH41:AH45" si="137">AG41*$I$50+AG41*$I$52+AG41*$I$53</f>
        <v>0</v>
      </c>
      <c r="AI41" s="164">
        <f t="shared" ref="AI41:AI45" si="138">DW19*$M$65</f>
        <v>0</v>
      </c>
      <c r="AJ41" s="164">
        <f t="shared" ref="AJ41:AJ45" si="139">AI41*$I$50+AI41*$I$52+AI41*$I$53</f>
        <v>0</v>
      </c>
      <c r="AK41" s="164">
        <f t="shared" ref="AK41:AK45" si="140">DY19*$N$65</f>
        <v>0</v>
      </c>
      <c r="AL41" s="164">
        <f t="shared" ref="AL41:AL45" si="141">AK41*$I$50+AK41*$I$52+AK41*$I$53</f>
        <v>0</v>
      </c>
      <c r="AM41" s="164">
        <f t="shared" ref="AM41:AM45" si="142">EA19*$O$65</f>
        <v>0</v>
      </c>
      <c r="AN41" s="164">
        <f t="shared" ref="AN41:AN45" si="143">AM41*$I$50+AM41*$I$52+AM41*$I$53</f>
        <v>0</v>
      </c>
      <c r="AO41" s="164">
        <f t="shared" ref="AO41:AO45" si="144">EC19*$P$65</f>
        <v>0</v>
      </c>
      <c r="AP41" s="164">
        <f t="shared" ref="AP41:AP45" si="145">AO41*$I$50+AO41*$I$52+AO41*$I$53</f>
        <v>0</v>
      </c>
      <c r="AQ41" s="164">
        <f t="shared" ref="AQ41:AQ45" si="146">EE19*$Q$65</f>
        <v>0</v>
      </c>
      <c r="AR41" s="164">
        <f t="shared" ref="AR41:AR45" si="147">AQ41*$I$50+AQ41*$I$52+AQ41*$I$53</f>
        <v>0</v>
      </c>
      <c r="AS41" s="164">
        <f t="shared" ref="AS41:AS45" si="148">EG19*$R$65</f>
        <v>0</v>
      </c>
      <c r="AT41" s="164">
        <f t="shared" ref="AT41:AT45" si="149">AS41*$I$50+AS41*$I$52+AS41*$I$53</f>
        <v>0</v>
      </c>
      <c r="AU41" s="292">
        <f t="shared" ref="AU41:AU45" si="150">F41+J41+L41+N41+P41+R41+T41+V41+X41+Z41+AB41+AD41+AF41+AH41+AJ41+AL41+AN41+AP41+AR41+AT41</f>
        <v>428483.1375</v>
      </c>
      <c r="AV41" s="293">
        <f>AU41/'SUIVI RABAIS PRODUCTION ET C '!D9</f>
        <v>1326.573181</v>
      </c>
      <c r="AX41" s="294" t="s">
        <v>271</v>
      </c>
      <c r="AY41" s="12"/>
      <c r="AZ41" s="13"/>
    </row>
    <row r="42" ht="15.0" customHeight="1">
      <c r="B42" s="164" t="s">
        <v>178</v>
      </c>
      <c r="C42" s="166">
        <f t="shared" si="107"/>
        <v>41820</v>
      </c>
      <c r="D42" s="287">
        <f t="shared" si="108"/>
        <v>278640.6857</v>
      </c>
      <c r="E42" s="166">
        <f t="shared" si="109"/>
        <v>65132.26029</v>
      </c>
      <c r="F42" s="288">
        <f t="shared" si="110"/>
        <v>343772.946</v>
      </c>
      <c r="G42" s="289"/>
      <c r="H42" s="288">
        <f t="shared" si="111"/>
        <v>0</v>
      </c>
      <c r="I42" s="288">
        <f t="shared" si="112"/>
        <v>0</v>
      </c>
      <c r="J42" s="288">
        <f t="shared" si="113"/>
        <v>0</v>
      </c>
      <c r="K42" s="166">
        <f t="shared" si="114"/>
        <v>0</v>
      </c>
      <c r="L42" s="290">
        <f t="shared" si="115"/>
        <v>0</v>
      </c>
      <c r="M42" s="164">
        <f t="shared" si="116"/>
        <v>0</v>
      </c>
      <c r="N42" s="290">
        <f t="shared" si="117"/>
        <v>0</v>
      </c>
      <c r="O42" s="166">
        <f t="shared" si="118"/>
        <v>0</v>
      </c>
      <c r="P42" s="290">
        <f t="shared" si="119"/>
        <v>0</v>
      </c>
      <c r="Q42" s="290">
        <f t="shared" si="120"/>
        <v>0</v>
      </c>
      <c r="R42" s="290">
        <f t="shared" si="121"/>
        <v>0</v>
      </c>
      <c r="S42" s="290">
        <f t="shared" si="122"/>
        <v>0</v>
      </c>
      <c r="T42" s="290">
        <f t="shared" si="123"/>
        <v>0</v>
      </c>
      <c r="U42" s="290">
        <f t="shared" si="124"/>
        <v>0</v>
      </c>
      <c r="V42" s="290">
        <f t="shared" si="125"/>
        <v>0</v>
      </c>
      <c r="W42" s="290">
        <f t="shared" si="126"/>
        <v>0</v>
      </c>
      <c r="X42" s="290">
        <f t="shared" si="127"/>
        <v>0</v>
      </c>
      <c r="Y42" s="164">
        <f t="shared" si="128"/>
        <v>0</v>
      </c>
      <c r="Z42" s="291">
        <f t="shared" si="129"/>
        <v>0</v>
      </c>
      <c r="AA42" s="164">
        <f t="shared" si="130"/>
        <v>0</v>
      </c>
      <c r="AB42" s="164">
        <f t="shared" si="131"/>
        <v>0</v>
      </c>
      <c r="AC42" s="164">
        <f t="shared" si="132"/>
        <v>0</v>
      </c>
      <c r="AD42" s="164">
        <f t="shared" si="133"/>
        <v>0</v>
      </c>
      <c r="AE42" s="164">
        <f t="shared" si="134"/>
        <v>0</v>
      </c>
      <c r="AF42" s="164">
        <f t="shared" si="135"/>
        <v>0</v>
      </c>
      <c r="AG42" s="164">
        <f t="shared" si="136"/>
        <v>0</v>
      </c>
      <c r="AH42" s="164">
        <f t="shared" si="137"/>
        <v>0</v>
      </c>
      <c r="AI42" s="164">
        <f t="shared" si="138"/>
        <v>2121.75</v>
      </c>
      <c r="AJ42" s="164">
        <f t="shared" si="139"/>
        <v>35.80907786</v>
      </c>
      <c r="AK42" s="164">
        <f t="shared" si="140"/>
        <v>0</v>
      </c>
      <c r="AL42" s="164">
        <f t="shared" si="141"/>
        <v>0</v>
      </c>
      <c r="AM42" s="164">
        <f t="shared" si="142"/>
        <v>0</v>
      </c>
      <c r="AN42" s="164">
        <f t="shared" si="143"/>
        <v>0</v>
      </c>
      <c r="AO42" s="164">
        <f t="shared" si="144"/>
        <v>0</v>
      </c>
      <c r="AP42" s="164">
        <f t="shared" si="145"/>
        <v>0</v>
      </c>
      <c r="AQ42" s="164">
        <f t="shared" si="146"/>
        <v>0</v>
      </c>
      <c r="AR42" s="164">
        <f t="shared" si="147"/>
        <v>0</v>
      </c>
      <c r="AS42" s="164">
        <f t="shared" si="148"/>
        <v>0</v>
      </c>
      <c r="AT42" s="164">
        <f t="shared" si="149"/>
        <v>0</v>
      </c>
      <c r="AU42" s="292">
        <f t="shared" si="150"/>
        <v>343808.7551</v>
      </c>
      <c r="AV42" s="293">
        <f>AU42/'SUIVI RABAIS PRODUCTION ET C '!E9</f>
        <v>1064.42339</v>
      </c>
      <c r="AX42" s="51"/>
      <c r="AZ42" s="30"/>
    </row>
    <row r="43" ht="15.75" customHeight="1">
      <c r="B43" s="164" t="s">
        <v>179</v>
      </c>
      <c r="C43" s="166">
        <f t="shared" si="107"/>
        <v>63080</v>
      </c>
      <c r="D43" s="287">
        <f t="shared" si="108"/>
        <v>420293.0286</v>
      </c>
      <c r="E43" s="166">
        <f t="shared" si="109"/>
        <v>98243.49543</v>
      </c>
      <c r="F43" s="288">
        <f t="shared" si="110"/>
        <v>518536.524</v>
      </c>
      <c r="G43" s="289"/>
      <c r="H43" s="288">
        <f t="shared" si="111"/>
        <v>0</v>
      </c>
      <c r="I43" s="288">
        <f t="shared" si="112"/>
        <v>0</v>
      </c>
      <c r="J43" s="288">
        <f t="shared" si="113"/>
        <v>0</v>
      </c>
      <c r="K43" s="166">
        <f t="shared" si="114"/>
        <v>0</v>
      </c>
      <c r="L43" s="290">
        <f t="shared" si="115"/>
        <v>0</v>
      </c>
      <c r="M43" s="164">
        <f t="shared" si="116"/>
        <v>0</v>
      </c>
      <c r="N43" s="290">
        <f t="shared" si="117"/>
        <v>0</v>
      </c>
      <c r="O43" s="166">
        <f t="shared" si="118"/>
        <v>0</v>
      </c>
      <c r="P43" s="290">
        <f t="shared" si="119"/>
        <v>0</v>
      </c>
      <c r="Q43" s="290">
        <f t="shared" si="120"/>
        <v>0</v>
      </c>
      <c r="R43" s="290">
        <f t="shared" si="121"/>
        <v>0</v>
      </c>
      <c r="S43" s="290">
        <f t="shared" si="122"/>
        <v>0</v>
      </c>
      <c r="T43" s="290">
        <f t="shared" si="123"/>
        <v>0</v>
      </c>
      <c r="U43" s="290">
        <f t="shared" si="124"/>
        <v>0</v>
      </c>
      <c r="V43" s="290">
        <f t="shared" si="125"/>
        <v>0</v>
      </c>
      <c r="W43" s="290">
        <f t="shared" si="126"/>
        <v>0</v>
      </c>
      <c r="X43" s="290">
        <f t="shared" si="127"/>
        <v>0</v>
      </c>
      <c r="Y43" s="164">
        <f t="shared" si="128"/>
        <v>0</v>
      </c>
      <c r="Z43" s="291">
        <f t="shared" si="129"/>
        <v>0</v>
      </c>
      <c r="AA43" s="164">
        <f t="shared" si="130"/>
        <v>0</v>
      </c>
      <c r="AB43" s="164">
        <f t="shared" si="131"/>
        <v>0</v>
      </c>
      <c r="AC43" s="164">
        <f t="shared" si="132"/>
        <v>0</v>
      </c>
      <c r="AD43" s="164">
        <f t="shared" si="133"/>
        <v>0</v>
      </c>
      <c r="AE43" s="164">
        <f t="shared" si="134"/>
        <v>0</v>
      </c>
      <c r="AF43" s="164">
        <f t="shared" si="135"/>
        <v>0</v>
      </c>
      <c r="AG43" s="164">
        <f t="shared" si="136"/>
        <v>0</v>
      </c>
      <c r="AH43" s="164">
        <f t="shared" si="137"/>
        <v>0</v>
      </c>
      <c r="AI43" s="164">
        <f t="shared" si="138"/>
        <v>2051.025</v>
      </c>
      <c r="AJ43" s="164">
        <f t="shared" si="139"/>
        <v>34.61544193</v>
      </c>
      <c r="AK43" s="164">
        <f t="shared" si="140"/>
        <v>0</v>
      </c>
      <c r="AL43" s="164">
        <f t="shared" si="141"/>
        <v>0</v>
      </c>
      <c r="AM43" s="164">
        <f t="shared" si="142"/>
        <v>0</v>
      </c>
      <c r="AN43" s="164">
        <f t="shared" si="143"/>
        <v>0</v>
      </c>
      <c r="AO43" s="164">
        <f t="shared" si="144"/>
        <v>0</v>
      </c>
      <c r="AP43" s="164">
        <f t="shared" si="145"/>
        <v>0</v>
      </c>
      <c r="AQ43" s="164">
        <f t="shared" si="146"/>
        <v>0</v>
      </c>
      <c r="AR43" s="164">
        <f t="shared" si="147"/>
        <v>0</v>
      </c>
      <c r="AS43" s="164">
        <f t="shared" si="148"/>
        <v>0</v>
      </c>
      <c r="AT43" s="164">
        <f t="shared" si="149"/>
        <v>0</v>
      </c>
      <c r="AU43" s="292">
        <f t="shared" si="150"/>
        <v>518571.1394</v>
      </c>
      <c r="AV43" s="293">
        <f>AU43/'SUIVI RABAIS PRODUCTION ET C '!F9</f>
        <v>1557.270689</v>
      </c>
      <c r="AX43" s="51"/>
      <c r="AZ43" s="30"/>
    </row>
    <row r="44" ht="15.75" customHeight="1">
      <c r="B44" s="164" t="s">
        <v>180</v>
      </c>
      <c r="C44" s="166">
        <f t="shared" si="107"/>
        <v>32695</v>
      </c>
      <c r="D44" s="287">
        <f t="shared" si="108"/>
        <v>217842.1143</v>
      </c>
      <c r="E44" s="166">
        <f t="shared" si="109"/>
        <v>50920.59421</v>
      </c>
      <c r="F44" s="288">
        <f t="shared" si="110"/>
        <v>268762.7085</v>
      </c>
      <c r="G44" s="289"/>
      <c r="H44" s="288">
        <f t="shared" si="111"/>
        <v>0</v>
      </c>
      <c r="I44" s="288">
        <f t="shared" si="112"/>
        <v>0</v>
      </c>
      <c r="J44" s="288">
        <f t="shared" si="113"/>
        <v>0</v>
      </c>
      <c r="K44" s="166">
        <f t="shared" si="114"/>
        <v>0</v>
      </c>
      <c r="L44" s="290">
        <f t="shared" si="115"/>
        <v>0</v>
      </c>
      <c r="M44" s="164">
        <f t="shared" si="116"/>
        <v>0</v>
      </c>
      <c r="N44" s="290">
        <f t="shared" si="117"/>
        <v>0</v>
      </c>
      <c r="O44" s="166">
        <f t="shared" si="118"/>
        <v>0</v>
      </c>
      <c r="P44" s="290">
        <f t="shared" si="119"/>
        <v>0</v>
      </c>
      <c r="Q44" s="290">
        <f t="shared" si="120"/>
        <v>0</v>
      </c>
      <c r="R44" s="290">
        <f t="shared" si="121"/>
        <v>0</v>
      </c>
      <c r="S44" s="290">
        <f t="shared" si="122"/>
        <v>0</v>
      </c>
      <c r="T44" s="290">
        <f t="shared" si="123"/>
        <v>0</v>
      </c>
      <c r="U44" s="290">
        <f t="shared" si="124"/>
        <v>0</v>
      </c>
      <c r="V44" s="290">
        <f t="shared" si="125"/>
        <v>0</v>
      </c>
      <c r="W44" s="290">
        <f t="shared" si="126"/>
        <v>0</v>
      </c>
      <c r="X44" s="290">
        <f t="shared" si="127"/>
        <v>0</v>
      </c>
      <c r="Y44" s="164">
        <f t="shared" si="128"/>
        <v>0</v>
      </c>
      <c r="Z44" s="291">
        <f t="shared" si="129"/>
        <v>0</v>
      </c>
      <c r="AA44" s="164">
        <f t="shared" si="130"/>
        <v>0</v>
      </c>
      <c r="AB44" s="164">
        <f t="shared" si="131"/>
        <v>0</v>
      </c>
      <c r="AC44" s="164">
        <f t="shared" si="132"/>
        <v>0</v>
      </c>
      <c r="AD44" s="164">
        <f t="shared" si="133"/>
        <v>0</v>
      </c>
      <c r="AE44" s="164">
        <f t="shared" si="134"/>
        <v>0</v>
      </c>
      <c r="AF44" s="164">
        <f t="shared" si="135"/>
        <v>0</v>
      </c>
      <c r="AG44" s="164">
        <f t="shared" si="136"/>
        <v>0</v>
      </c>
      <c r="AH44" s="164">
        <f t="shared" si="137"/>
        <v>0</v>
      </c>
      <c r="AI44" s="164">
        <f t="shared" si="138"/>
        <v>0</v>
      </c>
      <c r="AJ44" s="164">
        <f t="shared" si="139"/>
        <v>0</v>
      </c>
      <c r="AK44" s="164">
        <f t="shared" si="140"/>
        <v>0</v>
      </c>
      <c r="AL44" s="164">
        <f t="shared" si="141"/>
        <v>0</v>
      </c>
      <c r="AM44" s="164">
        <f t="shared" si="142"/>
        <v>0</v>
      </c>
      <c r="AN44" s="164">
        <f t="shared" si="143"/>
        <v>0</v>
      </c>
      <c r="AO44" s="164">
        <f t="shared" si="144"/>
        <v>0</v>
      </c>
      <c r="AP44" s="164">
        <f t="shared" si="145"/>
        <v>0</v>
      </c>
      <c r="AQ44" s="164">
        <f t="shared" si="146"/>
        <v>0</v>
      </c>
      <c r="AR44" s="164">
        <f t="shared" si="147"/>
        <v>0</v>
      </c>
      <c r="AS44" s="164">
        <f t="shared" si="148"/>
        <v>0</v>
      </c>
      <c r="AT44" s="164">
        <f t="shared" si="149"/>
        <v>0</v>
      </c>
      <c r="AU44" s="292">
        <f t="shared" si="150"/>
        <v>268762.7085</v>
      </c>
      <c r="AV44" s="293">
        <f>AU44/'SUIVI RABAIS PRODUCTION ET C '!G9</f>
        <v>807.0952207</v>
      </c>
      <c r="AX44" s="295">
        <f>AU46+AO36</f>
        <v>2832010.59</v>
      </c>
      <c r="AY44" s="144" t="s">
        <v>272</v>
      </c>
      <c r="AZ44" s="296"/>
    </row>
    <row r="45" ht="15.75" customHeight="1">
      <c r="B45" s="164" t="s">
        <v>181</v>
      </c>
      <c r="C45" s="297">
        <f t="shared" si="107"/>
        <v>0</v>
      </c>
      <c r="D45" s="287">
        <f t="shared" si="108"/>
        <v>0</v>
      </c>
      <c r="E45" s="166">
        <f t="shared" si="109"/>
        <v>0</v>
      </c>
      <c r="F45" s="288">
        <f t="shared" si="110"/>
        <v>0</v>
      </c>
      <c r="G45" s="289"/>
      <c r="H45" s="288">
        <f t="shared" si="111"/>
        <v>0</v>
      </c>
      <c r="I45" s="288">
        <f t="shared" si="112"/>
        <v>0</v>
      </c>
      <c r="J45" s="288">
        <f t="shared" si="113"/>
        <v>0</v>
      </c>
      <c r="K45" s="166">
        <f t="shared" si="114"/>
        <v>0</v>
      </c>
      <c r="L45" s="290">
        <f t="shared" si="115"/>
        <v>0</v>
      </c>
      <c r="M45" s="164">
        <f t="shared" si="116"/>
        <v>0</v>
      </c>
      <c r="N45" s="290">
        <f t="shared" si="117"/>
        <v>0</v>
      </c>
      <c r="O45" s="166">
        <f t="shared" si="118"/>
        <v>0</v>
      </c>
      <c r="P45" s="290">
        <f t="shared" si="119"/>
        <v>0</v>
      </c>
      <c r="Q45" s="290">
        <f t="shared" si="120"/>
        <v>0</v>
      </c>
      <c r="R45" s="290">
        <f t="shared" si="121"/>
        <v>0</v>
      </c>
      <c r="S45" s="290">
        <f t="shared" si="122"/>
        <v>0</v>
      </c>
      <c r="T45" s="290">
        <f t="shared" si="123"/>
        <v>0</v>
      </c>
      <c r="U45" s="290">
        <f t="shared" si="124"/>
        <v>0</v>
      </c>
      <c r="V45" s="290">
        <f t="shared" si="125"/>
        <v>0</v>
      </c>
      <c r="W45" s="290">
        <f t="shared" si="126"/>
        <v>0</v>
      </c>
      <c r="X45" s="290">
        <f t="shared" si="127"/>
        <v>0</v>
      </c>
      <c r="Y45" s="164">
        <f t="shared" si="128"/>
        <v>0</v>
      </c>
      <c r="Z45" s="291">
        <f t="shared" si="129"/>
        <v>0</v>
      </c>
      <c r="AA45" s="164">
        <f t="shared" si="130"/>
        <v>0</v>
      </c>
      <c r="AB45" s="164">
        <f t="shared" si="131"/>
        <v>0</v>
      </c>
      <c r="AC45" s="164">
        <f t="shared" si="132"/>
        <v>0</v>
      </c>
      <c r="AD45" s="164">
        <f t="shared" si="133"/>
        <v>0</v>
      </c>
      <c r="AE45" s="164">
        <f t="shared" si="134"/>
        <v>0</v>
      </c>
      <c r="AF45" s="164">
        <f t="shared" si="135"/>
        <v>0</v>
      </c>
      <c r="AG45" s="164">
        <f t="shared" si="136"/>
        <v>0</v>
      </c>
      <c r="AH45" s="164">
        <f t="shared" si="137"/>
        <v>0</v>
      </c>
      <c r="AI45" s="164">
        <f t="shared" si="138"/>
        <v>0</v>
      </c>
      <c r="AJ45" s="164">
        <f t="shared" si="139"/>
        <v>0</v>
      </c>
      <c r="AK45" s="164">
        <f t="shared" si="140"/>
        <v>0</v>
      </c>
      <c r="AL45" s="164">
        <f t="shared" si="141"/>
        <v>0</v>
      </c>
      <c r="AM45" s="164">
        <f t="shared" si="142"/>
        <v>0</v>
      </c>
      <c r="AN45" s="164">
        <f t="shared" si="143"/>
        <v>0</v>
      </c>
      <c r="AO45" s="164">
        <f t="shared" si="144"/>
        <v>0</v>
      </c>
      <c r="AP45" s="164">
        <f t="shared" si="145"/>
        <v>0</v>
      </c>
      <c r="AQ45" s="164">
        <f t="shared" si="146"/>
        <v>0</v>
      </c>
      <c r="AR45" s="164">
        <f t="shared" si="147"/>
        <v>0</v>
      </c>
      <c r="AS45" s="164">
        <f t="shared" si="148"/>
        <v>0</v>
      </c>
      <c r="AT45" s="164">
        <f t="shared" si="149"/>
        <v>0</v>
      </c>
      <c r="AU45" s="292">
        <f t="shared" si="150"/>
        <v>0</v>
      </c>
      <c r="AV45" s="293">
        <f>AU45/'SUIVI RABAIS PRODUCTION ET C '!H9</f>
        <v>0</v>
      </c>
      <c r="AX45" s="298">
        <f>AX44/1000</f>
        <v>2832.01059</v>
      </c>
      <c r="AY45" s="299" t="s">
        <v>273</v>
      </c>
    </row>
    <row r="46" ht="15.75" customHeight="1">
      <c r="B46" s="256" t="s">
        <v>231</v>
      </c>
      <c r="C46" s="257">
        <f t="shared" ref="C46:AU46" si="151">SUM(C41:C45)</f>
        <v>189720</v>
      </c>
      <c r="D46" s="256">
        <f t="shared" si="151"/>
        <v>1264077.257</v>
      </c>
      <c r="E46" s="256">
        <f t="shared" si="151"/>
        <v>295478.0589</v>
      </c>
      <c r="F46" s="300">
        <f t="shared" si="151"/>
        <v>1559555.316</v>
      </c>
      <c r="G46" s="300">
        <f t="shared" si="151"/>
        <v>0</v>
      </c>
      <c r="H46" s="300">
        <f t="shared" si="151"/>
        <v>0</v>
      </c>
      <c r="I46" s="300">
        <f t="shared" si="151"/>
        <v>0</v>
      </c>
      <c r="J46" s="256">
        <f t="shared" si="151"/>
        <v>0</v>
      </c>
      <c r="K46" s="256">
        <f t="shared" si="151"/>
        <v>0</v>
      </c>
      <c r="L46" s="300">
        <f t="shared" si="151"/>
        <v>0</v>
      </c>
      <c r="M46" s="256">
        <f t="shared" si="151"/>
        <v>0</v>
      </c>
      <c r="N46" s="300">
        <f t="shared" si="151"/>
        <v>0</v>
      </c>
      <c r="O46" s="256">
        <f t="shared" si="151"/>
        <v>0</v>
      </c>
      <c r="P46" s="300">
        <f t="shared" si="151"/>
        <v>0</v>
      </c>
      <c r="Q46" s="256">
        <f t="shared" si="151"/>
        <v>0</v>
      </c>
      <c r="R46" s="256">
        <f t="shared" si="151"/>
        <v>0</v>
      </c>
      <c r="S46" s="256">
        <f t="shared" si="151"/>
        <v>0</v>
      </c>
      <c r="T46" s="256">
        <f t="shared" si="151"/>
        <v>0</v>
      </c>
      <c r="U46" s="256">
        <f t="shared" si="151"/>
        <v>0</v>
      </c>
      <c r="V46" s="256">
        <f t="shared" si="151"/>
        <v>0</v>
      </c>
      <c r="W46" s="256">
        <f t="shared" si="151"/>
        <v>0</v>
      </c>
      <c r="X46" s="256">
        <f t="shared" si="151"/>
        <v>0</v>
      </c>
      <c r="Y46" s="256">
        <f t="shared" si="151"/>
        <v>0</v>
      </c>
      <c r="Z46" s="256">
        <f t="shared" si="151"/>
        <v>0</v>
      </c>
      <c r="AA46" s="256">
        <f t="shared" si="151"/>
        <v>0</v>
      </c>
      <c r="AB46" s="256">
        <f t="shared" si="151"/>
        <v>0</v>
      </c>
      <c r="AC46" s="256">
        <f t="shared" si="151"/>
        <v>0</v>
      </c>
      <c r="AD46" s="256">
        <f t="shared" si="151"/>
        <v>0</v>
      </c>
      <c r="AE46" s="256">
        <f t="shared" si="151"/>
        <v>0</v>
      </c>
      <c r="AF46" s="256">
        <f t="shared" si="151"/>
        <v>0</v>
      </c>
      <c r="AG46" s="256">
        <f t="shared" si="151"/>
        <v>0</v>
      </c>
      <c r="AH46" s="256">
        <f t="shared" si="151"/>
        <v>0</v>
      </c>
      <c r="AI46" s="256">
        <f t="shared" si="151"/>
        <v>4172.775</v>
      </c>
      <c r="AJ46" s="256">
        <f t="shared" si="151"/>
        <v>70.42451979</v>
      </c>
      <c r="AK46" s="256">
        <f t="shared" si="151"/>
        <v>0</v>
      </c>
      <c r="AL46" s="256">
        <f t="shared" si="151"/>
        <v>0</v>
      </c>
      <c r="AM46" s="256">
        <f t="shared" si="151"/>
        <v>0</v>
      </c>
      <c r="AN46" s="256">
        <f t="shared" si="151"/>
        <v>0</v>
      </c>
      <c r="AO46" s="256">
        <f t="shared" si="151"/>
        <v>0</v>
      </c>
      <c r="AP46" s="256">
        <f t="shared" si="151"/>
        <v>0</v>
      </c>
      <c r="AQ46" s="256">
        <f t="shared" si="151"/>
        <v>0</v>
      </c>
      <c r="AR46" s="256">
        <f t="shared" si="151"/>
        <v>0</v>
      </c>
      <c r="AS46" s="256">
        <f t="shared" si="151"/>
        <v>0</v>
      </c>
      <c r="AT46" s="256">
        <f t="shared" si="151"/>
        <v>0</v>
      </c>
      <c r="AU46" s="301">
        <f t="shared" si="151"/>
        <v>1559625.741</v>
      </c>
    </row>
    <row r="47" ht="15.75" customHeight="1">
      <c r="B47" s="261"/>
      <c r="C47" s="261"/>
      <c r="D47" s="261"/>
      <c r="E47" s="261"/>
      <c r="F47" s="302"/>
      <c r="G47" s="261"/>
      <c r="H47" s="261"/>
      <c r="I47" s="261"/>
      <c r="J47" s="261"/>
    </row>
    <row r="48" ht="15.75" customHeight="1">
      <c r="B48" s="280" t="s">
        <v>274</v>
      </c>
      <c r="C48" s="280"/>
      <c r="D48" s="280"/>
      <c r="E48" s="280"/>
      <c r="F48" s="280"/>
      <c r="G48" s="280"/>
      <c r="H48" s="280"/>
      <c r="I48" s="280"/>
    </row>
    <row r="49" ht="15.75" customHeight="1">
      <c r="B49" s="303" t="s">
        <v>275</v>
      </c>
      <c r="C49" s="304"/>
      <c r="D49" s="305"/>
      <c r="E49" s="305"/>
      <c r="F49" s="305"/>
      <c r="G49" s="305"/>
      <c r="H49" s="306"/>
      <c r="I49" s="307">
        <f>0.016*44/28</f>
        <v>0.02514285714</v>
      </c>
    </row>
    <row r="50" ht="15.75" customHeight="1">
      <c r="B50" s="308" t="s">
        <v>276</v>
      </c>
      <c r="C50" s="309"/>
      <c r="D50" s="310"/>
      <c r="E50" s="310"/>
      <c r="F50" s="310"/>
      <c r="G50" s="310"/>
      <c r="H50" s="311"/>
      <c r="I50" s="307">
        <f>0.006*44/28</f>
        <v>0.009428571429</v>
      </c>
    </row>
    <row r="51" ht="15.75" customHeight="1">
      <c r="B51" s="308" t="s">
        <v>277</v>
      </c>
      <c r="C51" s="309"/>
      <c r="D51" s="310"/>
      <c r="E51" s="310"/>
      <c r="F51" s="310"/>
      <c r="G51" s="310"/>
      <c r="H51" s="311"/>
      <c r="I51" s="307">
        <f>0.01*0.11*44/28</f>
        <v>0.001728571429</v>
      </c>
    </row>
    <row r="52" ht="15.75" customHeight="1">
      <c r="B52" s="308" t="s">
        <v>278</v>
      </c>
      <c r="C52" s="309"/>
      <c r="D52" s="310"/>
      <c r="E52" s="310"/>
      <c r="F52" s="310"/>
      <c r="G52" s="310"/>
      <c r="H52" s="311"/>
      <c r="I52" s="307">
        <f>0.01*0.21*44/28</f>
        <v>0.0033</v>
      </c>
    </row>
    <row r="53" ht="15.75" customHeight="1">
      <c r="B53" s="308" t="s">
        <v>279</v>
      </c>
      <c r="C53" s="309"/>
      <c r="D53" s="310"/>
      <c r="E53" s="310"/>
      <c r="F53" s="310"/>
      <c r="G53" s="310"/>
      <c r="H53" s="311"/>
      <c r="I53" s="307">
        <f>0.011*0.24*44/28</f>
        <v>0.004148571429</v>
      </c>
    </row>
    <row r="54" ht="15.75" customHeight="1">
      <c r="B54" s="308" t="s">
        <v>280</v>
      </c>
      <c r="C54" s="309"/>
      <c r="D54" s="309"/>
      <c r="E54" s="309"/>
      <c r="F54" s="310"/>
      <c r="G54" s="310"/>
      <c r="H54" s="311"/>
      <c r="I54" s="307">
        <f>0.12*44/12</f>
        <v>0.44</v>
      </c>
    </row>
    <row r="55" ht="15.75" customHeight="1">
      <c r="B55" s="312" t="s">
        <v>281</v>
      </c>
      <c r="C55" s="313"/>
      <c r="D55" s="313"/>
      <c r="E55" s="313"/>
      <c r="F55" s="314"/>
      <c r="G55" s="314"/>
      <c r="H55" s="315"/>
      <c r="I55" s="307">
        <f>0.13*44/12</f>
        <v>0.4766666667</v>
      </c>
    </row>
    <row r="56" ht="15.75" customHeight="1"/>
    <row r="57" ht="15.75" customHeight="1">
      <c r="B57" s="280" t="s">
        <v>282</v>
      </c>
      <c r="C57" s="185"/>
      <c r="D57" s="185"/>
      <c r="E57" s="185"/>
      <c r="F57" s="185"/>
      <c r="G57" s="185"/>
      <c r="H57" s="185"/>
      <c r="I57" s="185"/>
    </row>
    <row r="58" ht="15.75" customHeight="1">
      <c r="B58" s="316" t="s">
        <v>283</v>
      </c>
      <c r="C58" s="317"/>
      <c r="D58" s="317"/>
      <c r="E58" s="317"/>
      <c r="F58" s="317"/>
      <c r="G58" s="317"/>
      <c r="H58" s="317"/>
      <c r="I58" s="318">
        <v>265.0</v>
      </c>
    </row>
    <row r="59" ht="15.75" customHeight="1"/>
    <row r="60" ht="15.75" customHeight="1">
      <c r="B60" s="280" t="s">
        <v>284</v>
      </c>
      <c r="C60" s="280"/>
      <c r="D60" s="280"/>
      <c r="E60" s="280"/>
      <c r="F60" s="280"/>
      <c r="G60" s="280"/>
      <c r="H60" s="280"/>
      <c r="I60" s="280"/>
    </row>
    <row r="61" ht="15.75" customHeight="1">
      <c r="C61" s="272" t="s">
        <v>164</v>
      </c>
      <c r="D61" s="162"/>
      <c r="E61" s="162"/>
      <c r="F61" s="162"/>
      <c r="G61" s="162"/>
      <c r="H61" s="163"/>
      <c r="I61" s="272" t="s">
        <v>234</v>
      </c>
      <c r="J61" s="162"/>
      <c r="K61" s="162"/>
      <c r="L61" s="162"/>
      <c r="M61" s="162"/>
      <c r="N61" s="162"/>
      <c r="O61" s="162"/>
      <c r="P61" s="162"/>
      <c r="Q61" s="162"/>
      <c r="R61" s="163"/>
    </row>
    <row r="62" ht="15.75" customHeight="1">
      <c r="C62" s="213" t="str">
        <f>BQ5</f>
        <v>Bactériosol concentré</v>
      </c>
      <c r="D62" s="213" t="str">
        <f>BT5</f>
        <v>Bactériosol concentré UAB</v>
      </c>
      <c r="E62" s="213" t="str">
        <f>BW5</f>
        <v>Bactériosol booster 10</v>
      </c>
      <c r="F62" s="213" t="str">
        <f>BZ5</f>
        <v>Bactériosol booster 50</v>
      </c>
      <c r="G62" s="213" t="str">
        <f>CC5</f>
        <v>Bactériolit concentré</v>
      </c>
      <c r="H62" s="213" t="str">
        <f>CF5</f>
        <v>Quaterna Plant</v>
      </c>
      <c r="I62" s="275" t="s">
        <v>109</v>
      </c>
      <c r="J62" s="275" t="s">
        <v>112</v>
      </c>
      <c r="K62" s="275" t="s">
        <v>115</v>
      </c>
      <c r="L62" s="276" t="s">
        <v>117</v>
      </c>
      <c r="M62" s="276" t="s">
        <v>22</v>
      </c>
      <c r="N62" s="276" t="s">
        <v>121</v>
      </c>
      <c r="O62" s="276" t="s">
        <v>123</v>
      </c>
      <c r="P62" s="276" t="s">
        <v>125</v>
      </c>
      <c r="Q62" s="276" t="s">
        <v>126</v>
      </c>
      <c r="R62" s="276" t="s">
        <v>127</v>
      </c>
    </row>
    <row r="63" ht="15.75" customHeight="1">
      <c r="C63" s="196"/>
      <c r="D63" s="196"/>
      <c r="E63" s="196"/>
      <c r="F63" s="196"/>
      <c r="G63" s="196"/>
      <c r="H63" s="196"/>
      <c r="I63" s="211"/>
      <c r="J63" s="211"/>
      <c r="K63" s="211"/>
      <c r="L63" s="196"/>
      <c r="M63" s="196"/>
      <c r="N63" s="196"/>
      <c r="O63" s="196"/>
      <c r="P63" s="196"/>
      <c r="Q63" s="196"/>
      <c r="R63" s="196"/>
    </row>
    <row r="64" ht="22.5" customHeight="1">
      <c r="C64" s="219"/>
      <c r="D64" s="219"/>
      <c r="E64" s="219"/>
      <c r="F64" s="219"/>
      <c r="G64" s="219"/>
      <c r="H64" s="219"/>
      <c r="I64" s="211"/>
      <c r="J64" s="211"/>
      <c r="K64" s="211"/>
      <c r="L64" s="196"/>
      <c r="M64" s="196"/>
      <c r="N64" s="196"/>
      <c r="O64" s="196"/>
      <c r="P64" s="196"/>
      <c r="Q64" s="196"/>
      <c r="R64" s="196"/>
    </row>
    <row r="65" ht="15.75" customHeight="1">
      <c r="B65" s="319" t="s">
        <v>285</v>
      </c>
      <c r="C65" s="320">
        <v>27.0</v>
      </c>
      <c r="D65" s="320">
        <v>22.0</v>
      </c>
      <c r="E65" s="320">
        <v>0.0</v>
      </c>
      <c r="F65" s="320">
        <v>24.0</v>
      </c>
      <c r="G65" s="320">
        <v>0.0</v>
      </c>
      <c r="H65" s="320">
        <v>0.0</v>
      </c>
      <c r="I65" s="240">
        <v>10.1</v>
      </c>
      <c r="J65" s="240">
        <v>13.84</v>
      </c>
      <c r="K65" s="240">
        <v>21.6</v>
      </c>
      <c r="L65" s="240">
        <v>5.09</v>
      </c>
      <c r="M65" s="321">
        <f>(13.07+13.5+14.63+15.38)/4</f>
        <v>14.145</v>
      </c>
      <c r="N65" s="240">
        <v>28.45</v>
      </c>
      <c r="O65" s="240">
        <v>6.9</v>
      </c>
      <c r="P65" s="240">
        <v>27.3</v>
      </c>
      <c r="Q65" s="240">
        <v>5.55</v>
      </c>
      <c r="R65" s="240">
        <v>15.23</v>
      </c>
    </row>
    <row r="66" ht="15.75" customHeight="1"/>
  </sheetData>
  <mergeCells count="230">
    <mergeCell ref="C4:AF4"/>
    <mergeCell ref="C5:E5"/>
    <mergeCell ref="F5:H5"/>
    <mergeCell ref="I5:K5"/>
    <mergeCell ref="L5:N5"/>
    <mergeCell ref="O5:Q5"/>
    <mergeCell ref="R5:T5"/>
    <mergeCell ref="W17:Z17"/>
    <mergeCell ref="AA17:AD17"/>
    <mergeCell ref="AE17:AH17"/>
    <mergeCell ref="AI17:AL17"/>
    <mergeCell ref="AM17:AP17"/>
    <mergeCell ref="AQ17:AQ18"/>
    <mergeCell ref="AO27:AO30"/>
    <mergeCell ref="AP27:AP30"/>
    <mergeCell ref="AM28:AM30"/>
    <mergeCell ref="AN28:AN30"/>
    <mergeCell ref="U5:W5"/>
    <mergeCell ref="X5:Z5"/>
    <mergeCell ref="B14:B18"/>
    <mergeCell ref="C16:Z16"/>
    <mergeCell ref="AA16:AH16"/>
    <mergeCell ref="AI16:AP16"/>
    <mergeCell ref="C17:F17"/>
    <mergeCell ref="Z28:Z30"/>
    <mergeCell ref="AA28:AA30"/>
    <mergeCell ref="AI28:AI30"/>
    <mergeCell ref="AJ28:AJ30"/>
    <mergeCell ref="AK28:AK30"/>
    <mergeCell ref="AL28:AL30"/>
    <mergeCell ref="AB28:AB30"/>
    <mergeCell ref="AC28:AC30"/>
    <mergeCell ref="AD28:AD30"/>
    <mergeCell ref="AE28:AE30"/>
    <mergeCell ref="AF28:AF30"/>
    <mergeCell ref="AG28:AG30"/>
    <mergeCell ref="AH28:AH30"/>
    <mergeCell ref="K29:L29"/>
    <mergeCell ref="M29:M30"/>
    <mergeCell ref="K39:N39"/>
    <mergeCell ref="C29:H29"/>
    <mergeCell ref="I29:J29"/>
    <mergeCell ref="B39:B40"/>
    <mergeCell ref="C39:F39"/>
    <mergeCell ref="G39:J39"/>
    <mergeCell ref="C61:H61"/>
    <mergeCell ref="I61:R61"/>
    <mergeCell ref="Q62:Q64"/>
    <mergeCell ref="R62:R64"/>
    <mergeCell ref="J62:J64"/>
    <mergeCell ref="K62:K64"/>
    <mergeCell ref="L62:L64"/>
    <mergeCell ref="M62:M64"/>
    <mergeCell ref="N62:N64"/>
    <mergeCell ref="O62:O64"/>
    <mergeCell ref="P62:P64"/>
    <mergeCell ref="C28:L28"/>
    <mergeCell ref="M28:Q28"/>
    <mergeCell ref="R28:S28"/>
    <mergeCell ref="T28:T30"/>
    <mergeCell ref="R29:R30"/>
    <mergeCell ref="S29:S30"/>
    <mergeCell ref="U28:U30"/>
    <mergeCell ref="V28:V30"/>
    <mergeCell ref="N29:N30"/>
    <mergeCell ref="O29:O30"/>
    <mergeCell ref="P29:P30"/>
    <mergeCell ref="Q29:Q30"/>
    <mergeCell ref="O39:Z39"/>
    <mergeCell ref="AA39:AT39"/>
    <mergeCell ref="AU39:AU40"/>
    <mergeCell ref="AV39:AV40"/>
    <mergeCell ref="AX41:AZ43"/>
    <mergeCell ref="O17:R17"/>
    <mergeCell ref="S17:V17"/>
    <mergeCell ref="F19:F23"/>
    <mergeCell ref="J19:J23"/>
    <mergeCell ref="N19:N23"/>
    <mergeCell ref="R19:R23"/>
    <mergeCell ref="B27:B30"/>
    <mergeCell ref="C62:C64"/>
    <mergeCell ref="D62:D64"/>
    <mergeCell ref="E62:E64"/>
    <mergeCell ref="F62:F64"/>
    <mergeCell ref="G62:G64"/>
    <mergeCell ref="H62:H64"/>
    <mergeCell ref="I62:I64"/>
    <mergeCell ref="AY5:BA5"/>
    <mergeCell ref="BB5:BD5"/>
    <mergeCell ref="BE5:BG5"/>
    <mergeCell ref="BH5:BJ5"/>
    <mergeCell ref="BK5:BM5"/>
    <mergeCell ref="BN5:BP5"/>
    <mergeCell ref="BQ5:BS5"/>
    <mergeCell ref="AA5:AC5"/>
    <mergeCell ref="AD5:AF5"/>
    <mergeCell ref="AG5:AI5"/>
    <mergeCell ref="AM5:AO5"/>
    <mergeCell ref="AP5:AR5"/>
    <mergeCell ref="AS5:AU5"/>
    <mergeCell ref="AV5:AX5"/>
    <mergeCell ref="DU15:DV17"/>
    <mergeCell ref="DW15:DX17"/>
    <mergeCell ref="DG15:DH17"/>
    <mergeCell ref="DI15:DJ17"/>
    <mergeCell ref="DK15:DL17"/>
    <mergeCell ref="DM15:DN17"/>
    <mergeCell ref="DO15:DP17"/>
    <mergeCell ref="DQ15:DR17"/>
    <mergeCell ref="DS15:DT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O5:CQ5"/>
    <mergeCell ref="CR5:CT5"/>
    <mergeCell ref="CU5:CW5"/>
    <mergeCell ref="CX5:CZ5"/>
    <mergeCell ref="DA5:DC5"/>
    <mergeCell ref="DD5:DF5"/>
    <mergeCell ref="DG5:DI5"/>
    <mergeCell ref="DJ5:DL5"/>
    <mergeCell ref="BT5:BV5"/>
    <mergeCell ref="BW5:BY5"/>
    <mergeCell ref="BZ5:CB5"/>
    <mergeCell ref="CC5:CE5"/>
    <mergeCell ref="CF5:CH5"/>
    <mergeCell ref="CI5:CK5"/>
    <mergeCell ref="CL5:CN5"/>
    <mergeCell ref="DY15:DZ17"/>
    <mergeCell ref="EA15:EB17"/>
    <mergeCell ref="EC15:ED17"/>
    <mergeCell ref="EE15:EF17"/>
    <mergeCell ref="EG15:EH17"/>
    <mergeCell ref="B13:CX13"/>
    <mergeCell ref="C14:BR14"/>
    <mergeCell ref="CK14:CL14"/>
    <mergeCell ref="CM14:DB14"/>
    <mergeCell ref="DC14:DN14"/>
    <mergeCell ref="DO14:EH14"/>
    <mergeCell ref="C15:AP15"/>
    <mergeCell ref="G17:J17"/>
    <mergeCell ref="K17:N17"/>
    <mergeCell ref="BX17:BZ17"/>
    <mergeCell ref="CB17:CD17"/>
    <mergeCell ref="BQ15:CJ15"/>
    <mergeCell ref="CK15:CL17"/>
    <mergeCell ref="CM15:CP17"/>
    <mergeCell ref="CQ15:CT17"/>
    <mergeCell ref="CU15:CX17"/>
    <mergeCell ref="CY15:DB17"/>
    <mergeCell ref="CA16:CJ16"/>
    <mergeCell ref="DC15:DD17"/>
    <mergeCell ref="DE15:DF17"/>
    <mergeCell ref="AQ16:AW16"/>
    <mergeCell ref="AX16:BA16"/>
    <mergeCell ref="AX17:AX18"/>
    <mergeCell ref="AY17:BA17"/>
    <mergeCell ref="BB17:BB18"/>
    <mergeCell ref="BI17:BI18"/>
    <mergeCell ref="BM17:BM18"/>
    <mergeCell ref="BQ17:BQ18"/>
    <mergeCell ref="BB16:BH16"/>
    <mergeCell ref="BI16:BL16"/>
    <mergeCell ref="BM16:BP16"/>
    <mergeCell ref="BQ16:BZ16"/>
    <mergeCell ref="AQ15:BP15"/>
    <mergeCell ref="AR17:AT17"/>
    <mergeCell ref="AU17:AW17"/>
    <mergeCell ref="BC17:BE17"/>
    <mergeCell ref="BF17:BH17"/>
    <mergeCell ref="BJ17:BL17"/>
    <mergeCell ref="BN17:BP17"/>
    <mergeCell ref="BR17:BT17"/>
    <mergeCell ref="BU17:BW17"/>
    <mergeCell ref="CA17:CA18"/>
    <mergeCell ref="CE17:CG17"/>
    <mergeCell ref="CH17:CJ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Z19:Z23"/>
    <mergeCell ref="AD19:AD23"/>
    <mergeCell ref="AH19:AH23"/>
    <mergeCell ref="AL19:AL23"/>
    <mergeCell ref="AP19:AP23"/>
    <mergeCell ref="AT19:AT23"/>
    <mergeCell ref="AW19:AW23"/>
    <mergeCell ref="V19:V23"/>
    <mergeCell ref="U27:X27"/>
    <mergeCell ref="Y27:AD27"/>
    <mergeCell ref="AE27:AN27"/>
    <mergeCell ref="W28:W30"/>
    <mergeCell ref="X28:X30"/>
    <mergeCell ref="Y28:Y30"/>
  </mergeCells>
  <printOptions/>
  <pageMargins bottom="0.75" footer="0.0" header="0.0" left="0.25" right="0.25" top="0.75"/>
  <pageSetup fitToWidth="0"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52" width="11.43"/>
    <col customWidth="1" min="53" max="53" width="21.0"/>
    <col customWidth="1" min="54" max="54" width="19.0"/>
    <col customWidth="1" min="55" max="140" width="11.43"/>
  </cols>
  <sheetData>
    <row r="1" ht="15.0" customHeight="1">
      <c r="A1" s="144"/>
      <c r="B1" s="145" t="s">
        <v>286</v>
      </c>
    </row>
    <row r="2" ht="15.0" customHeight="1"/>
    <row r="3" ht="15.0" customHeight="1">
      <c r="B3" s="146" t="s">
        <v>159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48"/>
      <c r="BQ3" s="149"/>
      <c r="BR3" s="149"/>
      <c r="BS3" s="149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1"/>
      <c r="CG3" s="151"/>
      <c r="CH3" s="151"/>
      <c r="CI3" s="151"/>
      <c r="CJ3" s="148"/>
      <c r="CK3" s="149"/>
      <c r="CL3" s="149"/>
      <c r="CM3" s="149"/>
      <c r="CN3" s="150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</row>
    <row r="4" ht="15.0" customHeight="1">
      <c r="B4" s="145"/>
      <c r="C4" s="152" t="s">
        <v>160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9"/>
      <c r="AG4" s="152" t="s">
        <v>161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9"/>
      <c r="AV4" s="152" t="s">
        <v>162</v>
      </c>
      <c r="AW4" s="88"/>
      <c r="AX4" s="153"/>
      <c r="AY4" s="154" t="s">
        <v>162</v>
      </c>
      <c r="AZ4" s="88"/>
      <c r="BA4" s="89"/>
      <c r="BB4" s="155" t="s">
        <v>110</v>
      </c>
      <c r="BC4" s="88"/>
      <c r="BD4" s="89"/>
      <c r="BE4" s="156" t="s">
        <v>163</v>
      </c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9"/>
      <c r="BQ4" s="157" t="s">
        <v>164</v>
      </c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9"/>
      <c r="CI4" s="157" t="s">
        <v>164</v>
      </c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9"/>
    </row>
    <row r="5" ht="30.0" customHeight="1">
      <c r="A5" s="159"/>
      <c r="B5" s="160"/>
      <c r="C5" s="161" t="s">
        <v>87</v>
      </c>
      <c r="D5" s="162"/>
      <c r="E5" s="163"/>
      <c r="F5" s="164" t="s">
        <v>14</v>
      </c>
      <c r="G5" s="162"/>
      <c r="H5" s="163"/>
      <c r="I5" s="164" t="s">
        <v>93</v>
      </c>
      <c r="J5" s="162"/>
      <c r="K5" s="163"/>
      <c r="L5" s="164" t="s">
        <v>16</v>
      </c>
      <c r="M5" s="162"/>
      <c r="N5" s="163"/>
      <c r="O5" s="164" t="s">
        <v>100</v>
      </c>
      <c r="P5" s="162"/>
      <c r="Q5" s="163"/>
      <c r="R5" s="164" t="s">
        <v>103</v>
      </c>
      <c r="S5" s="162"/>
      <c r="T5" s="163"/>
      <c r="U5" s="164" t="s">
        <v>17</v>
      </c>
      <c r="V5" s="162"/>
      <c r="W5" s="163"/>
      <c r="X5" s="164" t="s">
        <v>108</v>
      </c>
      <c r="Y5" s="162"/>
      <c r="Z5" s="163"/>
      <c r="AA5" s="164" t="s">
        <v>111</v>
      </c>
      <c r="AB5" s="162"/>
      <c r="AC5" s="163"/>
      <c r="AD5" s="164" t="s">
        <v>114</v>
      </c>
      <c r="AE5" s="162"/>
      <c r="AF5" s="165"/>
      <c r="AG5" s="161" t="s">
        <v>15</v>
      </c>
      <c r="AH5" s="162"/>
      <c r="AI5" s="163"/>
      <c r="AJ5" s="166"/>
      <c r="AK5" s="166" t="s">
        <v>119</v>
      </c>
      <c r="AL5" s="166"/>
      <c r="AM5" s="164" t="s">
        <v>120</v>
      </c>
      <c r="AN5" s="162"/>
      <c r="AO5" s="163"/>
      <c r="AP5" s="164" t="s">
        <v>122</v>
      </c>
      <c r="AQ5" s="162"/>
      <c r="AR5" s="163"/>
      <c r="AS5" s="164" t="s">
        <v>165</v>
      </c>
      <c r="AT5" s="162"/>
      <c r="AU5" s="165"/>
      <c r="AV5" s="161" t="s">
        <v>166</v>
      </c>
      <c r="AW5" s="162"/>
      <c r="AX5" s="163"/>
      <c r="AY5" s="164" t="s">
        <v>287</v>
      </c>
      <c r="AZ5" s="162"/>
      <c r="BA5" s="165"/>
      <c r="BB5" s="167" t="s">
        <v>19</v>
      </c>
      <c r="BC5" s="162"/>
      <c r="BD5" s="165"/>
      <c r="BE5" s="168" t="s">
        <v>168</v>
      </c>
      <c r="BF5" s="162"/>
      <c r="BG5" s="163"/>
      <c r="BH5" s="169" t="s">
        <v>169</v>
      </c>
      <c r="BI5" s="162"/>
      <c r="BJ5" s="163"/>
      <c r="BK5" s="169" t="s">
        <v>170</v>
      </c>
      <c r="BL5" s="162"/>
      <c r="BM5" s="163"/>
      <c r="BN5" s="169" t="s">
        <v>97</v>
      </c>
      <c r="BO5" s="162"/>
      <c r="BP5" s="165"/>
      <c r="BQ5" s="170" t="s">
        <v>89</v>
      </c>
      <c r="BR5" s="162"/>
      <c r="BS5" s="163"/>
      <c r="BT5" s="171" t="s">
        <v>35</v>
      </c>
      <c r="BU5" s="162"/>
      <c r="BV5" s="163"/>
      <c r="BW5" s="171" t="s">
        <v>95</v>
      </c>
      <c r="BX5" s="162"/>
      <c r="BY5" s="163"/>
      <c r="BZ5" s="171" t="s">
        <v>98</v>
      </c>
      <c r="CA5" s="162"/>
      <c r="CB5" s="163"/>
      <c r="CC5" s="171" t="s">
        <v>101</v>
      </c>
      <c r="CD5" s="162"/>
      <c r="CE5" s="163"/>
      <c r="CF5" s="171" t="s">
        <v>105</v>
      </c>
      <c r="CG5" s="162"/>
      <c r="CH5" s="163"/>
      <c r="CI5" s="322" t="s">
        <v>109</v>
      </c>
      <c r="CJ5" s="162"/>
      <c r="CK5" s="163"/>
      <c r="CL5" s="172" t="s">
        <v>112</v>
      </c>
      <c r="CM5" s="162"/>
      <c r="CN5" s="163"/>
      <c r="CO5" s="172" t="s">
        <v>115</v>
      </c>
      <c r="CP5" s="162"/>
      <c r="CQ5" s="163"/>
      <c r="CR5" s="172" t="s">
        <v>117</v>
      </c>
      <c r="CS5" s="162"/>
      <c r="CT5" s="163"/>
      <c r="CU5" s="172" t="s">
        <v>22</v>
      </c>
      <c r="CV5" s="162"/>
      <c r="CW5" s="163"/>
      <c r="CX5" s="173" t="s">
        <v>121</v>
      </c>
      <c r="CY5" s="162"/>
      <c r="CZ5" s="163"/>
      <c r="DA5" s="172" t="s">
        <v>123</v>
      </c>
      <c r="DB5" s="162"/>
      <c r="DC5" s="163"/>
      <c r="DD5" s="172" t="s">
        <v>125</v>
      </c>
      <c r="DE5" s="162"/>
      <c r="DF5" s="163"/>
      <c r="DG5" s="173" t="s">
        <v>126</v>
      </c>
      <c r="DH5" s="162"/>
      <c r="DI5" s="163"/>
      <c r="DJ5" s="172" t="s">
        <v>127</v>
      </c>
      <c r="DK5" s="162"/>
      <c r="DL5" s="165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  <c r="EJ5" s="159"/>
    </row>
    <row r="6" ht="33.75" customHeight="1">
      <c r="B6" s="174"/>
      <c r="C6" s="323" t="s">
        <v>171</v>
      </c>
      <c r="D6" s="324" t="s">
        <v>172</v>
      </c>
      <c r="E6" s="324" t="s">
        <v>173</v>
      </c>
      <c r="F6" s="324" t="s">
        <v>171</v>
      </c>
      <c r="G6" s="324" t="s">
        <v>172</v>
      </c>
      <c r="H6" s="324" t="s">
        <v>173</v>
      </c>
      <c r="I6" s="324" t="s">
        <v>171</v>
      </c>
      <c r="J6" s="324" t="s">
        <v>172</v>
      </c>
      <c r="K6" s="324" t="s">
        <v>173</v>
      </c>
      <c r="L6" s="324" t="s">
        <v>171</v>
      </c>
      <c r="M6" s="324" t="s">
        <v>172</v>
      </c>
      <c r="N6" s="324" t="s">
        <v>173</v>
      </c>
      <c r="O6" s="324" t="s">
        <v>171</v>
      </c>
      <c r="P6" s="324" t="s">
        <v>172</v>
      </c>
      <c r="Q6" s="324" t="s">
        <v>173</v>
      </c>
      <c r="R6" s="324" t="s">
        <v>171</v>
      </c>
      <c r="S6" s="324" t="s">
        <v>172</v>
      </c>
      <c r="T6" s="324" t="s">
        <v>173</v>
      </c>
      <c r="U6" s="324" t="s">
        <v>171</v>
      </c>
      <c r="V6" s="324" t="s">
        <v>172</v>
      </c>
      <c r="W6" s="324" t="s">
        <v>173</v>
      </c>
      <c r="X6" s="324" t="s">
        <v>171</v>
      </c>
      <c r="Y6" s="324" t="s">
        <v>172</v>
      </c>
      <c r="Z6" s="324" t="s">
        <v>173</v>
      </c>
      <c r="AA6" s="324" t="s">
        <v>171</v>
      </c>
      <c r="AB6" s="324" t="s">
        <v>172</v>
      </c>
      <c r="AC6" s="324" t="s">
        <v>173</v>
      </c>
      <c r="AD6" s="324" t="s">
        <v>171</v>
      </c>
      <c r="AE6" s="324" t="s">
        <v>172</v>
      </c>
      <c r="AF6" s="325" t="s">
        <v>173</v>
      </c>
      <c r="AG6" s="323" t="s">
        <v>171</v>
      </c>
      <c r="AH6" s="324" t="s">
        <v>172</v>
      </c>
      <c r="AI6" s="324" t="s">
        <v>173</v>
      </c>
      <c r="AJ6" s="324" t="s">
        <v>171</v>
      </c>
      <c r="AK6" s="324" t="s">
        <v>172</v>
      </c>
      <c r="AL6" s="324" t="s">
        <v>173</v>
      </c>
      <c r="AM6" s="324" t="s">
        <v>171</v>
      </c>
      <c r="AN6" s="324" t="s">
        <v>172</v>
      </c>
      <c r="AO6" s="324" t="s">
        <v>173</v>
      </c>
      <c r="AP6" s="324" t="s">
        <v>171</v>
      </c>
      <c r="AQ6" s="324" t="s">
        <v>172</v>
      </c>
      <c r="AR6" s="324" t="s">
        <v>173</v>
      </c>
      <c r="AS6" s="324" t="s">
        <v>171</v>
      </c>
      <c r="AT6" s="324" t="s">
        <v>172</v>
      </c>
      <c r="AU6" s="325" t="s">
        <v>173</v>
      </c>
      <c r="AV6" s="323" t="s">
        <v>171</v>
      </c>
      <c r="AW6" s="324" t="s">
        <v>172</v>
      </c>
      <c r="AX6" s="324" t="s">
        <v>173</v>
      </c>
      <c r="AY6" s="324" t="s">
        <v>171</v>
      </c>
      <c r="AZ6" s="324" t="s">
        <v>172</v>
      </c>
      <c r="BA6" s="325" t="s">
        <v>173</v>
      </c>
      <c r="BB6" s="323" t="s">
        <v>171</v>
      </c>
      <c r="BC6" s="324" t="s">
        <v>172</v>
      </c>
      <c r="BD6" s="325" t="s">
        <v>173</v>
      </c>
      <c r="BE6" s="323" t="s">
        <v>171</v>
      </c>
      <c r="BF6" s="324" t="s">
        <v>172</v>
      </c>
      <c r="BG6" s="324" t="s">
        <v>173</v>
      </c>
      <c r="BH6" s="324" t="s">
        <v>171</v>
      </c>
      <c r="BI6" s="324" t="s">
        <v>172</v>
      </c>
      <c r="BJ6" s="324" t="s">
        <v>173</v>
      </c>
      <c r="BK6" s="324" t="s">
        <v>171</v>
      </c>
      <c r="BL6" s="324" t="s">
        <v>172</v>
      </c>
      <c r="BM6" s="324" t="s">
        <v>173</v>
      </c>
      <c r="BN6" s="324" t="s">
        <v>171</v>
      </c>
      <c r="BO6" s="324" t="s">
        <v>172</v>
      </c>
      <c r="BP6" s="325" t="s">
        <v>173</v>
      </c>
      <c r="BQ6" s="323" t="s">
        <v>171</v>
      </c>
      <c r="BR6" s="324" t="s">
        <v>172</v>
      </c>
      <c r="BS6" s="324" t="s">
        <v>173</v>
      </c>
      <c r="BT6" s="324" t="s">
        <v>171</v>
      </c>
      <c r="BU6" s="324" t="s">
        <v>172</v>
      </c>
      <c r="BV6" s="324" t="s">
        <v>173</v>
      </c>
      <c r="BW6" s="324" t="s">
        <v>171</v>
      </c>
      <c r="BX6" s="324" t="s">
        <v>172</v>
      </c>
      <c r="BY6" s="324" t="s">
        <v>173</v>
      </c>
      <c r="BZ6" s="324" t="s">
        <v>171</v>
      </c>
      <c r="CA6" s="324" t="s">
        <v>172</v>
      </c>
      <c r="CB6" s="324" t="s">
        <v>173</v>
      </c>
      <c r="CC6" s="324" t="s">
        <v>171</v>
      </c>
      <c r="CD6" s="324" t="s">
        <v>172</v>
      </c>
      <c r="CE6" s="324" t="s">
        <v>173</v>
      </c>
      <c r="CF6" s="324" t="s">
        <v>171</v>
      </c>
      <c r="CG6" s="324" t="s">
        <v>172</v>
      </c>
      <c r="CH6" s="325" t="s">
        <v>173</v>
      </c>
      <c r="CI6" s="323" t="s">
        <v>174</v>
      </c>
      <c r="CJ6" s="324" t="s">
        <v>175</v>
      </c>
      <c r="CK6" s="324" t="s">
        <v>176</v>
      </c>
      <c r="CL6" s="324" t="s">
        <v>174</v>
      </c>
      <c r="CM6" s="324" t="s">
        <v>175</v>
      </c>
      <c r="CN6" s="324" t="s">
        <v>176</v>
      </c>
      <c r="CO6" s="324" t="s">
        <v>174</v>
      </c>
      <c r="CP6" s="324" t="s">
        <v>175</v>
      </c>
      <c r="CQ6" s="324" t="s">
        <v>176</v>
      </c>
      <c r="CR6" s="324" t="s">
        <v>174</v>
      </c>
      <c r="CS6" s="324" t="s">
        <v>175</v>
      </c>
      <c r="CT6" s="324" t="s">
        <v>176</v>
      </c>
      <c r="CU6" s="324" t="s">
        <v>174</v>
      </c>
      <c r="CV6" s="324" t="s">
        <v>175</v>
      </c>
      <c r="CW6" s="324" t="s">
        <v>176</v>
      </c>
      <c r="CX6" s="324" t="s">
        <v>174</v>
      </c>
      <c r="CY6" s="324" t="s">
        <v>175</v>
      </c>
      <c r="CZ6" s="324" t="s">
        <v>176</v>
      </c>
      <c r="DA6" s="324" t="s">
        <v>174</v>
      </c>
      <c r="DB6" s="324" t="s">
        <v>175</v>
      </c>
      <c r="DC6" s="324" t="s">
        <v>176</v>
      </c>
      <c r="DD6" s="324" t="s">
        <v>174</v>
      </c>
      <c r="DE6" s="324" t="s">
        <v>175</v>
      </c>
      <c r="DF6" s="324" t="s">
        <v>176</v>
      </c>
      <c r="DG6" s="324" t="s">
        <v>174</v>
      </c>
      <c r="DH6" s="324" t="s">
        <v>175</v>
      </c>
      <c r="DI6" s="324" t="s">
        <v>176</v>
      </c>
      <c r="DJ6" s="324" t="s">
        <v>174</v>
      </c>
      <c r="DK6" s="324" t="s">
        <v>175</v>
      </c>
      <c r="DL6" s="325" t="s">
        <v>176</v>
      </c>
    </row>
    <row r="7">
      <c r="B7" s="164" t="s">
        <v>288</v>
      </c>
      <c r="C7" s="178" t="str">
        <f>IFERROR(VLOOKUP(C$5,DONNEES!$D$31:$J$40,2,FALSE),)</f>
        <v/>
      </c>
      <c r="D7" s="179" t="str">
        <f>IFERROR(VLOOKUP(C$5,DONNEES!$D$31:$J$40,3,FALSE),)</f>
        <v/>
      </c>
      <c r="E7" s="179" t="str">
        <f>IFERROR(VLOOKUP(C$5,DONNEES!$D$31:$J$40,4,FALSE),)</f>
        <v/>
      </c>
      <c r="F7" s="180" t="str">
        <f>IFERROR(VLOOKUP(F$5,DONNEES!$D$31:$J$40,2,FALSE),)</f>
        <v/>
      </c>
      <c r="G7" s="179" t="str">
        <f>IFERROR(VLOOKUP(F$5,DONNEES!$D$31:$J$40,3,FALSE),)</f>
        <v/>
      </c>
      <c r="H7" s="179" t="str">
        <f>IFERROR(VLOOKUP(F$5,DONNEES!$D$31:$J$40,4,FALSE),)</f>
        <v/>
      </c>
      <c r="I7" s="179" t="str">
        <f>IFERROR(VLOOKUP(I$5,DONNEES!$D$31:$J$40,2,FALSE),)</f>
        <v/>
      </c>
      <c r="J7" s="179" t="str">
        <f>IFERROR(VLOOKUP(I$5,DONNEES!$D$31:$J$40,3,FALSE),)</f>
        <v/>
      </c>
      <c r="K7" s="179" t="str">
        <f>IFERROR(VLOOKUP(I$5,DONNEES!$D$31:$J$40,4,FALSE),)</f>
        <v/>
      </c>
      <c r="L7" s="179" t="str">
        <f>IFERROR(VLOOKUP(L$5,DONNEES!$D$31:$J$40,2,FALSE),)</f>
        <v/>
      </c>
      <c r="M7" s="179" t="str">
        <f>IFERROR(VLOOKUP(L$5,DONNEES!$D$31:$J$40,3,FALSE),)</f>
        <v/>
      </c>
      <c r="N7" s="179" t="str">
        <f>IFERROR(VLOOKUP(L$5,DONNEES!$D$31:$J$40,4,FALSE),)</f>
        <v/>
      </c>
      <c r="O7" s="179" t="str">
        <f>IFERROR(VLOOKUP(O$5,DONNEES!$D$31:$J$40,2,FALSE),)</f>
        <v/>
      </c>
      <c r="P7" s="179" t="str">
        <f>IFERROR(VLOOKUP(O$5,DONNEES!$D$31:$J$40,3,FALSE),)</f>
        <v/>
      </c>
      <c r="Q7" s="179" t="str">
        <f>IFERROR(VLOOKUP(O$5,DONNEES!$D$31:$J$40,4,FALSE),)</f>
        <v/>
      </c>
      <c r="R7" s="180" t="str">
        <f>IFERROR(VLOOKUP(R$5,DONNEES!$D$31:$J$40,2,FALSE),)</f>
        <v/>
      </c>
      <c r="S7" s="179" t="str">
        <f>IFERROR(VLOOKUP(R$5,DONNEES!$D$31:$J$40,3,FALSE),)</f>
        <v/>
      </c>
      <c r="T7" s="179" t="str">
        <f>IFERROR(VLOOKUP(R$5,DONNEES!$D$31:$J$40,4,FALSE),)</f>
        <v/>
      </c>
      <c r="U7" s="179" t="str">
        <f>IFERROR(VLOOKUP(U$5,DONNEES!$D$31:$J$40,2,FALSE),)</f>
        <v/>
      </c>
      <c r="V7" s="179" t="str">
        <f>IFERROR(VLOOKUP(U$5,DONNEES!$D$31:$J$40,3,FALSE),)</f>
        <v/>
      </c>
      <c r="W7" s="179" t="str">
        <f>IFERROR(VLOOKUP(U$5,DONNEES!$D$31:$J$40,4,FALSE),)</f>
        <v/>
      </c>
      <c r="X7" s="180" t="str">
        <f>IFERROR(VLOOKUP(X$5,DONNEES!$D$31:$J$40,2,FALSE),)</f>
        <v/>
      </c>
      <c r="Y7" s="179" t="str">
        <f>IFERROR(VLOOKUP(X$5,DONNEES!$D$31:$J$40,3,FALSE),)</f>
        <v/>
      </c>
      <c r="Z7" s="179" t="str">
        <f>IFERROR(VLOOKUP(X$5,DONNEES!$D$31:$J$40,4,FALSE),)</f>
        <v/>
      </c>
      <c r="AA7" s="179" t="str">
        <f>IFERROR(VLOOKUP(AA$5,DONNEES!$D$31:$J$40,2,FALSE),)</f>
        <v/>
      </c>
      <c r="AB7" s="179" t="str">
        <f>IFERROR(VLOOKUP(AA$5,DONNEES!$D$31:$J$40,3,FALSE),)</f>
        <v/>
      </c>
      <c r="AC7" s="179" t="str">
        <f>IFERROR(VLOOKUP(AA$5,DONNEES!$D$31:$J$40,4,FALSE),)</f>
        <v/>
      </c>
      <c r="AD7" s="179" t="str">
        <f>IFERROR(VLOOKUP(AD$5,DONNEES!$D$31:$J$40,2,FALSE),)</f>
        <v/>
      </c>
      <c r="AE7" s="179" t="str">
        <f>IFERROR(VLOOKUP(AD$5,DONNEES!$D$31:$J$40,3,FALSE),)</f>
        <v/>
      </c>
      <c r="AF7" s="179" t="str">
        <f>IFERROR(VLOOKUP(AD$5,DONNEES!$D$31:$J$40,4,FALSE),)</f>
        <v/>
      </c>
      <c r="AG7" s="179" t="str">
        <f>IFERROR(VLOOKUP(AG$5,DONNEES!$D$31:$J$40,2,FALSE),)</f>
        <v/>
      </c>
      <c r="AH7" s="179" t="str">
        <f>IFERROR(VLOOKUP(AG$5,DONNEES!$D$31:$J$40,3,FALSE),)</f>
        <v/>
      </c>
      <c r="AI7" s="179" t="str">
        <f>IFERROR(VLOOKUP(AG$5,DONNEES!$D$31:$J$40,4,FALSE),)</f>
        <v/>
      </c>
      <c r="AJ7" s="179" t="str">
        <f>IFERROR(VLOOKUP(AJ$5,DONNEES!$D$31:$J$40,2,FALSE),)</f>
        <v/>
      </c>
      <c r="AK7" s="179" t="str">
        <f>IFERROR(VLOOKUP(AJ$5,DONNEES!$D$31:$J$40,3,FALSE),)</f>
        <v/>
      </c>
      <c r="AL7" s="179" t="str">
        <f>IFERROR(VLOOKUP(AJ$5,DONNEES!$D$31:$J$40,4,FALSE),)</f>
        <v/>
      </c>
      <c r="AM7" s="179" t="str">
        <f>IFERROR(VLOOKUP(AM$5,DONNEES!$D$31:$J$40,2,FALSE),)</f>
        <v/>
      </c>
      <c r="AN7" s="179" t="str">
        <f>IFERROR(VLOOKUP(AM$5,DONNEES!$D$31:$J$40,3,FALSE),)</f>
        <v/>
      </c>
      <c r="AO7" s="179" t="str">
        <f>IFERROR(VLOOKUP(AM$5,DONNEES!$D$31:$J$40,4,FALSE),)</f>
        <v/>
      </c>
      <c r="AP7" s="179" t="str">
        <f>IFERROR(VLOOKUP(AP$5,DONNEES!$D$31:$J$40,2,FALSE),)</f>
        <v/>
      </c>
      <c r="AQ7" s="179" t="str">
        <f>IFERROR(VLOOKUP(AP$5,DONNEES!$D$31:$J$40,3,FALSE),)</f>
        <v/>
      </c>
      <c r="AR7" s="179" t="str">
        <f>IFERROR(VLOOKUP(AP$5,DONNEES!$D$31:$J$40,4,FALSE),)</f>
        <v/>
      </c>
      <c r="AS7" s="179" t="str">
        <f>IFERROR(VLOOKUP(AS$5,DONNEES!$D$31:$J$40,2,FALSE),)</f>
        <v/>
      </c>
      <c r="AT7" s="179" t="str">
        <f>IFERROR(VLOOKUP(AS$5,DONNEES!$D$31:$J$40,3,FALSE),)</f>
        <v/>
      </c>
      <c r="AU7" s="179" t="str">
        <f>IFERROR(VLOOKUP(AS$5,DONNEES!$D$31:$J$40,4,FALSE),)</f>
        <v/>
      </c>
      <c r="AV7" s="180">
        <f>IFERROR(VLOOKUP(AV$5,DONNEES!$D$31:$J$40,2,FALSE),)</f>
        <v>12000</v>
      </c>
      <c r="AW7" s="179">
        <f>IFERROR(VLOOKUP(AV$5,DONNEES!$D$31:$J$40,3,FALSE),)</f>
        <v>0</v>
      </c>
      <c r="AX7" s="179">
        <f>IFERROR(VLOOKUP(AV$5,DONNEES!$D$31:$J$40,4,FALSE),)</f>
        <v>0</v>
      </c>
      <c r="AY7" s="179">
        <f>IFERROR(VLOOKUP(AY$5,DONNEES!$D$31:$J$40,2,FALSE),)</f>
        <v>57000</v>
      </c>
      <c r="AZ7" s="179">
        <f>IFERROR(VLOOKUP(AY$5,DONNEES!$D$31:$J$40,3,FALSE),)</f>
        <v>0</v>
      </c>
      <c r="BA7" s="179">
        <f>IFERROR(VLOOKUP(AY$5,DONNEES!$D$31:$J$40,4,FALSE),)</f>
        <v>0</v>
      </c>
      <c r="BB7" s="180" t="str">
        <f>IFERROR(VLOOKUP(BB$5,DONNEES!$D$42:$J$50,2,FALSE),)</f>
        <v/>
      </c>
      <c r="BC7" s="179" t="str">
        <f>IFERROR(VLOOKUP(BB$5,DONNEES!$D$42:$J$50,4,FALSE),)</f>
        <v/>
      </c>
      <c r="BD7" s="179" t="str">
        <f>IFERROR(VLOOKUP(BB$5,DONNEES!$D$42:$J$50,6,FALSE),)</f>
        <v/>
      </c>
      <c r="BE7" s="179" t="str">
        <f>IFERROR(VLOOKUP(BE$5,DONNEES!$D$42:$J$50,2,FALSE),)</f>
        <v/>
      </c>
      <c r="BF7" s="179" t="str">
        <f>IFERROR(VLOOKUP(BE$5,DONNEES!$D$42:$J$50,4,FALSE),)</f>
        <v/>
      </c>
      <c r="BG7" s="179" t="str">
        <f>IFERROR(VLOOKUP(BE$5,DONNEES!$D$42:$J$50,6,FALSE),)</f>
        <v/>
      </c>
      <c r="BH7" s="179" t="str">
        <f>IFERROR(VLOOKUP(BH$5,DONNEES!$D$42:$J$50,2,FALSE),)</f>
        <v/>
      </c>
      <c r="BI7" s="179" t="str">
        <f>IFERROR(VLOOKUP(BH$5,DONNEES!$D$42:$J$50,4,FALSE),)</f>
        <v/>
      </c>
      <c r="BJ7" s="179" t="str">
        <f>IFERROR(VLOOKUP(BH$5,DONNEES!$D$42:$J$50,6,FALSE),)</f>
        <v/>
      </c>
      <c r="BK7" s="179" t="str">
        <f>IFERROR(VLOOKUP(BK$5,DONNEES!$D$42:$J$50,2,FALSE),)</f>
        <v/>
      </c>
      <c r="BL7" s="179" t="str">
        <f>IFERROR(VLOOKUP(BK$5,DONNEES!$D$42:$J$50,4,FALSE),)</f>
        <v/>
      </c>
      <c r="BM7" s="179" t="str">
        <f>IFERROR(VLOOKUP(BK$5,DONNEES!$D$42:$J$50,6,FALSE),)</f>
        <v/>
      </c>
      <c r="BN7" s="179" t="str">
        <f>IFERROR(VLOOKUP(BN$5,DONNEES!$D$42:$J$50,2,FALSE),)</f>
        <v/>
      </c>
      <c r="BO7" s="179" t="str">
        <f>IFERROR(VLOOKUP(BN$5,DONNEES!$D$42:$J$50,4,FALSE),)</f>
        <v/>
      </c>
      <c r="BP7" s="179" t="str">
        <f>IFERROR(VLOOKUP(BN$5,DONNEES!$D$42:$J$50,6,FALSE),)</f>
        <v/>
      </c>
      <c r="BQ7" s="179" t="str">
        <f>IFERROR(VLOOKUP(BQ$5,DONNEES!$D$42:$J$50,2,FALSE),)</f>
        <v/>
      </c>
      <c r="BR7" s="179" t="str">
        <f>IFERROR(VLOOKUP(BQ$5,DONNEES!$D$42:$J$50,4,FALSE),)</f>
        <v/>
      </c>
      <c r="BS7" s="179" t="str">
        <f>IFERROR(VLOOKUP(BQ$5,DONNEES!$D$42:$J$50,6,FALSE),)</f>
        <v/>
      </c>
      <c r="BT7" s="179">
        <f>IFERROR(VLOOKUP(BT$5,DONNEES!$D$42:$J$50,2,FALSE),)</f>
        <v>3</v>
      </c>
      <c r="BU7" s="179">
        <f>IFERROR(VLOOKUP(BT$5,DONNEES!$D$42:$J$50,4,FALSE),)</f>
        <v>0</v>
      </c>
      <c r="BV7" s="179">
        <f>IFERROR(VLOOKUP(BT$5,DONNEES!$D$42:$J$50,6,FALSE),)</f>
        <v>0</v>
      </c>
      <c r="BW7" s="179" t="str">
        <f>IFERROR(VLOOKUP(BW$5,DONNEES!$D$42:$J$50,2,FALSE),)</f>
        <v/>
      </c>
      <c r="BX7" s="179" t="str">
        <f>IFERROR(VLOOKUP(BW$5,DONNEES!$D$42:$J$50,4,FALSE),)</f>
        <v/>
      </c>
      <c r="BY7" s="179" t="str">
        <f>IFERROR(VLOOKUP(BW$5,DONNEES!$D$42:$J$50,6,FALSE),)</f>
        <v/>
      </c>
      <c r="BZ7" s="179" t="str">
        <f>IFERROR(VLOOKUP(BZ$5,DONNEES!$D$42:$J$50,2,FALSE),)</f>
        <v/>
      </c>
      <c r="CA7" s="179" t="str">
        <f>IFERROR(VLOOKUP(BZ$5,DONNEES!$D$42:$J$50,4,FALSE),)</f>
        <v/>
      </c>
      <c r="CB7" s="179" t="str">
        <f>IFERROR(VLOOKUP(BZ$5,DONNEES!$D$42:$J$50,6,FALSE),)</f>
        <v/>
      </c>
      <c r="CC7" s="179" t="str">
        <f>IFERROR(VLOOKUP(CC$5,DONNEES!$D$42:$J$50,2,FALSE),)</f>
        <v/>
      </c>
      <c r="CD7" s="179" t="str">
        <f>IFERROR(VLOOKUP(CC$5,DONNEES!$D$42:$J$50,4,FALSE),)</f>
        <v/>
      </c>
      <c r="CE7" s="179" t="str">
        <f>IFERROR(VLOOKUP(CC$5,DONNEES!$D$42:$J$50,6,FALSE),)</f>
        <v/>
      </c>
      <c r="CF7" s="179" t="str">
        <f>IFERROR(VLOOKUP(CF$5,DONNEES!$D$42:$J$50,2,FALSE),)</f>
        <v/>
      </c>
      <c r="CG7" s="179" t="str">
        <f>IFERROR(VLOOKUP(CF$5,DONNEES!$D$42:$J$50,4,FALSE),)</f>
        <v/>
      </c>
      <c r="CH7" s="179" t="str">
        <f>IFERROR(VLOOKUP(CF$5,DONNEES!$D$42:$J$50,6,FALSE),)</f>
        <v/>
      </c>
      <c r="CI7" s="179" t="str">
        <f>IFERROR(VLOOKUP(CI$5,DONNEES!$D$42:$J$50,2,FALSE),)</f>
        <v/>
      </c>
      <c r="CJ7" s="179" t="str">
        <f>IFERROR(VLOOKUP(CI$5,DONNEES!$D$42:$J$50,4,FALSE),)</f>
        <v/>
      </c>
      <c r="CK7" s="179" t="str">
        <f>IFERROR(VLOOKUP(CI$5,DONNEES!$D$42:$J$50,6,FALSE),)</f>
        <v/>
      </c>
      <c r="CL7" s="179" t="str">
        <f>IFERROR(VLOOKUP(CL$5,DONNEES!$D$42:$J$50,2,FALSE),)</f>
        <v/>
      </c>
      <c r="CM7" s="179" t="str">
        <f>IFERROR(VLOOKUP(CL$5,DONNEES!$D$42:$J$50,4,FALSE),)</f>
        <v/>
      </c>
      <c r="CN7" s="179" t="str">
        <f>IFERROR(VLOOKUP(CL$5,DONNEES!$D$42:$J$50,6,FALSE),)</f>
        <v/>
      </c>
      <c r="CO7" s="179" t="str">
        <f>IFERROR(VLOOKUP(CO$5,DONNEES!$D$42:$J$50,2,FALSE),)</f>
        <v/>
      </c>
      <c r="CP7" s="179" t="str">
        <f>IFERROR(VLOOKUP(CO$5,DONNEES!$D$42:$J$50,4,FALSE),)</f>
        <v/>
      </c>
      <c r="CQ7" s="179" t="str">
        <f>IFERROR(VLOOKUP(CO$5,DONNEES!$D$42:$J$50,6,FALSE),)</f>
        <v/>
      </c>
      <c r="CR7" s="179" t="str">
        <f>IFERROR(VLOOKUP(CR$5,DONNEES!$D$42:$J$50,2,FALSE),)</f>
        <v/>
      </c>
      <c r="CS7" s="179" t="str">
        <f>IFERROR(VLOOKUP(CR$5,DONNEES!$D$42:$J$50,4,FALSE),)</f>
        <v/>
      </c>
      <c r="CT7" s="179" t="str">
        <f>IFERROR(VLOOKUP(CR$5,DONNEES!$D$42:$J$50,6,FALSE),)</f>
        <v/>
      </c>
      <c r="CU7" s="179" t="str">
        <f>IFERROR(VLOOKUP(CU$5,DONNEES!$D$42:$J$50,2,FALSE),)</f>
        <v/>
      </c>
      <c r="CV7" s="179" t="str">
        <f>IFERROR(VLOOKUP(CU$5,DONNEES!$D$42:$J$50,4,FALSE),)</f>
        <v/>
      </c>
      <c r="CW7" s="179" t="str">
        <f>IFERROR(VLOOKUP(CU$5,DONNEES!$D$42:$J$50,6,FALSE),)</f>
        <v/>
      </c>
      <c r="CX7" s="179" t="str">
        <f>IFERROR(VLOOKUP(CX$5,DONNEES!$D$42:$J$50,2,FALSE),)</f>
        <v/>
      </c>
      <c r="CY7" s="179" t="str">
        <f>IFERROR(VLOOKUP(CX$5,DONNEES!$D$42:$J$50,4,FALSE),)</f>
        <v/>
      </c>
      <c r="CZ7" s="179" t="str">
        <f>IFERROR(VLOOKUP(CX$5,DONNEES!$D$42:$J$50,6,FALSE),)</f>
        <v/>
      </c>
      <c r="DA7" s="179" t="str">
        <f>IFERROR(VLOOKUP(DA$5,DONNEES!$D$42:$J$50,2,FALSE),)</f>
        <v/>
      </c>
      <c r="DB7" s="179" t="str">
        <f>IFERROR(VLOOKUP(DA$5,DONNEES!$D$42:$J$50,4,FALSE),)</f>
        <v/>
      </c>
      <c r="DC7" s="179" t="str">
        <f>IFERROR(VLOOKUP(DA$5,DONNEES!$D$42:$J$50,6,FALSE),)</f>
        <v/>
      </c>
      <c r="DD7" s="179" t="str">
        <f>IFERROR(VLOOKUP(DD$5,DONNEES!$D$42:$J$50,2,FALSE),)</f>
        <v/>
      </c>
      <c r="DE7" s="179" t="str">
        <f>IFERROR(VLOOKUP(DD$5,DONNEES!$D$42:$J$50,4,FALSE),)</f>
        <v/>
      </c>
      <c r="DF7" s="179" t="str">
        <f>IFERROR(VLOOKUP(DD$5,DONNEES!$D$42:$J$50,6,FALSE),)</f>
        <v/>
      </c>
      <c r="DG7" s="179" t="str">
        <f>IFERROR(VLOOKUP(DG$5,DONNEES!$D$42:$J$50,2,FALSE),)</f>
        <v/>
      </c>
      <c r="DH7" s="179" t="str">
        <f>IFERROR(VLOOKUP(DG$5,DONNEES!$D$42:$J$50,4,FALSE),)</f>
        <v/>
      </c>
      <c r="DI7" s="179" t="str">
        <f>IFERROR(VLOOKUP(DG$5,DONNEES!$D$42:$J$50,6,FALSE),)</f>
        <v/>
      </c>
      <c r="DJ7" s="179" t="str">
        <f>IFERROR(VLOOKUP(DJ$5,DONNEES!$D$42:$J$50,2,FALSE),)</f>
        <v/>
      </c>
      <c r="DK7" s="179" t="str">
        <f>IFERROR(VLOOKUP(DJ$5,DONNEES!$D$42:$J$50,4,FALSE),)</f>
        <v/>
      </c>
      <c r="DL7" s="179" t="str">
        <f>IFERROR(VLOOKUP(DJ$5,DONNEES!$D$42:$J$50,6,FALSE),)</f>
        <v/>
      </c>
    </row>
    <row r="8">
      <c r="B8" s="164" t="s">
        <v>289</v>
      </c>
      <c r="C8" s="179" t="str">
        <f>IFERROR(VLOOKUP(C$5,DONNEES!$L$31:$R$40,2,FALSE),)</f>
        <v/>
      </c>
      <c r="D8" s="179" t="str">
        <f>IFERROR(VLOOKUP(C$5,DONNEES!$L$31:$R$40,3,FALSE),)</f>
        <v/>
      </c>
      <c r="E8" s="179" t="str">
        <f>IFERROR(VLOOKUP(C$5,DONNEES!$L$31:$R$40,4,FALSE),)</f>
        <v/>
      </c>
      <c r="F8" s="180" t="str">
        <f>IFERROR(VLOOKUP(F$5,DONNEES!$L$31:$R$40,2,FALSE),)</f>
        <v/>
      </c>
      <c r="G8" s="179" t="str">
        <f>IFERROR(VLOOKUP(F$5,DONNEES!$L$31:$R$40,3,FALSE),)</f>
        <v/>
      </c>
      <c r="H8" s="179" t="str">
        <f>IFERROR(VLOOKUP(F$5,DONNEES!$L$31:$R$40,4,FALSE),)</f>
        <v/>
      </c>
      <c r="I8" s="179" t="str">
        <f>IFERROR(VLOOKUP(I$5,DONNEES!$L$31:$R$40,2,FALSE),)</f>
        <v/>
      </c>
      <c r="J8" s="179" t="str">
        <f>IFERROR(VLOOKUP(I$5,DONNEES!$L$31:$R$40,3,FALSE),)</f>
        <v/>
      </c>
      <c r="K8" s="179" t="str">
        <f>IFERROR(VLOOKUP(I$5,DONNEES!$L$31:$R$40,4,FALSE),)</f>
        <v/>
      </c>
      <c r="L8" s="179" t="str">
        <f>IFERROR(VLOOKUP(L$5,DONNEES!$L$31:$R$40,2,FALSE),)</f>
        <v/>
      </c>
      <c r="M8" s="179" t="str">
        <f>IFERROR(VLOOKUP(L$5,DONNEES!$L$31:$R$40,3,FALSE),)</f>
        <v/>
      </c>
      <c r="N8" s="179" t="str">
        <f>IFERROR(VLOOKUP(L$5,DONNEES!$L$31:$R$40,4,FALSE),)</f>
        <v/>
      </c>
      <c r="O8" s="179" t="str">
        <f>IFERROR(VLOOKUP(O$5,DONNEES!$L$31:$R$40,2,FALSE),)</f>
        <v/>
      </c>
      <c r="P8" s="179" t="str">
        <f>IFERROR(VLOOKUP(O$5,DONNEES!$L$31:$R$40,3,FALSE),)</f>
        <v/>
      </c>
      <c r="Q8" s="179" t="str">
        <f>IFERROR(VLOOKUP(O$5,DONNEES!$L$31:$R$40,4,FALSE),)</f>
        <v/>
      </c>
      <c r="R8" s="180" t="str">
        <f>IFERROR(VLOOKUP(R$5,DONNEES!$L$31:$R$40,2,FALSE),)</f>
        <v/>
      </c>
      <c r="S8" s="179" t="str">
        <f>IFERROR(VLOOKUP(R$5,DONNEES!$L$31:$R$40,3,FALSE),)</f>
        <v/>
      </c>
      <c r="T8" s="179" t="str">
        <f>IFERROR(VLOOKUP(R$5,DONNEES!$L$31:$R$40,4,FALSE),)</f>
        <v/>
      </c>
      <c r="U8" s="179" t="str">
        <f>IFERROR(VLOOKUP(U$5,DONNEES!$L$31:$R$40,2,FALSE),)</f>
        <v/>
      </c>
      <c r="V8" s="179" t="str">
        <f>IFERROR(VLOOKUP(U$5,DONNEES!$L$31:$R$40,3,FALSE),)</f>
        <v/>
      </c>
      <c r="W8" s="179" t="str">
        <f>IFERROR(VLOOKUP(U$5,DONNEES!$L$31:$R$40,4,FALSE),)</f>
        <v/>
      </c>
      <c r="X8" s="180" t="str">
        <f>IFERROR(VLOOKUP(X$5,DONNEES!$L$31:$R$40,2,FALSE),)</f>
        <v/>
      </c>
      <c r="Y8" s="179" t="str">
        <f>IFERROR(VLOOKUP(X$5,DONNEES!$L$31:$R$40,3,FALSE),)</f>
        <v/>
      </c>
      <c r="Z8" s="179" t="str">
        <f>IFERROR(VLOOKUP(X$5,DONNEES!$L$31:$R$40,4,FALSE),)</f>
        <v/>
      </c>
      <c r="AA8" s="179" t="str">
        <f>IFERROR(VLOOKUP(AA$5,DONNEES!$L$31:$R$40,2,FALSE),)</f>
        <v/>
      </c>
      <c r="AB8" s="179" t="str">
        <f>IFERROR(VLOOKUP(AA$5,DONNEES!$L$31:$R$40,3,FALSE),)</f>
        <v/>
      </c>
      <c r="AC8" s="179" t="str">
        <f>IFERROR(VLOOKUP(AA$5,DONNEES!$L$31:$R$40,4,FALSE),)</f>
        <v/>
      </c>
      <c r="AD8" s="179" t="str">
        <f>IFERROR(VLOOKUP(AD$5,DONNEES!$L$31:$R$40,2,FALSE),)</f>
        <v/>
      </c>
      <c r="AE8" s="179" t="str">
        <f>IFERROR(VLOOKUP(AD$5,DONNEES!$L$31:$R$40,3,FALSE),)</f>
        <v/>
      </c>
      <c r="AF8" s="179" t="str">
        <f>IFERROR(VLOOKUP(AD$5,DONNEES!$L$31:$R$40,4,FALSE),)</f>
        <v/>
      </c>
      <c r="AG8" s="179" t="str">
        <f>IFERROR(VLOOKUP(AG$5,DONNEES!$L$31:$R$40,2,FALSE),)</f>
        <v/>
      </c>
      <c r="AH8" s="179" t="str">
        <f>IFERROR(VLOOKUP(AG$5,DONNEES!$L$31:$R$40,3,FALSE),)</f>
        <v/>
      </c>
      <c r="AI8" s="179" t="str">
        <f>IFERROR(VLOOKUP(AG$5,DONNEES!$L$31:$R$40,4,FALSE),)</f>
        <v/>
      </c>
      <c r="AJ8" s="179" t="str">
        <f>IFERROR(VLOOKUP(AJ$5,DONNEES!$L$31:$R$40,2,FALSE),)</f>
        <v/>
      </c>
      <c r="AK8" s="179" t="str">
        <f>IFERROR(VLOOKUP(AJ$5,DONNEES!$L$31:$R$40,3,FALSE),)</f>
        <v/>
      </c>
      <c r="AL8" s="179" t="str">
        <f>IFERROR(VLOOKUP(AJ$5,DONNEES!$L$31:$R$40,4,FALSE),)</f>
        <v/>
      </c>
      <c r="AM8" s="179" t="str">
        <f>IFERROR(VLOOKUP(AM$5,DONNEES!$L$31:$R$40,2,FALSE),)</f>
        <v/>
      </c>
      <c r="AN8" s="179" t="str">
        <f>IFERROR(VLOOKUP(AM$5,DONNEES!$L$31:$R$40,3,FALSE),)</f>
        <v/>
      </c>
      <c r="AO8" s="179" t="str">
        <f>IFERROR(VLOOKUP(AM$5,DONNEES!$L$31:$R$40,4,FALSE),)</f>
        <v/>
      </c>
      <c r="AP8" s="179" t="str">
        <f>IFERROR(VLOOKUP(AP$5,DONNEES!$L$31:$R$40,2,FALSE),)</f>
        <v/>
      </c>
      <c r="AQ8" s="179" t="str">
        <f>IFERROR(VLOOKUP(AP$5,DONNEES!$L$31:$R$40,3,FALSE),)</f>
        <v/>
      </c>
      <c r="AR8" s="179" t="str">
        <f>IFERROR(VLOOKUP(AP$5,DONNEES!$L$31:$R$40,4,FALSE),)</f>
        <v/>
      </c>
      <c r="AS8" s="179" t="str">
        <f>IFERROR(VLOOKUP(AS$5,DONNEES!$L$31:$R$40,2,FALSE),)</f>
        <v/>
      </c>
      <c r="AT8" s="179" t="str">
        <f>IFERROR(VLOOKUP(AS$5,DONNEES!$L$31:$R$40,3,FALSE),)</f>
        <v/>
      </c>
      <c r="AU8" s="179" t="str">
        <f>IFERROR(VLOOKUP(AS$5,DONNEES!$L$31:$R$40,4,FALSE),)</f>
        <v/>
      </c>
      <c r="AV8" s="180">
        <f>IFERROR(VLOOKUP(AV$5,DONNEES!$L$31:$R$40,2,FALSE),)</f>
        <v>15000</v>
      </c>
      <c r="AW8" s="179">
        <f>IFERROR(VLOOKUP(AV$5,DONNEES!$L$31:$R$40,3,FALSE),)</f>
        <v>0</v>
      </c>
      <c r="AX8" s="179">
        <f>IFERROR(VLOOKUP(AV$5,DONNEES!$L$31:$R$40,4,FALSE),)</f>
        <v>0</v>
      </c>
      <c r="AY8" s="179">
        <f>IFERROR(VLOOKUP(AY$5,DONNEES!$L$31:$R$40,2,FALSE),)</f>
        <v>300000</v>
      </c>
      <c r="AZ8" s="179">
        <f>IFERROR(VLOOKUP(AY$5,DONNEES!$L$31:$R$40,3,FALSE),)</f>
        <v>0</v>
      </c>
      <c r="BA8" s="179">
        <f>IFERROR(VLOOKUP(AY$5,DONNEES!$L$31:$R$40,4,FALSE),)</f>
        <v>0</v>
      </c>
      <c r="BB8" s="180" t="str">
        <f>IFERROR(VLOOKUP(BB$5,DONNEES!$L$42:$R$50,2,FALSE),)</f>
        <v/>
      </c>
      <c r="BC8" s="179" t="str">
        <f>IFERROR(VLOOKUP(BB$5,DONNEES!$L$42:$R$50,4,FALSE),)</f>
        <v/>
      </c>
      <c r="BD8" s="179" t="str">
        <f>IFERROR(VLOOKUP(BB$5,DONNEES!$L$42:$R$50,6,FALSE),)</f>
        <v/>
      </c>
      <c r="BE8" s="179" t="str">
        <f>IFERROR(VLOOKUP(BE$5,DONNEES!$L$42:$R$50,2,FALSE),)</f>
        <v/>
      </c>
      <c r="BF8" s="179" t="str">
        <f>IFERROR(VLOOKUP(BE$5,DONNEES!$L$42:$R$50,4,FALSE),)</f>
        <v/>
      </c>
      <c r="BG8" s="179" t="str">
        <f>IFERROR(VLOOKUP(BE$5,DONNEES!$L$42:$R$50,6,FALSE),)</f>
        <v/>
      </c>
      <c r="BH8" s="179" t="str">
        <f>IFERROR(VLOOKUP(BH$5,DONNEES!$L$42:$R$50,2,FALSE),)</f>
        <v/>
      </c>
      <c r="BI8" s="179" t="str">
        <f>IFERROR(VLOOKUP(BH$5,DONNEES!$L$42:$R$50,4,FALSE),)</f>
        <v/>
      </c>
      <c r="BJ8" s="179" t="str">
        <f>IFERROR(VLOOKUP(BH$5,DONNEES!$L$42:$R$50,6,FALSE),)</f>
        <v/>
      </c>
      <c r="BK8" s="179" t="str">
        <f>IFERROR(VLOOKUP(BK$5,DONNEES!$L$42:$R$50,2,FALSE),)</f>
        <v/>
      </c>
      <c r="BL8" s="179" t="str">
        <f>IFERROR(VLOOKUP(BK$5,DONNEES!$L$42:$R$50,4,FALSE),)</f>
        <v/>
      </c>
      <c r="BM8" s="179" t="str">
        <f>IFERROR(VLOOKUP(BK$5,DONNEES!$L$42:$R$50,6,FALSE),)</f>
        <v/>
      </c>
      <c r="BN8" s="179" t="str">
        <f>IFERROR(VLOOKUP(BN$5,DONNEES!$L$42:$R$50,2,FALSE),)</f>
        <v/>
      </c>
      <c r="BO8" s="179" t="str">
        <f>IFERROR(VLOOKUP(BN$5,DONNEES!$L$42:$R$50,4,FALSE),)</f>
        <v/>
      </c>
      <c r="BP8" s="179" t="str">
        <f>IFERROR(VLOOKUP(BN$5,DONNEES!$L$42:$R$50,6,FALSE),)</f>
        <v/>
      </c>
      <c r="BQ8" s="179" t="str">
        <f>IFERROR(VLOOKUP(BQ$5,DONNEES!$L$42:$R$50,2,FALSE),)</f>
        <v/>
      </c>
      <c r="BR8" s="179" t="str">
        <f>IFERROR(VLOOKUP(BQ$5,DONNEES!$L$42:$R$50,4,FALSE),)</f>
        <v/>
      </c>
      <c r="BS8" s="179" t="str">
        <f>IFERROR(VLOOKUP(BQ$5,DONNEES!$L$42:$R$50,6,FALSE),)</f>
        <v/>
      </c>
      <c r="BT8" s="179">
        <f>IFERROR(VLOOKUP(BT$5,DONNEES!$L$42:$R$50,2,FALSE),)</f>
        <v>15</v>
      </c>
      <c r="BU8" s="179">
        <f>IFERROR(VLOOKUP(BT$5,DONNEES!$L$42:$R$50,4,FALSE),)</f>
        <v>0</v>
      </c>
      <c r="BV8" s="179">
        <f>IFERROR(VLOOKUP(BT$5,DONNEES!$L$42:$R$50,6,FALSE),)</f>
        <v>0</v>
      </c>
      <c r="BW8" s="179" t="str">
        <f>IFERROR(VLOOKUP(BW$5,DONNEES!$L$42:$R$50,2,FALSE),)</f>
        <v/>
      </c>
      <c r="BX8" s="179" t="str">
        <f>IFERROR(VLOOKUP(BW$5,DONNEES!$L$42:$R$50,4,FALSE),)</f>
        <v/>
      </c>
      <c r="BY8" s="179" t="str">
        <f>IFERROR(VLOOKUP(BW$5,DONNEES!$L$42:$R$50,6,FALSE),)</f>
        <v/>
      </c>
      <c r="BZ8" s="179" t="str">
        <f>IFERROR(VLOOKUP(BZ$5,DONNEES!$L$42:$R$50,2,FALSE),)</f>
        <v/>
      </c>
      <c r="CA8" s="179" t="str">
        <f>IFERROR(VLOOKUP(BZ$5,DONNEES!$L$42:$R$50,4,FALSE),)</f>
        <v/>
      </c>
      <c r="CB8" s="179" t="str">
        <f>IFERROR(VLOOKUP(BZ$5,DONNEES!$L$42:$R$50,6,FALSE),)</f>
        <v/>
      </c>
      <c r="CC8" s="179" t="str">
        <f>IFERROR(VLOOKUP(CC$5,DONNEES!$L$42:$R$50,2,FALSE),)</f>
        <v/>
      </c>
      <c r="CD8" s="179" t="str">
        <f>IFERROR(VLOOKUP(CC$5,DONNEES!$L$42:$R$50,4,FALSE),)</f>
        <v/>
      </c>
      <c r="CE8" s="179" t="str">
        <f>IFERROR(VLOOKUP(CC$5,DONNEES!$L$42:$R$50,6,FALSE),)</f>
        <v/>
      </c>
      <c r="CF8" s="179" t="str">
        <f>IFERROR(VLOOKUP(CF$5,DONNEES!$L$42:$R$50,2,FALSE),)</f>
        <v/>
      </c>
      <c r="CG8" s="179" t="str">
        <f>IFERROR(VLOOKUP(CF$5,DONNEES!$L$42:$R$50,4,FALSE),)</f>
        <v/>
      </c>
      <c r="CH8" s="179" t="str">
        <f>IFERROR(VLOOKUP(CF$5,DONNEES!$L$42:$R$50,6,FALSE),)</f>
        <v/>
      </c>
      <c r="CI8" s="179" t="str">
        <f>IFERROR(VLOOKUP(CI$5,DONNEES!$L$42:$R$50,2,FALSE),)</f>
        <v/>
      </c>
      <c r="CJ8" s="179" t="str">
        <f>IFERROR(VLOOKUP(CI$5,DONNEES!$L$42:$R$50,4,FALSE),)</f>
        <v/>
      </c>
      <c r="CK8" s="179" t="str">
        <f>IFERROR(VLOOKUP(CI$5,DONNEES!$L$42:$R$50,6,FALSE),)</f>
        <v/>
      </c>
      <c r="CL8" s="180" t="str">
        <f>IFERROR(VLOOKUP(CL$5,DONNEES!$L$42:$R$50,2,FALSE),)</f>
        <v/>
      </c>
      <c r="CM8" s="180" t="str">
        <f>IFERROR(VLOOKUP(CL$5,DONNEES!$L$42:$R$50,4,FALSE),)</f>
        <v/>
      </c>
      <c r="CN8" s="180" t="str">
        <f>IFERROR(VLOOKUP(CL$5,DONNEES!$L$42:$R$50,6,FALSE),)</f>
        <v/>
      </c>
      <c r="CO8" s="179" t="str">
        <f>IFERROR(VLOOKUP(CO$5,DONNEES!$L$42:$R$50,2,FALSE),)</f>
        <v/>
      </c>
      <c r="CP8" s="179" t="str">
        <f>IFERROR(VLOOKUP(CO$5,DONNEES!$L$42:$R$50,4,FALSE),)</f>
        <v/>
      </c>
      <c r="CQ8" s="179" t="str">
        <f>IFERROR(VLOOKUP(CO$5,DONNEES!$L$42:$R$50,6,FALSE),)</f>
        <v/>
      </c>
      <c r="CR8" s="179" t="str">
        <f>IFERROR(VLOOKUP(CR$5,DONNEES!$L$42:$R$50,2,FALSE),)</f>
        <v/>
      </c>
      <c r="CS8" s="179" t="str">
        <f>IFERROR(VLOOKUP(CR$5,DONNEES!$L$42:$R$50,4,FALSE),)</f>
        <v/>
      </c>
      <c r="CT8" s="179" t="str">
        <f>IFERROR(VLOOKUP(CR$5,DONNEES!$L$42:$R$50,6,FALSE),)</f>
        <v/>
      </c>
      <c r="CU8" s="179" t="str">
        <f>IFERROR(VLOOKUP(CU$5,DONNEES!$L$42:$R$50,2,FALSE),)</f>
        <v/>
      </c>
      <c r="CV8" s="179" t="str">
        <f>IFERROR(VLOOKUP(CU$5,DONNEES!$L$42:$R$50,4,FALSE),)</f>
        <v/>
      </c>
      <c r="CW8" s="179" t="str">
        <f>IFERROR(VLOOKUP(CU$5,DONNEES!$L$42:$R$50,6,FALSE),)</f>
        <v/>
      </c>
      <c r="CX8" s="179" t="str">
        <f>IFERROR(VLOOKUP(CX$5,DONNEES!$L$42:$R$50,2,FALSE),)</f>
        <v/>
      </c>
      <c r="CY8" s="179" t="str">
        <f>IFERROR(VLOOKUP(CX$5,DONNEES!$L$42:$R$50,4,FALSE),)</f>
        <v/>
      </c>
      <c r="CZ8" s="179" t="str">
        <f>IFERROR(VLOOKUP(CX$5,DONNEES!$L$42:$R$50,6,FALSE),)</f>
        <v/>
      </c>
      <c r="DA8" s="179" t="str">
        <f>IFERROR(VLOOKUP(DA$5,DONNEES!$L$42:$R$50,2,FALSE),)</f>
        <v/>
      </c>
      <c r="DB8" s="179" t="str">
        <f>IFERROR(VLOOKUP(DA$5,DONNEES!$L$42:$R$50,4,FALSE),)</f>
        <v/>
      </c>
      <c r="DC8" s="179" t="str">
        <f>IFERROR(VLOOKUP(DA$5,DONNEES!$L$42:$R$50,6,FALSE),)</f>
        <v/>
      </c>
      <c r="DD8" s="179" t="str">
        <f>IFERROR(VLOOKUP(DD$5,DONNEES!$L$42:$R$50,2,FALSE),)</f>
        <v/>
      </c>
      <c r="DE8" s="179" t="str">
        <f>IFERROR(VLOOKUP(DD$5,DONNEES!$L$42:$R$50,4,FALSE),)</f>
        <v/>
      </c>
      <c r="DF8" s="179" t="str">
        <f>IFERROR(VLOOKUP(DD$5,DONNEES!$L$42:$R$50,6,FALSE),)</f>
        <v/>
      </c>
      <c r="DG8" s="179" t="str">
        <f>IFERROR(VLOOKUP(DG$5,DONNEES!$L$42:$R$50,2,FALSE),)</f>
        <v/>
      </c>
      <c r="DH8" s="179" t="str">
        <f>IFERROR(VLOOKUP(DG$5,DONNEES!$L$42:$R$50,4,FALSE),)</f>
        <v/>
      </c>
      <c r="DI8" s="179" t="str">
        <f>IFERROR(VLOOKUP(DG$5,DONNEES!$L$42:$R$50,6,FALSE),)</f>
        <v/>
      </c>
      <c r="DJ8" s="179" t="str">
        <f>IFERROR(VLOOKUP(DJ$5,DONNEES!$L$42:$R$50,2,FALSE),)</f>
        <v/>
      </c>
      <c r="DK8" s="179" t="str">
        <f>IFERROR(VLOOKUP(DJ$5,DONNEES!$L$42:$R$50,4,FALSE),)</f>
        <v/>
      </c>
      <c r="DL8" s="179" t="str">
        <f>IFERROR(VLOOKUP(DJ$5,DONNEES!$L$42:$R$50,6,FALSE),)</f>
        <v/>
      </c>
    </row>
    <row r="9">
      <c r="B9" s="164" t="s">
        <v>290</v>
      </c>
      <c r="C9" s="179" t="str">
        <f>IFERROR(VLOOKUP(C$5,DONNEES!$T$31:$Z$40,2,FALSE),)</f>
        <v/>
      </c>
      <c r="D9" s="179" t="str">
        <f>IFERROR(VLOOKUP(C$5,DONNEES!$T$31:$Z$40,3,FALSE),)</f>
        <v/>
      </c>
      <c r="E9" s="179" t="str">
        <f>IFERROR(VLOOKUP(C$5,DONNEES!$T$31:$Z$40,4,FALSE),)</f>
        <v/>
      </c>
      <c r="F9" s="180" t="str">
        <f>IFERROR(VLOOKUP(F$5,DONNEES!$T$31:$Z$40,2,FALSE),)</f>
        <v/>
      </c>
      <c r="G9" s="179" t="str">
        <f>IFERROR(VLOOKUP(F$5,DONNEES!$T$31:$Z$40,3,FALSE),)</f>
        <v/>
      </c>
      <c r="H9" s="179" t="str">
        <f>IFERROR(VLOOKUP(F$5,DONNEES!$T$31:$Z$40,4,FALSE),)</f>
        <v/>
      </c>
      <c r="I9" s="179" t="str">
        <f>IFERROR(VLOOKUP(I$5,DONNEES!$T$31:$Z$40,2,FALSE),)</f>
        <v/>
      </c>
      <c r="J9" s="179" t="str">
        <f>IFERROR(VLOOKUP(I$5,DONNEES!$T$31:$Z$40,3,FALSE),)</f>
        <v/>
      </c>
      <c r="K9" s="179" t="str">
        <f>IFERROR(VLOOKUP(I$5,DONNEES!$T$31:$Z$40,4,FALSE),)</f>
        <v/>
      </c>
      <c r="L9" s="179" t="str">
        <f>IFERROR(VLOOKUP(L$5,DONNEES!$T$31:$Z$40,2,FALSE),)</f>
        <v/>
      </c>
      <c r="M9" s="179" t="str">
        <f>IFERROR(VLOOKUP(L$5,DONNEES!$T$31:$Z$40,3,FALSE),)</f>
        <v/>
      </c>
      <c r="N9" s="179" t="str">
        <f>IFERROR(VLOOKUP(L$5,DONNEES!$T$31:$Z$40,4,FALSE),)</f>
        <v/>
      </c>
      <c r="O9" s="179" t="str">
        <f>IFERROR(VLOOKUP(O$5,DONNEES!$T$31:$Z$40,2,FALSE),)</f>
        <v/>
      </c>
      <c r="P9" s="179" t="str">
        <f>IFERROR(VLOOKUP(O$5,DONNEES!$T$31:$Z$40,3,FALSE),)</f>
        <v/>
      </c>
      <c r="Q9" s="179" t="str">
        <f>IFERROR(VLOOKUP(O$5,DONNEES!$T$31:$Z$40,4,FALSE),)</f>
        <v/>
      </c>
      <c r="R9" s="180" t="str">
        <f>IFERROR(VLOOKUP(R$5,DONNEES!$T$31:$Z$40,2,FALSE),)</f>
        <v/>
      </c>
      <c r="S9" s="179" t="str">
        <f>IFERROR(VLOOKUP(R$5,DONNEES!$T$31:$Z$40,3,FALSE),)</f>
        <v/>
      </c>
      <c r="T9" s="179" t="str">
        <f>IFERROR(VLOOKUP(R$5,DONNEES!$T$31:$Z$40,4,FALSE),)</f>
        <v/>
      </c>
      <c r="U9" s="179" t="str">
        <f>IFERROR(VLOOKUP(U$5,DONNEES!$T$31:$Z$40,2,FALSE),)</f>
        <v/>
      </c>
      <c r="V9" s="179" t="str">
        <f>IFERROR(VLOOKUP(U$5,DONNEES!$T$31:$Z$40,3,FALSE),)</f>
        <v/>
      </c>
      <c r="W9" s="179" t="str">
        <f>IFERROR(VLOOKUP(U$5,DONNEES!$T$31:$Z$40,4,FALSE),)</f>
        <v/>
      </c>
      <c r="X9" s="180" t="str">
        <f>IFERROR(VLOOKUP(X$5,DONNEES!$T$31:$Z$40,2,FALSE),)</f>
        <v/>
      </c>
      <c r="Y9" s="179" t="str">
        <f>IFERROR(VLOOKUP(X$5,DONNEES!$T$31:$Z$40,3,FALSE),)</f>
        <v/>
      </c>
      <c r="Z9" s="179" t="str">
        <f>IFERROR(VLOOKUP(X$5,DONNEES!$T$31:$Z$40,4,FALSE),)</f>
        <v/>
      </c>
      <c r="AA9" s="179" t="str">
        <f>IFERROR(VLOOKUP(AA$5,DONNEES!$T$31:$Z$40,2,FALSE),)</f>
        <v/>
      </c>
      <c r="AB9" s="179" t="str">
        <f>IFERROR(VLOOKUP(AA$5,DONNEES!$T$31:$Z$40,3,FALSE),)</f>
        <v/>
      </c>
      <c r="AC9" s="179" t="str">
        <f>IFERROR(VLOOKUP(AA$5,DONNEES!$T$31:$Z$40,4,FALSE),)</f>
        <v/>
      </c>
      <c r="AD9" s="179" t="str">
        <f>IFERROR(VLOOKUP(AD$5,DONNEES!$T$31:$Z$40,2,FALSE),)</f>
        <v/>
      </c>
      <c r="AE9" s="179" t="str">
        <f>IFERROR(VLOOKUP(AD$5,DONNEES!$T$31:$Z$40,3,FALSE),)</f>
        <v/>
      </c>
      <c r="AF9" s="179" t="str">
        <f>IFERROR(VLOOKUP(AD$5,DONNEES!$T$31:$Z$40,4,FALSE),)</f>
        <v/>
      </c>
      <c r="AG9" s="179" t="str">
        <f>IFERROR(VLOOKUP(AG$5,DONNEES!$T$31:$Z$40,2,FALSE),)</f>
        <v/>
      </c>
      <c r="AH9" s="179" t="str">
        <f>IFERROR(VLOOKUP(AG$5,DONNEES!$T$31:$Z$40,3,FALSE),)</f>
        <v/>
      </c>
      <c r="AI9" s="179" t="str">
        <f>IFERROR(VLOOKUP(AG$5,DONNEES!$T$31:$Z$40,4,FALSE),)</f>
        <v/>
      </c>
      <c r="AJ9" s="179" t="str">
        <f>IFERROR(VLOOKUP(AJ$5,DONNEES!$T$31:$Z$40,2,FALSE),)</f>
        <v/>
      </c>
      <c r="AK9" s="179" t="str">
        <f>IFERROR(VLOOKUP(AJ$5,DONNEES!$T$31:$Z$40,3,FALSE),)</f>
        <v/>
      </c>
      <c r="AL9" s="179" t="str">
        <f>IFERROR(VLOOKUP(AJ$5,DONNEES!$T$31:$Z$40,4,FALSE),)</f>
        <v/>
      </c>
      <c r="AM9" s="179" t="str">
        <f>IFERROR(VLOOKUP(AM$5,DONNEES!$T$31:$Z$40,2,FALSE),)</f>
        <v/>
      </c>
      <c r="AN9" s="179" t="str">
        <f>IFERROR(VLOOKUP(AM$5,DONNEES!$T$31:$Z$40,3,FALSE),)</f>
        <v/>
      </c>
      <c r="AO9" s="179" t="str">
        <f>IFERROR(VLOOKUP(AM$5,DONNEES!$T$31:$Z$40,4,FALSE),)</f>
        <v/>
      </c>
      <c r="AP9" s="179" t="str">
        <f>IFERROR(VLOOKUP(AP$5,DONNEES!$T$31:$Z$40,2,FALSE),)</f>
        <v/>
      </c>
      <c r="AQ9" s="179" t="str">
        <f>IFERROR(VLOOKUP(AP$5,DONNEES!$T$31:$Z$40,3,FALSE),)</f>
        <v/>
      </c>
      <c r="AR9" s="179" t="str">
        <f>IFERROR(VLOOKUP(AP$5,DONNEES!$T$31:$Z$40,4,FALSE),)</f>
        <v/>
      </c>
      <c r="AS9" s="179" t="str">
        <f>IFERROR(VLOOKUP(AS$5,DONNEES!$T$31:$Z$40,2,FALSE),)</f>
        <v/>
      </c>
      <c r="AT9" s="179" t="str">
        <f>IFERROR(VLOOKUP(AS$5,DONNEES!$T$31:$Z$40,3,FALSE),)</f>
        <v/>
      </c>
      <c r="AU9" s="179" t="str">
        <f>IFERROR(VLOOKUP(AS$5,DONNEES!$T$31:$Z$40,4,FALSE),)</f>
        <v/>
      </c>
      <c r="AV9" s="180">
        <f>IFERROR(VLOOKUP(AV$5,DONNEES!$T$31:$Z$40,2,FALSE),)</f>
        <v>15000</v>
      </c>
      <c r="AW9" s="179">
        <f>IFERROR(VLOOKUP(AV$5,DONNEES!$T$31:$Z$40,3,FALSE),)</f>
        <v>0</v>
      </c>
      <c r="AX9" s="179">
        <f>IFERROR(VLOOKUP(AV$5,DONNEES!$T$31:$Z$40,4,FALSE),)</f>
        <v>0</v>
      </c>
      <c r="AY9" s="179">
        <f>IFERROR(VLOOKUP(AY$5,DONNEES!$T$31:$Z$40,2,FALSE),)</f>
        <v>300000</v>
      </c>
      <c r="AZ9" s="179">
        <f>IFERROR(VLOOKUP(AY$5,DONNEES!$T$31:$Z$40,3,FALSE),)</f>
        <v>0</v>
      </c>
      <c r="BA9" s="179">
        <f>IFERROR(VLOOKUP(AY$5,DONNEES!$T$31:$Z$40,4,FALSE),)</f>
        <v>0</v>
      </c>
      <c r="BB9" s="180" t="str">
        <f>IFERROR(VLOOKUP(BB$5,DONNEES!$T$42:$Z$50,2,FALSE),)</f>
        <v/>
      </c>
      <c r="BC9" s="179" t="str">
        <f>IFERROR(VLOOKUP(BB$5,DONNEES!$T$42:$Z$50,4,FALSE),)</f>
        <v/>
      </c>
      <c r="BD9" s="179" t="str">
        <f>IFERROR(VLOOKUP(BB$5,DONNEES!$T$42:$Z$50,6,FALSE),)</f>
        <v/>
      </c>
      <c r="BE9" s="179" t="str">
        <f>IFERROR(VLOOKUP(BE$5,DONNEES!$T$42:$Z$50,2,FALSE),)</f>
        <v/>
      </c>
      <c r="BF9" s="179" t="str">
        <f>IFERROR(VLOOKUP(BE$5,DONNEES!$T$42:$Z$50,4,FALSE),)</f>
        <v/>
      </c>
      <c r="BG9" s="179" t="str">
        <f>IFERROR(VLOOKUP(BE$5,DONNEES!$T$42:$Z$50,6,FALSE),)</f>
        <v/>
      </c>
      <c r="BH9" s="179" t="str">
        <f>IFERROR(VLOOKUP(BH$5,DONNEES!$T$42:$Z$50,2,FALSE),)</f>
        <v/>
      </c>
      <c r="BI9" s="179" t="str">
        <f>IFERROR(VLOOKUP(BH$5,DONNEES!$T$42:$Z$50,4,FALSE),)</f>
        <v/>
      </c>
      <c r="BJ9" s="179" t="str">
        <f>IFERROR(VLOOKUP(BH$5,DONNEES!$T$42:$Z$50,6,FALSE),)</f>
        <v/>
      </c>
      <c r="BK9" s="179" t="str">
        <f>IFERROR(VLOOKUP(BK$5,DONNEES!$T$42:$Z$50,2,FALSE),)</f>
        <v/>
      </c>
      <c r="BL9" s="179" t="str">
        <f>IFERROR(VLOOKUP(BK$5,DONNEES!$T$42:$Z$50,4,FALSE),)</f>
        <v/>
      </c>
      <c r="BM9" s="179" t="str">
        <f>IFERROR(VLOOKUP(BK$5,DONNEES!$T$42:$Z$50,6,FALSE),)</f>
        <v/>
      </c>
      <c r="BN9" s="179" t="str">
        <f>IFERROR(VLOOKUP(BN$5,DONNEES!$T$42:$Z$50,2,FALSE),)</f>
        <v/>
      </c>
      <c r="BO9" s="179" t="str">
        <f>IFERROR(VLOOKUP(BN$5,DONNEES!$T$42:$Z$50,4,FALSE),)</f>
        <v/>
      </c>
      <c r="BP9" s="179" t="str">
        <f>IFERROR(VLOOKUP(BN$5,DONNEES!$T$42:$Z$50,6,FALSE),)</f>
        <v/>
      </c>
      <c r="BQ9" s="179" t="str">
        <f>IFERROR(VLOOKUP(BQ$5,DONNEES!$T$42:$Z$50,2,FALSE),)</f>
        <v/>
      </c>
      <c r="BR9" s="179" t="str">
        <f>IFERROR(VLOOKUP(BQ$5,DONNEES!$T$42:$Z$50,4,FALSE),)</f>
        <v/>
      </c>
      <c r="BS9" s="179" t="str">
        <f>IFERROR(VLOOKUP(BQ$5,DONNEES!$T$42:$Z$50,6,FALSE),)</f>
        <v/>
      </c>
      <c r="BT9" s="179">
        <f>IFERROR(VLOOKUP(BT$5,DONNEES!$T$42:$Z$50,2,FALSE),)</f>
        <v>15</v>
      </c>
      <c r="BU9" s="179">
        <f>IFERROR(VLOOKUP(BT$5,DONNEES!$T$42:$Z$50,4,FALSE),)</f>
        <v>0</v>
      </c>
      <c r="BV9" s="179">
        <f>IFERROR(VLOOKUP(BT$5,DONNEES!$T$42:$Z$50,6,FALSE),)</f>
        <v>0</v>
      </c>
      <c r="BW9" s="179" t="str">
        <f>IFERROR(VLOOKUP(BW$5,DONNEES!$T$42:$Z$50,2,FALSE),)</f>
        <v/>
      </c>
      <c r="BX9" s="179" t="str">
        <f>IFERROR(VLOOKUP(BW$5,DONNEES!$T$42:$Z$50,4,FALSE),)</f>
        <v/>
      </c>
      <c r="BY9" s="179" t="str">
        <f>IFERROR(VLOOKUP(BW$5,DONNEES!$T$42:$Z$50,6,FALSE),)</f>
        <v/>
      </c>
      <c r="BZ9" s="179" t="str">
        <f>IFERROR(VLOOKUP(BZ$5,DONNEES!$T$42:$Z$50,2,FALSE),)</f>
        <v/>
      </c>
      <c r="CA9" s="179" t="str">
        <f>IFERROR(VLOOKUP(BZ$5,DONNEES!$T$42:$Z$50,4,FALSE),)</f>
        <v/>
      </c>
      <c r="CB9" s="179" t="str">
        <f>IFERROR(VLOOKUP(BZ$5,DONNEES!$T$42:$Z$50,6,FALSE),)</f>
        <v/>
      </c>
      <c r="CC9" s="179" t="str">
        <f>IFERROR(VLOOKUP(CC$5,DONNEES!$T$42:$Z$50,2,FALSE),)</f>
        <v/>
      </c>
      <c r="CD9" s="179" t="str">
        <f>IFERROR(VLOOKUP(CC$5,DONNEES!$T$42:$Z$50,4,FALSE),)</f>
        <v/>
      </c>
      <c r="CE9" s="179" t="str">
        <f>IFERROR(VLOOKUP(CC$5,DONNEES!$T$42:$Z$50,6,FALSE),)</f>
        <v/>
      </c>
      <c r="CF9" s="179" t="str">
        <f>IFERROR(VLOOKUP(CF$5,DONNEES!$T$42:$Z$50,2,FALSE),)</f>
        <v/>
      </c>
      <c r="CG9" s="179" t="str">
        <f>IFERROR(VLOOKUP(CF$5,DONNEES!$T$42:$Z$50,4,FALSE),)</f>
        <v/>
      </c>
      <c r="CH9" s="179" t="str">
        <f>IFERROR(VLOOKUP(CF$5,DONNEES!$T$42:$Z$50,6,FALSE),)</f>
        <v/>
      </c>
      <c r="CI9" s="179" t="str">
        <f>IFERROR(VLOOKUP(CI$5,DONNEES!$T$42:$Z$50,2,FALSE),)</f>
        <v/>
      </c>
      <c r="CJ9" s="179" t="str">
        <f>IFERROR(VLOOKUP(CI$5,DONNEES!$T$42:$Z$50,4,FALSE),)</f>
        <v/>
      </c>
      <c r="CK9" s="179" t="str">
        <f>IFERROR(VLOOKUP(CI$5,DONNEES!$T$42:$Z$50,6,FALSE),)</f>
        <v/>
      </c>
      <c r="CL9" s="180" t="str">
        <f>IFERROR(VLOOKUP(CL$5,DONNEES!$T$42:$Z$50,2,FALSE),)</f>
        <v/>
      </c>
      <c r="CM9" s="180" t="str">
        <f>IFERROR(VLOOKUP(CL$5,DONNEES!$T$42:$Z$50,4,FALSE),)</f>
        <v/>
      </c>
      <c r="CN9" s="180" t="str">
        <f>IFERROR(VLOOKUP(CL$5,DONNEES!$T$42:$Z$50,6,FALSE),)</f>
        <v/>
      </c>
      <c r="CO9" s="179" t="str">
        <f>IFERROR(VLOOKUP(CO$5,DONNEES!$T$42:$Z$50,2,FALSE),)</f>
        <v/>
      </c>
      <c r="CP9" s="179" t="str">
        <f>IFERROR(VLOOKUP(CO$5,DONNEES!$T$42:$Z$50,4,FALSE),)</f>
        <v/>
      </c>
      <c r="CQ9" s="179" t="str">
        <f>IFERROR(VLOOKUP(CO$5,DONNEES!$T$42:$Z$50,6,FALSE),)</f>
        <v/>
      </c>
      <c r="CR9" s="179" t="str">
        <f>IFERROR(VLOOKUP(CR$5,DONNEES!$T$42:$Z$50,2,FALSE),)</f>
        <v/>
      </c>
      <c r="CS9" s="179" t="str">
        <f>IFERROR(VLOOKUP(CR$5,DONNEES!$T$42:$Z$50,4,FALSE),)</f>
        <v/>
      </c>
      <c r="CT9" s="179" t="str">
        <f>IFERROR(VLOOKUP(CR$5,DONNEES!$T$42:$Z$50,6,FALSE),)</f>
        <v/>
      </c>
      <c r="CU9" s="179" t="str">
        <f>IFERROR(VLOOKUP(CU$5,DONNEES!$T$42:$Z$50,2,FALSE),)</f>
        <v/>
      </c>
      <c r="CV9" s="179" t="str">
        <f>IFERROR(VLOOKUP(CU$5,DONNEES!$T$42:$Z$50,4,FALSE),)</f>
        <v/>
      </c>
      <c r="CW9" s="179" t="str">
        <f>IFERROR(VLOOKUP(CU$5,DONNEES!$T$42:$Z$50,6,FALSE),)</f>
        <v/>
      </c>
      <c r="CX9" s="179" t="str">
        <f>IFERROR(VLOOKUP(CX$5,DONNEES!$T$42:$Z$50,2,FALSE),)</f>
        <v/>
      </c>
      <c r="CY9" s="179" t="str">
        <f>IFERROR(VLOOKUP(CX$5,DONNEES!$T$42:$Z$50,4,FALSE),)</f>
        <v/>
      </c>
      <c r="CZ9" s="179" t="str">
        <f>IFERROR(VLOOKUP(CX$5,DONNEES!$T$42:$Z$50,6,FALSE),)</f>
        <v/>
      </c>
      <c r="DA9" s="179" t="str">
        <f>IFERROR(VLOOKUP(DA$5,DONNEES!$T$42:$Z$50,2,FALSE),)</f>
        <v/>
      </c>
      <c r="DB9" s="179" t="str">
        <f>IFERROR(VLOOKUP(DA$5,DONNEES!$T$42:$Z$50,4,FALSE),)</f>
        <v/>
      </c>
      <c r="DC9" s="179" t="str">
        <f>IFERROR(VLOOKUP(DA$5,DONNEES!$T$42:$Z$50,6,FALSE),)</f>
        <v/>
      </c>
      <c r="DD9" s="179" t="str">
        <f>IFERROR(VLOOKUP(DD$5,DONNEES!$T$42:$Z$50,2,FALSE),)</f>
        <v/>
      </c>
      <c r="DE9" s="179" t="str">
        <f>IFERROR(VLOOKUP(DD$5,DONNEES!$T$42:$Z$50,4,FALSE),)</f>
        <v/>
      </c>
      <c r="DF9" s="179" t="str">
        <f>IFERROR(VLOOKUP(DD$5,DONNEES!$T$42:$Z$50,6,FALSE),)</f>
        <v/>
      </c>
      <c r="DG9" s="179" t="str">
        <f>IFERROR(VLOOKUP(DG$5,DONNEES!$T$42:$Z$50,2,FALSE),)</f>
        <v/>
      </c>
      <c r="DH9" s="179" t="str">
        <f>IFERROR(VLOOKUP(DG$5,DONNEES!$T$42:$Z$50,4,FALSE),)</f>
        <v/>
      </c>
      <c r="DI9" s="179" t="str">
        <f>IFERROR(VLOOKUP(DG$5,DONNEES!$T$42:$Z$50,6,FALSE),)</f>
        <v/>
      </c>
      <c r="DJ9" s="179" t="str">
        <f>IFERROR(VLOOKUP(DJ$5,DONNEES!$T$42:$Z$50,2,FALSE),)</f>
        <v/>
      </c>
      <c r="DK9" s="179" t="str">
        <f>IFERROR(VLOOKUP(DJ$5,DONNEES!$T$42:$Z$50,4,FALSE),)</f>
        <v/>
      </c>
      <c r="DL9" s="179" t="str">
        <f>IFERROR(VLOOKUP(DJ$5,DONNEES!$T$42:$Z$50,6,FALSE),)</f>
        <v/>
      </c>
    </row>
    <row r="10">
      <c r="B10" s="164" t="s">
        <v>291</v>
      </c>
      <c r="C10" s="179" t="str">
        <f>IFERROR(VLOOKUP(C$5,DONNEES!$AB$31:$AH$40,2,FALSE),)</f>
        <v/>
      </c>
      <c r="D10" s="179" t="str">
        <f>IFERROR(VLOOKUP(C$5,DONNEES!$AB$31:$AH$40,3,FALSE),)</f>
        <v/>
      </c>
      <c r="E10" s="179" t="str">
        <f>IFERROR(VLOOKUP(C$5,DONNEES!$AB$31:$AH$40,4,FALSE),)</f>
        <v/>
      </c>
      <c r="F10" s="180" t="str">
        <f>IFERROR(VLOOKUP(F$5,DONNEES!$AB$31:$AH$40,2,FALSE),)</f>
        <v/>
      </c>
      <c r="G10" s="179" t="str">
        <f>IFERROR(VLOOKUP(F$5,DONNEES!$AB$31:$AH$40,3,FALSE),)</f>
        <v/>
      </c>
      <c r="H10" s="179" t="str">
        <f>IFERROR(VLOOKUP(F$5,DONNEES!$AB$31:$AH$40,4,FALSE),)</f>
        <v/>
      </c>
      <c r="I10" s="179" t="str">
        <f>IFERROR(VLOOKUP(I$5,DONNEES!$AB$31:$AH$40,2,FALSE),)</f>
        <v/>
      </c>
      <c r="J10" s="179" t="str">
        <f>IFERROR(VLOOKUP(I$5,DONNEES!$AB$31:$AH$40,3,FALSE),)</f>
        <v/>
      </c>
      <c r="K10" s="179" t="str">
        <f>IFERROR(VLOOKUP(I$5,DONNEES!$AB$31:$AH$40,4,FALSE),)</f>
        <v/>
      </c>
      <c r="L10" s="179" t="str">
        <f>IFERROR(VLOOKUP(L$5,DONNEES!$AB$31:$AH$40,2,FALSE),)</f>
        <v/>
      </c>
      <c r="M10" s="179" t="str">
        <f>IFERROR(VLOOKUP(L$5,DONNEES!$AB$31:$AH$40,3,FALSE),)</f>
        <v/>
      </c>
      <c r="N10" s="179" t="str">
        <f>IFERROR(VLOOKUP(L$5,DONNEES!$AB$31:$AH$40,4,FALSE),)</f>
        <v/>
      </c>
      <c r="O10" s="179" t="str">
        <f>IFERROR(VLOOKUP(O$5,DONNEES!$AB$31:$AH$40,2,FALSE),)</f>
        <v/>
      </c>
      <c r="P10" s="179" t="str">
        <f>IFERROR(VLOOKUP(O$5,DONNEES!$AB$31:$AH$40,3,FALSE),)</f>
        <v/>
      </c>
      <c r="Q10" s="179" t="str">
        <f>IFERROR(VLOOKUP(O$5,DONNEES!$AB$31:$AH$40,4,FALSE),)</f>
        <v/>
      </c>
      <c r="R10" s="180" t="str">
        <f>IFERROR(VLOOKUP(R$5,DONNEES!$AB$31:$AH$40,2,FALSE),)</f>
        <v/>
      </c>
      <c r="S10" s="179" t="str">
        <f>IFERROR(VLOOKUP(R$5,DONNEES!$AB$31:$AH$40,3,FALSE),)</f>
        <v/>
      </c>
      <c r="T10" s="179" t="str">
        <f>IFERROR(VLOOKUP(R$5,DONNEES!$AB$31:$AH$40,4,FALSE),)</f>
        <v/>
      </c>
      <c r="U10" s="179" t="str">
        <f>IFERROR(VLOOKUP(U$5,DONNEES!$AB$31:$AH$40,2,FALSE),)</f>
        <v/>
      </c>
      <c r="V10" s="179" t="str">
        <f>IFERROR(VLOOKUP(U$5,DONNEES!$AB$31:$AH$40,3,FALSE),)</f>
        <v/>
      </c>
      <c r="W10" s="179" t="str">
        <f>IFERROR(VLOOKUP(U$5,DONNEES!$AB$31:$AH$40,4,FALSE),)</f>
        <v/>
      </c>
      <c r="X10" s="180" t="str">
        <f>IFERROR(VLOOKUP(X$5,DONNEES!$AB$31:$AH$40,2,FALSE),)</f>
        <v/>
      </c>
      <c r="Y10" s="179" t="str">
        <f>IFERROR(VLOOKUP(X$5,DONNEES!$AB$31:$AH$40,3,FALSE),)</f>
        <v/>
      </c>
      <c r="Z10" s="179" t="str">
        <f>IFERROR(VLOOKUP(X$5,DONNEES!$AB$31:$AH$40,4,FALSE),)</f>
        <v/>
      </c>
      <c r="AA10" s="179" t="str">
        <f>IFERROR(VLOOKUP(AA$5,DONNEES!$AB$31:$AH$40,2,FALSE),)</f>
        <v/>
      </c>
      <c r="AB10" s="179" t="str">
        <f>IFERROR(VLOOKUP(AA$5,DONNEES!$AB$31:$AH$40,3,FALSE),)</f>
        <v/>
      </c>
      <c r="AC10" s="179" t="str">
        <f>IFERROR(VLOOKUP(AA$5,DONNEES!$AB$31:$AH$40,4,FALSE),)</f>
        <v/>
      </c>
      <c r="AD10" s="179" t="str">
        <f>IFERROR(VLOOKUP(AD$5,DONNEES!$AB$31:$AH$40,2,FALSE),)</f>
        <v/>
      </c>
      <c r="AE10" s="179" t="str">
        <f>IFERROR(VLOOKUP(AD$5,DONNEES!$AB$31:$AH$40,3,FALSE),)</f>
        <v/>
      </c>
      <c r="AF10" s="179" t="str">
        <f>IFERROR(VLOOKUP(AD$5,DONNEES!$AB$31:$AH$40,4,FALSE),)</f>
        <v/>
      </c>
      <c r="AG10" s="179" t="str">
        <f>IFERROR(VLOOKUP(AG$5,DONNEES!$AB$31:$AH$40,2,FALSE),)</f>
        <v/>
      </c>
      <c r="AH10" s="179" t="str">
        <f>IFERROR(VLOOKUP(AG$5,DONNEES!$AB$31:$AH$40,3,FALSE),)</f>
        <v/>
      </c>
      <c r="AI10" s="179" t="str">
        <f>IFERROR(VLOOKUP(AG$5,DONNEES!$AB$31:$AH$40,4,FALSE),)</f>
        <v/>
      </c>
      <c r="AJ10" s="179" t="str">
        <f>IFERROR(VLOOKUP(AJ$5,DONNEES!$AB$31:$AH$40,2,FALSE),)</f>
        <v/>
      </c>
      <c r="AK10" s="179" t="str">
        <f>IFERROR(VLOOKUP(AJ$5,DONNEES!$AB$31:$AH$40,3,FALSE),)</f>
        <v/>
      </c>
      <c r="AL10" s="179" t="str">
        <f>IFERROR(VLOOKUP(AJ$5,DONNEES!$AB$31:$AH$40,4,FALSE),)</f>
        <v/>
      </c>
      <c r="AM10" s="179" t="str">
        <f>IFERROR(VLOOKUP(AM$5,DONNEES!$AB$31:$AH$40,2,FALSE),)</f>
        <v/>
      </c>
      <c r="AN10" s="179" t="str">
        <f>IFERROR(VLOOKUP(AM$5,DONNEES!$AB$31:$AH$40,3,FALSE),)</f>
        <v/>
      </c>
      <c r="AO10" s="179" t="str">
        <f>IFERROR(VLOOKUP(AM$5,DONNEES!$AB$31:$AH$40,4,FALSE),)</f>
        <v/>
      </c>
      <c r="AP10" s="179" t="str">
        <f>IFERROR(VLOOKUP(AP$5,DONNEES!$AB$31:$AH$40,2,FALSE),)</f>
        <v/>
      </c>
      <c r="AQ10" s="179" t="str">
        <f>IFERROR(VLOOKUP(AP$5,DONNEES!$AB$31:$AH$40,3,FALSE),)</f>
        <v/>
      </c>
      <c r="AR10" s="179" t="str">
        <f>IFERROR(VLOOKUP(AP$5,DONNEES!$AB$31:$AH$40,4,FALSE),)</f>
        <v/>
      </c>
      <c r="AS10" s="179" t="str">
        <f>IFERROR(VLOOKUP(AS$5,DONNEES!$AB$31:$AH$40,2,FALSE),)</f>
        <v/>
      </c>
      <c r="AT10" s="179" t="str">
        <f>IFERROR(VLOOKUP(AS$5,DONNEES!$AB$31:$AH$40,3,FALSE),)</f>
        <v/>
      </c>
      <c r="AU10" s="179" t="str">
        <f>IFERROR(VLOOKUP(AS$5,DONNEES!$AB$31:$AH$40,4,FALSE),)</f>
        <v/>
      </c>
      <c r="AV10" s="180">
        <f>IFERROR(VLOOKUP(AV$5,DONNEES!$AB$31:$AH$40,2,FALSE),)</f>
        <v>15000</v>
      </c>
      <c r="AW10" s="179">
        <f>IFERROR(VLOOKUP(AV$5,DONNEES!$AB$31:$AH$40,3,FALSE),)</f>
        <v>0</v>
      </c>
      <c r="AX10" s="179">
        <f>IFERROR(VLOOKUP(AV$5,DONNEES!$AB$31:$AH$40,4,FALSE),)</f>
        <v>0</v>
      </c>
      <c r="AY10" s="179">
        <f>IFERROR(VLOOKUP(AY$5,DONNEES!$AB$31:$AH$40,2,FALSE),)</f>
        <v>300000</v>
      </c>
      <c r="AZ10" s="179">
        <f>IFERROR(VLOOKUP(AY$5,DONNEES!$AB$31:$AH$40,3,FALSE),)</f>
        <v>0</v>
      </c>
      <c r="BA10" s="179">
        <f>IFERROR(VLOOKUP(AY$5,DONNEES!$AB$31:$AH$40,4,FALSE),)</f>
        <v>0</v>
      </c>
      <c r="BB10" s="180" t="str">
        <f>IFERROR(VLOOKUP(BB$5,DONNEES!$AB$42:$AH$50,2,FALSE),)</f>
        <v/>
      </c>
      <c r="BC10" s="179" t="str">
        <f>IFERROR(VLOOKUP(BB$5,DONNEES!$AB$42:$AH$50,4,FALSE),)</f>
        <v/>
      </c>
      <c r="BD10" s="179" t="str">
        <f>IFERROR(VLOOKUP(BB$5,DONNEES!$AB$42:$AH$50,6,FALSE),)</f>
        <v/>
      </c>
      <c r="BE10" s="179" t="str">
        <f>IFERROR(VLOOKUP(BE$5,DONNEES!$AB$42:$AH$50,2,FALSE),)</f>
        <v/>
      </c>
      <c r="BF10" s="179" t="str">
        <f>IFERROR(VLOOKUP(BE$5,DONNEES!$AB$42:$AH$50,4,FALSE),)</f>
        <v/>
      </c>
      <c r="BG10" s="179" t="str">
        <f>IFERROR(VLOOKUP(BE$5,DONNEES!$AB$42:$AH$50,6,FALSE),)</f>
        <v/>
      </c>
      <c r="BH10" s="179" t="str">
        <f>IFERROR(VLOOKUP(BH$5,DONNEES!$AB$42:$AH$50,2,FALSE),)</f>
        <v/>
      </c>
      <c r="BI10" s="179" t="str">
        <f>IFERROR(VLOOKUP(BH$5,DONNEES!$AB$42:$AH$50,4,FALSE),)</f>
        <v/>
      </c>
      <c r="BJ10" s="179" t="str">
        <f>IFERROR(VLOOKUP(BH$5,DONNEES!$AB$42:$AH$50,6,FALSE),)</f>
        <v/>
      </c>
      <c r="BK10" s="179" t="str">
        <f>IFERROR(VLOOKUP(BK$5,DONNEES!$AB$42:$AH$50,2,FALSE),)</f>
        <v/>
      </c>
      <c r="BL10" s="179" t="str">
        <f>IFERROR(VLOOKUP(BK$5,DONNEES!$AB$42:$AH$50,4,FALSE),)</f>
        <v/>
      </c>
      <c r="BM10" s="179" t="str">
        <f>IFERROR(VLOOKUP(BK$5,DONNEES!$AB$42:$AH$50,6,FALSE),)</f>
        <v/>
      </c>
      <c r="BN10" s="179" t="str">
        <f>IFERROR(VLOOKUP(BN$5,DONNEES!$AB$42:$AH$50,2,FALSE),)</f>
        <v/>
      </c>
      <c r="BO10" s="179" t="str">
        <f>IFERROR(VLOOKUP(BN$5,DONNEES!$AB$42:$AH$50,4,FALSE),)</f>
        <v/>
      </c>
      <c r="BP10" s="179" t="str">
        <f>IFERROR(VLOOKUP(BN$5,DONNEES!$AB$42:$AH$50,6,FALSE),)</f>
        <v/>
      </c>
      <c r="BQ10" s="179" t="str">
        <f>IFERROR(VLOOKUP(BQ$5,DONNEES!$AB$42:$AH$50,2,FALSE),)</f>
        <v/>
      </c>
      <c r="BR10" s="179" t="str">
        <f>IFERROR(VLOOKUP(BQ$5,DONNEES!$AB$42:$AH$50,4,FALSE),)</f>
        <v/>
      </c>
      <c r="BS10" s="179" t="str">
        <f>IFERROR(VLOOKUP(BQ$5,DONNEES!$AB$42:$AH$50,6,FALSE),)</f>
        <v/>
      </c>
      <c r="BT10" s="179">
        <f>IFERROR(VLOOKUP(BT$5,DONNEES!$AB$42:$AH$50,2,FALSE),)</f>
        <v>15</v>
      </c>
      <c r="BU10" s="179">
        <f>IFERROR(VLOOKUP(BT$5,DONNEES!$AB$42:$AH$50,4,FALSE),)</f>
        <v>0</v>
      </c>
      <c r="BV10" s="179">
        <f>IFERROR(VLOOKUP(BT$5,DONNEES!$AB$42:$AH$50,6,FALSE),)</f>
        <v>0</v>
      </c>
      <c r="BW10" s="179" t="str">
        <f>IFERROR(VLOOKUP(BW$5,DONNEES!$AB$42:$AH$50,2,FALSE),)</f>
        <v/>
      </c>
      <c r="BX10" s="179" t="str">
        <f>IFERROR(VLOOKUP(BW$5,DONNEES!$AB$42:$AH$50,4,FALSE),)</f>
        <v/>
      </c>
      <c r="BY10" s="179" t="str">
        <f>IFERROR(VLOOKUP(BW$5,DONNEES!$AB$42:$AH$50,6,FALSE),)</f>
        <v/>
      </c>
      <c r="BZ10" s="179" t="str">
        <f>IFERROR(VLOOKUP(BZ$5,DONNEES!$AB$42:$AH$50,2,FALSE),)</f>
        <v/>
      </c>
      <c r="CA10" s="179" t="str">
        <f>IFERROR(VLOOKUP(BZ$5,DONNEES!$AB$42:$AH$50,4,FALSE),)</f>
        <v/>
      </c>
      <c r="CB10" s="179" t="str">
        <f>IFERROR(VLOOKUP(BZ$5,DONNEES!$AB$42:$AH$50,6,FALSE),)</f>
        <v/>
      </c>
      <c r="CC10" s="179" t="str">
        <f>IFERROR(VLOOKUP(CC$5,DONNEES!$AB$42:$AH$50,2,FALSE),)</f>
        <v/>
      </c>
      <c r="CD10" s="179" t="str">
        <f>IFERROR(VLOOKUP(CC$5,DONNEES!$AB$42:$AH$50,4,FALSE),)</f>
        <v/>
      </c>
      <c r="CE10" s="179" t="str">
        <f>IFERROR(VLOOKUP(CC$5,DONNEES!$AB$42:$AH$50,6,FALSE),)</f>
        <v/>
      </c>
      <c r="CF10" s="179" t="str">
        <f>IFERROR(VLOOKUP(CF$5,DONNEES!$AB$42:$AH$50,2,FALSE),)</f>
        <v/>
      </c>
      <c r="CG10" s="179" t="str">
        <f>IFERROR(VLOOKUP(CF$5,DONNEES!$AB$42:$AH$50,4,FALSE),)</f>
        <v/>
      </c>
      <c r="CH10" s="179" t="str">
        <f>IFERROR(VLOOKUP(CF$5,DONNEES!$AB$42:$AH$50,6,FALSE),)</f>
        <v/>
      </c>
      <c r="CI10" s="179" t="str">
        <f>IFERROR(VLOOKUP(CI$5,DONNEES!$AB$42:$AH$50,2,FALSE),)</f>
        <v/>
      </c>
      <c r="CJ10" s="179" t="str">
        <f>IFERROR(VLOOKUP(CI$5,DONNEES!$AB$42:$AH$50,4,FALSE),)</f>
        <v/>
      </c>
      <c r="CK10" s="179" t="str">
        <f>IFERROR(VLOOKUP(CI$5,DONNEES!$AB$42:$AH$50,6,FALSE),)</f>
        <v/>
      </c>
      <c r="CL10" s="180" t="str">
        <f>IFERROR(VLOOKUP(CL$5,DONNEES!$AB$42:$AH$50,2,FALSE),)</f>
        <v/>
      </c>
      <c r="CM10" s="180" t="str">
        <f>IFERROR(VLOOKUP(CL$5,DONNEES!$AB$42:$AH$50,4,FALSE),)</f>
        <v/>
      </c>
      <c r="CN10" s="180" t="str">
        <f>IFERROR(VLOOKUP(CL$5,DONNEES!$AB$42:$AH$50,6,FALSE),)</f>
        <v/>
      </c>
      <c r="CO10" s="179" t="str">
        <f>IFERROR(VLOOKUP(CO$5,DONNEES!$AB$42:$AH$50,2,FALSE),)</f>
        <v/>
      </c>
      <c r="CP10" s="179" t="str">
        <f>IFERROR(VLOOKUP(CO$5,DONNEES!$AB$42:$AH$50,4,FALSE),)</f>
        <v/>
      </c>
      <c r="CQ10" s="179" t="str">
        <f>IFERROR(VLOOKUP(CO$5,DONNEES!$AB$42:$AH$50,6,FALSE),)</f>
        <v/>
      </c>
      <c r="CR10" s="179" t="str">
        <f>IFERROR(VLOOKUP(CR$5,DONNEES!$AB$42:$AH$50,2,FALSE),)</f>
        <v/>
      </c>
      <c r="CS10" s="179" t="str">
        <f>IFERROR(VLOOKUP(CR$5,DONNEES!$AB$42:$AH$50,4,FALSE),)</f>
        <v/>
      </c>
      <c r="CT10" s="179" t="str">
        <f>IFERROR(VLOOKUP(CR$5,DONNEES!$AB$42:$AH$50,6,FALSE),)</f>
        <v/>
      </c>
      <c r="CU10" s="179" t="str">
        <f>IFERROR(VLOOKUP(CU$5,DONNEES!$AB$42:$AH$50,2,FALSE),)</f>
        <v/>
      </c>
      <c r="CV10" s="179" t="str">
        <f>IFERROR(VLOOKUP(CU$5,DONNEES!$AB$42:$AH$50,4,FALSE),)</f>
        <v/>
      </c>
      <c r="CW10" s="179" t="str">
        <f>IFERROR(VLOOKUP(CU$5,DONNEES!$AB$42:$AH$50,6,FALSE),)</f>
        <v/>
      </c>
      <c r="CX10" s="179" t="str">
        <f>IFERROR(VLOOKUP(CX$5,DONNEES!$AB$42:$AH$50,2,FALSE),)</f>
        <v/>
      </c>
      <c r="CY10" s="179" t="str">
        <f>IFERROR(VLOOKUP(CX$5,DONNEES!$AB$42:$AH$50,4,FALSE),)</f>
        <v/>
      </c>
      <c r="CZ10" s="179" t="str">
        <f>IFERROR(VLOOKUP(CX$5,DONNEES!$AB$42:$AH$50,6,FALSE),)</f>
        <v/>
      </c>
      <c r="DA10" s="179" t="str">
        <f>IFERROR(VLOOKUP(DA$5,DONNEES!$AB$42:$AH$50,2,FALSE),)</f>
        <v/>
      </c>
      <c r="DB10" s="179" t="str">
        <f>IFERROR(VLOOKUP(DA$5,DONNEES!$AB$42:$AH$50,4,FALSE),)</f>
        <v/>
      </c>
      <c r="DC10" s="179" t="str">
        <f>IFERROR(VLOOKUP(DA$5,DONNEES!$AB$42:$AH$50,6,FALSE),)</f>
        <v/>
      </c>
      <c r="DD10" s="179" t="str">
        <f>IFERROR(VLOOKUP(DD$5,DONNEES!$AB$42:$AH$50,2,FALSE),)</f>
        <v/>
      </c>
      <c r="DE10" s="179" t="str">
        <f>IFERROR(VLOOKUP(DD$5,DONNEES!$AB$42:$AH$50,4,FALSE),)</f>
        <v/>
      </c>
      <c r="DF10" s="179" t="str">
        <f>IFERROR(VLOOKUP(DD$5,DONNEES!$AB$42:$AH$50,6,FALSE),)</f>
        <v/>
      </c>
      <c r="DG10" s="179" t="str">
        <f>IFERROR(VLOOKUP(DG$5,DONNEES!$AB$42:$AH$50,2,FALSE),)</f>
        <v/>
      </c>
      <c r="DH10" s="179" t="str">
        <f>IFERROR(VLOOKUP(DG$5,DONNEES!$AB$42:$AH$50,4,FALSE),)</f>
        <v/>
      </c>
      <c r="DI10" s="179" t="str">
        <f>IFERROR(VLOOKUP(DG$5,DONNEES!$AB$42:$AH$50,6,FALSE),)</f>
        <v/>
      </c>
      <c r="DJ10" s="179" t="str">
        <f>IFERROR(VLOOKUP(DJ$5,DONNEES!$AB$42:$AH$50,2,FALSE),)</f>
        <v/>
      </c>
      <c r="DK10" s="179" t="str">
        <f>IFERROR(VLOOKUP(DJ$5,DONNEES!$AB$42:$AH$50,4,FALSE),)</f>
        <v/>
      </c>
      <c r="DL10" s="179" t="str">
        <f>IFERROR(VLOOKUP(DJ$5,DONNEES!$AB$42:$AH$50,6,FALSE),)</f>
        <v/>
      </c>
    </row>
    <row r="11" ht="15.0" customHeight="1">
      <c r="B11" s="164" t="s">
        <v>292</v>
      </c>
      <c r="C11" s="179" t="str">
        <f>IFERROR(VLOOKUP(C$5,DONNEES!$AJ$31:$AP$40,2,FALSE),)</f>
        <v/>
      </c>
      <c r="D11" s="179" t="str">
        <f>IFERROR(VLOOKUP(C$5,DONNEES!$AJ$31:$AP$40,3,FALSE),)</f>
        <v/>
      </c>
      <c r="E11" s="179" t="str">
        <f>IFERROR(VLOOKUP(C$5,DONNEES!$AJ$31:$AP$40,4,FALSE),)</f>
        <v/>
      </c>
      <c r="F11" s="180" t="str">
        <f>IFERROR(VLOOKUP(F$5,DONNEES!$AJ$31:$AP$40,2,FALSE),)</f>
        <v/>
      </c>
      <c r="G11" s="179" t="str">
        <f>IFERROR(VLOOKUP(F$5,DONNEES!$AJ$31:$AP$40,3,FALSE),)</f>
        <v/>
      </c>
      <c r="H11" s="179" t="str">
        <f>IFERROR(VLOOKUP(F$5,DONNEES!$AJ$31:$AP$40,4,FALSE),)</f>
        <v/>
      </c>
      <c r="I11" s="179" t="str">
        <f>IFERROR(VLOOKUP(I$5,DONNEES!$AJ$31:$AP$40,2,FALSE),)</f>
        <v/>
      </c>
      <c r="J11" s="179" t="str">
        <f>IFERROR(VLOOKUP(I$5,DONNEES!$AJ$31:$AP$40,3,FALSE),)</f>
        <v/>
      </c>
      <c r="K11" s="179" t="str">
        <f>IFERROR(VLOOKUP(I$5,DONNEES!$AJ$31:$AP$40,4,FALSE),)</f>
        <v/>
      </c>
      <c r="L11" s="179" t="str">
        <f>IFERROR(VLOOKUP(L$5,DONNEES!$AJ$31:$AP$40,2,FALSE),)</f>
        <v/>
      </c>
      <c r="M11" s="179" t="str">
        <f>IFERROR(VLOOKUP(L$5,DONNEES!$AJ$31:$AP$40,3,FALSE),)</f>
        <v/>
      </c>
      <c r="N11" s="179" t="str">
        <f>IFERROR(VLOOKUP(L$5,DONNEES!$AJ$31:$AP$40,4,FALSE),)</f>
        <v/>
      </c>
      <c r="O11" s="179" t="str">
        <f>IFERROR(VLOOKUP(O$5,DONNEES!$AJ$31:$AP$40,2,FALSE),)</f>
        <v/>
      </c>
      <c r="P11" s="179" t="str">
        <f>IFERROR(VLOOKUP(O$5,DONNEES!$AJ$31:$AP$40,3,FALSE),)</f>
        <v/>
      </c>
      <c r="Q11" s="179" t="str">
        <f>IFERROR(VLOOKUP(O$5,DONNEES!$AJ$31:$AP$40,4,FALSE),)</f>
        <v/>
      </c>
      <c r="R11" s="180" t="str">
        <f>IFERROR(VLOOKUP(R$5,DONNEES!$AJ$31:$AP$40,2,FALSE),)</f>
        <v/>
      </c>
      <c r="S11" s="179" t="str">
        <f>IFERROR(VLOOKUP(R$5,DONNEES!$AJ$31:$AP$40,3,FALSE),)</f>
        <v/>
      </c>
      <c r="T11" s="179" t="str">
        <f>IFERROR(VLOOKUP(R$5,DONNEES!$AJ$31:$AP$40,4,FALSE),)</f>
        <v/>
      </c>
      <c r="U11" s="179" t="str">
        <f>IFERROR(VLOOKUP(U$5,DONNEES!$AJ$31:$AP$40,2,FALSE),)</f>
        <v/>
      </c>
      <c r="V11" s="179" t="str">
        <f>IFERROR(VLOOKUP(U$5,DONNEES!$AJ$31:$AP$40,3,FALSE),)</f>
        <v/>
      </c>
      <c r="W11" s="179" t="str">
        <f>IFERROR(VLOOKUP(U$5,DONNEES!$AJ$31:$AP$40,4,FALSE),)</f>
        <v/>
      </c>
      <c r="X11" s="180" t="str">
        <f>IFERROR(VLOOKUP(X$5,DONNEES!$AJ$31:$AP$40,2,FALSE),)</f>
        <v/>
      </c>
      <c r="Y11" s="179" t="str">
        <f>IFERROR(VLOOKUP(X$5,DONNEES!$AJ$31:$AP$40,3,FALSE),)</f>
        <v/>
      </c>
      <c r="Z11" s="179" t="str">
        <f>IFERROR(VLOOKUP(X$5,DONNEES!$AJ$31:$AP$40,4,FALSE),)</f>
        <v/>
      </c>
      <c r="AA11" s="179" t="str">
        <f>IFERROR(VLOOKUP(AA$5,DONNEES!$AJ$31:$AP$40,2,FALSE),)</f>
        <v/>
      </c>
      <c r="AB11" s="179" t="str">
        <f>IFERROR(VLOOKUP(AA$5,DONNEES!$AJ$31:$AP$40,3,FALSE),)</f>
        <v/>
      </c>
      <c r="AC11" s="179" t="str">
        <f>IFERROR(VLOOKUP(AA$5,DONNEES!$AJ$31:$AP$40,4,FALSE),)</f>
        <v/>
      </c>
      <c r="AD11" s="179" t="str">
        <f>IFERROR(VLOOKUP(AD$5,DONNEES!$AJ$31:$AP$40,2,FALSE),)</f>
        <v/>
      </c>
      <c r="AE11" s="179" t="str">
        <f>IFERROR(VLOOKUP(AD$5,DONNEES!$AJ$31:$AP$40,3,FALSE),)</f>
        <v/>
      </c>
      <c r="AF11" s="179" t="str">
        <f>IFERROR(VLOOKUP(AD$5,DONNEES!$AJ$31:$AP$40,4,FALSE),)</f>
        <v/>
      </c>
      <c r="AG11" s="179" t="str">
        <f>IFERROR(VLOOKUP(AG$5,DONNEES!$AJ$31:$AP$40,2,FALSE),)</f>
        <v/>
      </c>
      <c r="AH11" s="179" t="str">
        <f>IFERROR(VLOOKUP(AG$5,DONNEES!$AJ$31:$AP$40,3,FALSE),)</f>
        <v/>
      </c>
      <c r="AI11" s="179" t="str">
        <f>IFERROR(VLOOKUP(AG$5,DONNEES!$AJ$31:$AP$40,4,FALSE),)</f>
        <v/>
      </c>
      <c r="AJ11" s="179" t="str">
        <f>IFERROR(VLOOKUP(AJ$5,DONNEES!$AJ$31:$AP$40,2,FALSE),)</f>
        <v/>
      </c>
      <c r="AK11" s="179" t="str">
        <f>IFERROR(VLOOKUP(AJ$5,DONNEES!$AJ$31:$AP$40,3,FALSE),)</f>
        <v/>
      </c>
      <c r="AL11" s="179" t="str">
        <f>IFERROR(VLOOKUP(AJ$5,DONNEES!$AJ$31:$AP$40,4,FALSE),)</f>
        <v/>
      </c>
      <c r="AM11" s="179" t="str">
        <f>IFERROR(VLOOKUP(AM$5,DONNEES!$AJ$31:$AP$40,2,FALSE),)</f>
        <v/>
      </c>
      <c r="AN11" s="179" t="str">
        <f>IFERROR(VLOOKUP(AM$5,DONNEES!$AJ$31:$AP$40,3,FALSE),)</f>
        <v/>
      </c>
      <c r="AO11" s="179" t="str">
        <f>IFERROR(VLOOKUP(AM$5,DONNEES!$AJ$31:$AP$40,4,FALSE),)</f>
        <v/>
      </c>
      <c r="AP11" s="179" t="str">
        <f>IFERROR(VLOOKUP(AP$5,DONNEES!$AJ$31:$AP$40,2,FALSE),)</f>
        <v/>
      </c>
      <c r="AQ11" s="179" t="str">
        <f>IFERROR(VLOOKUP(AP$5,DONNEES!$AJ$31:$AP$40,3,FALSE),)</f>
        <v/>
      </c>
      <c r="AR11" s="179" t="str">
        <f>IFERROR(VLOOKUP(AP$5,DONNEES!$AJ$31:$AP$40,4,FALSE),)</f>
        <v/>
      </c>
      <c r="AS11" s="179" t="str">
        <f>IFERROR(VLOOKUP(AS$5,DONNEES!$AJ$31:$AP$40,2,FALSE),)</f>
        <v/>
      </c>
      <c r="AT11" s="179" t="str">
        <f>IFERROR(VLOOKUP(AS$5,DONNEES!$AJ$31:$AP$40,3,FALSE),)</f>
        <v/>
      </c>
      <c r="AU11" s="179" t="str">
        <f>IFERROR(VLOOKUP(AS$5,DONNEES!$AJ$31:$AP$40,4,FALSE),)</f>
        <v/>
      </c>
      <c r="AV11" s="180">
        <f>IFERROR(VLOOKUP(AV$5,DONNEES!$AJ$31:$AP$40,2,FALSE),)</f>
        <v>15000</v>
      </c>
      <c r="AW11" s="179">
        <f>IFERROR(VLOOKUP(AV$5,DONNEES!$AJ$31:$AP$40,3,FALSE),)</f>
        <v>0</v>
      </c>
      <c r="AX11" s="179">
        <f>IFERROR(VLOOKUP(AV$5,DONNEES!$AJ$31:$AP$40,4,FALSE),)</f>
        <v>0</v>
      </c>
      <c r="AY11" s="179">
        <f>IFERROR(VLOOKUP(AY$5,DONNEES!$AJ$31:$AP$40,2,FALSE),)</f>
        <v>300000</v>
      </c>
      <c r="AZ11" s="179">
        <f>IFERROR(VLOOKUP(AY$5,DONNEES!$AJ$31:$AP$40,3,FALSE),)</f>
        <v>0</v>
      </c>
      <c r="BA11" s="179">
        <f>IFERROR(VLOOKUP(AY$5,DONNEES!$AJ$31:$AP$40,4,FALSE),)</f>
        <v>0</v>
      </c>
      <c r="BB11" s="180" t="str">
        <f>IFERROR(VLOOKUP(BB$5,DONNEES!$AJ$42:$AP$50,2,FALSE),)</f>
        <v/>
      </c>
      <c r="BC11" s="179" t="str">
        <f>IFERROR(VLOOKUP(BB$5,DONNEES!$AJ$42:$AP$50,4,FALSE),)</f>
        <v/>
      </c>
      <c r="BD11" s="179" t="str">
        <f>IFERROR(VLOOKUP(BB$5,DONNEES!$AJ$42:$AP$50,6,FALSE),)</f>
        <v/>
      </c>
      <c r="BE11" s="179" t="str">
        <f>IFERROR(VLOOKUP(BE$5,DONNEES!$AJ$42:$AP$50,2,FALSE),)</f>
        <v/>
      </c>
      <c r="BF11" s="179" t="str">
        <f>IFERROR(VLOOKUP(BE$5,DONNEES!$AJ$42:$AP$50,4,FALSE),)</f>
        <v/>
      </c>
      <c r="BG11" s="179" t="str">
        <f>IFERROR(VLOOKUP(BE$5,DONNEES!$AJ$42:$AP$50,6,FALSE),)</f>
        <v/>
      </c>
      <c r="BH11" s="179" t="str">
        <f>IFERROR(VLOOKUP(BH$5,DONNEES!$AJ$42:$AP$50,2,FALSE),)</f>
        <v/>
      </c>
      <c r="BI11" s="179" t="str">
        <f>IFERROR(VLOOKUP(BH$5,DONNEES!$AJ$42:$AP$50,4,FALSE),)</f>
        <v/>
      </c>
      <c r="BJ11" s="179" t="str">
        <f>IFERROR(VLOOKUP(BH$5,DONNEES!$AJ$42:$AP$50,6,FALSE),)</f>
        <v/>
      </c>
      <c r="BK11" s="179" t="str">
        <f>IFERROR(VLOOKUP(BK$5,DONNEES!$AJ$42:$AP$50,2,FALSE),)</f>
        <v/>
      </c>
      <c r="BL11" s="179" t="str">
        <f>IFERROR(VLOOKUP(BK$5,DONNEES!$AJ$42:$AP$50,4,FALSE),)</f>
        <v/>
      </c>
      <c r="BM11" s="179" t="str">
        <f>IFERROR(VLOOKUP(BK$5,DONNEES!$AJ$42:$AP$50,6,FALSE),)</f>
        <v/>
      </c>
      <c r="BN11" s="179" t="str">
        <f>IFERROR(VLOOKUP(BN$5,DONNEES!$AJ$42:$AP$50,2,FALSE),)</f>
        <v/>
      </c>
      <c r="BO11" s="179" t="str">
        <f>IFERROR(VLOOKUP(BN$5,DONNEES!$AJ$42:$AP$50,4,FALSE),)</f>
        <v/>
      </c>
      <c r="BP11" s="179" t="str">
        <f>IFERROR(VLOOKUP(BN$5,DONNEES!$AJ$42:$AP$50,6,FALSE),)</f>
        <v/>
      </c>
      <c r="BQ11" s="179" t="str">
        <f>IFERROR(VLOOKUP(BQ$5,DONNEES!$AJ$42:$AP$50,2,FALSE),)</f>
        <v/>
      </c>
      <c r="BR11" s="179" t="str">
        <f>IFERROR(VLOOKUP(BQ$5,DONNEES!$AJ$42:$AP$50,4,FALSE),)</f>
        <v/>
      </c>
      <c r="BS11" s="179" t="str">
        <f>IFERROR(VLOOKUP(BQ$5,DONNEES!$AJ$42:$AP$50,6,FALSE),)</f>
        <v/>
      </c>
      <c r="BT11" s="179">
        <f>IFERROR(VLOOKUP(BT$5,DONNEES!$AJ$42:$AP$50,2,FALSE),)</f>
        <v>15</v>
      </c>
      <c r="BU11" s="179">
        <f>IFERROR(VLOOKUP(BT$5,DONNEES!$AJ$42:$AP$50,4,FALSE),)</f>
        <v>0</v>
      </c>
      <c r="BV11" s="179">
        <f>IFERROR(VLOOKUP(BT$5,DONNEES!$AJ$42:$AP$50,6,FALSE),)</f>
        <v>0</v>
      </c>
      <c r="BW11" s="179" t="str">
        <f>IFERROR(VLOOKUP(BW$5,DONNEES!$AJ$42:$AP$50,2,FALSE),)</f>
        <v/>
      </c>
      <c r="BX11" s="179" t="str">
        <f>IFERROR(VLOOKUP(BW$5,DONNEES!$AJ$42:$AP$50,4,FALSE),)</f>
        <v/>
      </c>
      <c r="BY11" s="179" t="str">
        <f>IFERROR(VLOOKUP(BW$5,DONNEES!$AJ$42:$AP$50,6,FALSE),)</f>
        <v/>
      </c>
      <c r="BZ11" s="179" t="str">
        <f>IFERROR(VLOOKUP(BZ$5,DONNEES!$AJ$42:$AP$50,2,FALSE),)</f>
        <v/>
      </c>
      <c r="CA11" s="179" t="str">
        <f>IFERROR(VLOOKUP(BZ$5,DONNEES!$AJ$42:$AP$50,4,FALSE),)</f>
        <v/>
      </c>
      <c r="CB11" s="179" t="str">
        <f>IFERROR(VLOOKUP(BZ$5,DONNEES!$AJ$42:$AP$50,6,FALSE),)</f>
        <v/>
      </c>
      <c r="CC11" s="179" t="str">
        <f>IFERROR(VLOOKUP(CC$5,DONNEES!$AJ$42:$AP$50,2,FALSE),)</f>
        <v/>
      </c>
      <c r="CD11" s="179" t="str">
        <f>IFERROR(VLOOKUP(CC$5,DONNEES!$AJ$42:$AP$50,4,FALSE),)</f>
        <v/>
      </c>
      <c r="CE11" s="179" t="str">
        <f>IFERROR(VLOOKUP(CC$5,DONNEES!$AJ$42:$AP$50,6,FALSE),)</f>
        <v/>
      </c>
      <c r="CF11" s="179" t="str">
        <f>IFERROR(VLOOKUP(CF$5,DONNEES!$AJ$42:$AP$50,2,FALSE),)</f>
        <v/>
      </c>
      <c r="CG11" s="179" t="str">
        <f>IFERROR(VLOOKUP(CF$5,DONNEES!$AJ$42:$AP$50,4,FALSE),)</f>
        <v/>
      </c>
      <c r="CH11" s="179" t="str">
        <f>IFERROR(VLOOKUP(CF$5,DONNEES!$AJ$42:$AP$50,6,FALSE),)</f>
        <v/>
      </c>
      <c r="CI11" s="179" t="str">
        <f>IFERROR(VLOOKUP(CI$5,DONNEES!$AJ$42:$AP$50,2,FALSE),)</f>
        <v/>
      </c>
      <c r="CJ11" s="179" t="str">
        <f>IFERROR(VLOOKUP(CI$5,DONNEES!$AJ$42:$AP$50,4,FALSE),)</f>
        <v/>
      </c>
      <c r="CK11" s="179" t="str">
        <f>IFERROR(VLOOKUP(CI$5,DONNEES!$AJ$42:$AP$50,6,FALSE),)</f>
        <v/>
      </c>
      <c r="CL11" s="180" t="str">
        <f>IFERROR(VLOOKUP(CL$5,DONNEES!$AJ$42:$AP$50,2,FALSE),)</f>
        <v/>
      </c>
      <c r="CM11" s="180" t="str">
        <f>IFERROR(VLOOKUP(CL$5,DONNEES!$AJ$42:$AP$50,4,FALSE),)</f>
        <v/>
      </c>
      <c r="CN11" s="180" t="str">
        <f>IFERROR(VLOOKUP(CL$5,DONNEES!$AJ$42:$AP$50,6,FALSE),)</f>
        <v/>
      </c>
      <c r="CO11" s="179" t="str">
        <f>IFERROR(VLOOKUP(CO$5,DONNEES!$AJ$42:$AP$50,2,FALSE),)</f>
        <v/>
      </c>
      <c r="CP11" s="179" t="str">
        <f>IFERROR(VLOOKUP(CO$5,DONNEES!$AJ$42:$AP$50,4,FALSE),)</f>
        <v/>
      </c>
      <c r="CQ11" s="179" t="str">
        <f>IFERROR(VLOOKUP(CO$5,DONNEES!$AJ$42:$AP$50,6,FALSE),)</f>
        <v/>
      </c>
      <c r="CR11" s="179" t="str">
        <f>IFERROR(VLOOKUP(CR$5,DONNEES!$AJ$42:$AP$50,2,FALSE),)</f>
        <v/>
      </c>
      <c r="CS11" s="179" t="str">
        <f>IFERROR(VLOOKUP(CR$5,DONNEES!$AJ$42:$AP$50,4,FALSE),)</f>
        <v/>
      </c>
      <c r="CT11" s="179" t="str">
        <f>IFERROR(VLOOKUP(CR$5,DONNEES!$AJ$42:$AP$50,6,FALSE),)</f>
        <v/>
      </c>
      <c r="CU11" s="179" t="str">
        <f>IFERROR(VLOOKUP(CU$5,DONNEES!$AJ$42:$AP$50,2,FALSE),)</f>
        <v/>
      </c>
      <c r="CV11" s="179" t="str">
        <f>IFERROR(VLOOKUP(CU$5,DONNEES!$AJ$42:$AP$50,4,FALSE),)</f>
        <v/>
      </c>
      <c r="CW11" s="179" t="str">
        <f>IFERROR(VLOOKUP(CU$5,DONNEES!$AJ$42:$AP$50,6,FALSE),)</f>
        <v/>
      </c>
      <c r="CX11" s="179" t="str">
        <f>IFERROR(VLOOKUP(CX$5,DONNEES!$AJ$42:$AP$50,2,FALSE),)</f>
        <v/>
      </c>
      <c r="CY11" s="179" t="str">
        <f>IFERROR(VLOOKUP(CX$5,DONNEES!$AJ$42:$AP$50,4,FALSE),)</f>
        <v/>
      </c>
      <c r="CZ11" s="179" t="str">
        <f>IFERROR(VLOOKUP(CX$5,DONNEES!$AJ$42:$AP$50,6,FALSE),)</f>
        <v/>
      </c>
      <c r="DA11" s="179" t="str">
        <f>IFERROR(VLOOKUP(DA$5,DONNEES!$AJ$42:$AP$50,2,FALSE),)</f>
        <v/>
      </c>
      <c r="DB11" s="179" t="str">
        <f>IFERROR(VLOOKUP(DA$5,DONNEES!$AJ$42:$AP$50,4,FALSE),)</f>
        <v/>
      </c>
      <c r="DC11" s="179" t="str">
        <f>IFERROR(VLOOKUP(DA$5,DONNEES!$AJ$42:$AP$50,6,FALSE),)</f>
        <v/>
      </c>
      <c r="DD11" s="179" t="str">
        <f>IFERROR(VLOOKUP(DD$5,DONNEES!$AJ$42:$AP$50,2,FALSE),)</f>
        <v/>
      </c>
      <c r="DE11" s="179" t="str">
        <f>IFERROR(VLOOKUP(DD$5,DONNEES!$AJ$42:$AP$50,4,FALSE),)</f>
        <v/>
      </c>
      <c r="DF11" s="179" t="str">
        <f>IFERROR(VLOOKUP(DD$5,DONNEES!$AJ$42:$AP$50,6,FALSE),)</f>
        <v/>
      </c>
      <c r="DG11" s="179" t="str">
        <f>IFERROR(VLOOKUP(DG$5,DONNEES!$AJ$42:$AP$50,2,FALSE),)</f>
        <v/>
      </c>
      <c r="DH11" s="179" t="str">
        <f>IFERROR(VLOOKUP(DG$5,DONNEES!$AJ$42:$AP$50,4,FALSE),)</f>
        <v/>
      </c>
      <c r="DI11" s="179" t="str">
        <f>IFERROR(VLOOKUP(DG$5,DONNEES!$AJ$42:$AP$50,6,FALSE),)</f>
        <v/>
      </c>
      <c r="DJ11" s="179" t="str">
        <f>IFERROR(VLOOKUP(DJ$5,DONNEES!$AJ$42:$AP$50,2,FALSE),)</f>
        <v/>
      </c>
      <c r="DK11" s="179" t="str">
        <f>IFERROR(VLOOKUP(DJ$5,DONNEES!$AJ$42:$AP$50,4,FALSE),)</f>
        <v/>
      </c>
      <c r="DL11" s="179" t="str">
        <f>IFERROR(VLOOKUP(DJ$5,DONNEES!$AJ$42:$AP$50,6,FALSE),)</f>
        <v/>
      </c>
    </row>
    <row r="12">
      <c r="A12" s="120"/>
      <c r="B12" s="120"/>
      <c r="C12" s="326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327"/>
      <c r="X12" s="327"/>
      <c r="Y12" s="327"/>
      <c r="Z12" s="327"/>
      <c r="AA12" s="327"/>
      <c r="AB12" s="327"/>
      <c r="AC12" s="327"/>
      <c r="AD12" s="327"/>
      <c r="AE12" s="327"/>
      <c r="AF12" s="327"/>
      <c r="AG12" s="327"/>
      <c r="AH12" s="327"/>
      <c r="AI12" s="327"/>
      <c r="AJ12" s="327"/>
      <c r="AK12" s="327"/>
      <c r="AL12" s="327"/>
      <c r="AM12" s="327"/>
      <c r="AN12" s="327"/>
      <c r="AO12" s="327"/>
      <c r="AP12" s="327"/>
      <c r="AQ12" s="327"/>
      <c r="AR12" s="327"/>
      <c r="AS12" s="327"/>
      <c r="AT12" s="327"/>
      <c r="AU12" s="327"/>
      <c r="AV12" s="327"/>
      <c r="AW12" s="327"/>
      <c r="AX12" s="327"/>
      <c r="AY12" s="327"/>
      <c r="AZ12" s="327"/>
      <c r="BA12" s="327"/>
      <c r="BB12" s="327"/>
      <c r="BC12" s="327"/>
      <c r="BD12" s="327"/>
      <c r="BE12" s="327"/>
      <c r="BF12" s="327"/>
      <c r="BG12" s="327"/>
      <c r="BH12" s="327"/>
      <c r="BI12" s="327"/>
      <c r="BJ12" s="327"/>
      <c r="BK12" s="327"/>
      <c r="BL12" s="327"/>
      <c r="BM12" s="327"/>
      <c r="BN12" s="327"/>
      <c r="BO12" s="327"/>
      <c r="BP12" s="327"/>
      <c r="BQ12" s="327"/>
      <c r="BR12" s="327"/>
      <c r="BS12" s="327"/>
      <c r="BT12" s="327"/>
      <c r="BU12" s="327"/>
      <c r="BV12" s="327"/>
      <c r="BW12" s="327"/>
      <c r="BX12" s="327"/>
      <c r="BY12" s="327"/>
      <c r="BZ12" s="327"/>
      <c r="CA12" s="327"/>
      <c r="CB12" s="327"/>
      <c r="CC12" s="327"/>
      <c r="CD12" s="327"/>
      <c r="CE12" s="327"/>
      <c r="CF12" s="327"/>
      <c r="CG12" s="327"/>
      <c r="CH12" s="327"/>
      <c r="CI12" s="327"/>
      <c r="CJ12" s="327"/>
      <c r="CK12" s="327"/>
      <c r="CL12" s="327"/>
      <c r="CM12" s="327"/>
      <c r="CN12" s="327"/>
      <c r="CO12" s="327"/>
      <c r="CP12" s="327"/>
      <c r="CQ12" s="327"/>
      <c r="CR12" s="327"/>
      <c r="CS12" s="327"/>
      <c r="CT12" s="327"/>
      <c r="CU12" s="327"/>
      <c r="CV12" s="327"/>
      <c r="CW12" s="327"/>
      <c r="CX12" s="327"/>
      <c r="CY12" s="327"/>
      <c r="CZ12" s="327"/>
      <c r="DA12" s="327"/>
      <c r="DB12" s="327"/>
      <c r="DC12" s="327"/>
      <c r="DD12" s="327"/>
      <c r="DE12" s="327"/>
      <c r="DF12" s="327"/>
      <c r="DG12" s="327"/>
      <c r="DH12" s="327"/>
      <c r="DI12" s="327"/>
      <c r="DJ12" s="327"/>
      <c r="DK12" s="327"/>
      <c r="DL12" s="327"/>
      <c r="DM12" s="120"/>
      <c r="DN12" s="120"/>
      <c r="DO12" s="120"/>
      <c r="DP12" s="120"/>
      <c r="DQ12" s="120"/>
      <c r="DR12" s="120"/>
      <c r="DS12" s="120"/>
      <c r="DT12" s="120"/>
      <c r="DU12" s="120"/>
      <c r="DV12" s="120"/>
      <c r="DW12" s="120"/>
      <c r="DX12" s="120"/>
      <c r="DY12" s="120"/>
      <c r="DZ12" s="120"/>
      <c r="EA12" s="120"/>
      <c r="EB12" s="120"/>
      <c r="EC12" s="120"/>
      <c r="ED12" s="120"/>
      <c r="EE12" s="120"/>
      <c r="EF12" s="120"/>
      <c r="EG12" s="120"/>
      <c r="EH12" s="120"/>
    </row>
    <row r="13" ht="14.25" customHeight="1">
      <c r="B13" s="328" t="s">
        <v>182</v>
      </c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83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5"/>
      <c r="DR13" s="185"/>
      <c r="DS13" s="185"/>
      <c r="DT13" s="185"/>
      <c r="DU13" s="185"/>
      <c r="DV13" s="185"/>
      <c r="DW13" s="185"/>
      <c r="DX13" s="185"/>
      <c r="DY13" s="185"/>
      <c r="DZ13" s="185"/>
      <c r="EA13" s="185"/>
      <c r="EB13" s="185"/>
      <c r="EC13" s="185"/>
      <c r="ED13" s="185"/>
      <c r="EE13" s="185"/>
      <c r="EF13" s="185"/>
      <c r="EG13" s="185"/>
      <c r="EH13" s="185"/>
    </row>
    <row r="14" ht="30.0" customHeight="1">
      <c r="B14" s="186"/>
      <c r="C14" s="187" t="s">
        <v>183</v>
      </c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9"/>
      <c r="BS14" s="190"/>
      <c r="BT14" s="190"/>
      <c r="BU14" s="190"/>
      <c r="BV14" s="190"/>
      <c r="BW14" s="190"/>
      <c r="BX14" s="190"/>
      <c r="BY14" s="190"/>
      <c r="BZ14" s="190"/>
      <c r="CA14" s="190"/>
      <c r="CB14" s="190"/>
      <c r="CC14" s="190"/>
      <c r="CD14" s="190"/>
      <c r="CE14" s="190"/>
      <c r="CF14" s="190"/>
      <c r="CG14" s="190"/>
      <c r="CH14" s="190"/>
      <c r="CI14" s="190"/>
      <c r="CJ14" s="190"/>
      <c r="CK14" s="191" t="s">
        <v>110</v>
      </c>
      <c r="CL14" s="192"/>
      <c r="CM14" s="193" t="s">
        <v>184</v>
      </c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92"/>
      <c r="DC14" s="329" t="s">
        <v>164</v>
      </c>
      <c r="DD14" s="330"/>
      <c r="DE14" s="330"/>
      <c r="DF14" s="330"/>
      <c r="DG14" s="330"/>
      <c r="DH14" s="330"/>
      <c r="DI14" s="330"/>
      <c r="DJ14" s="330"/>
      <c r="DK14" s="330"/>
      <c r="DL14" s="330"/>
      <c r="DM14" s="330"/>
      <c r="DN14" s="331"/>
      <c r="DO14" s="195" t="s">
        <v>164</v>
      </c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9"/>
    </row>
    <row r="15" ht="15.0" customHeight="1">
      <c r="B15" s="196"/>
      <c r="C15" s="152" t="s">
        <v>160</v>
      </c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9"/>
      <c r="AQ15" s="197" t="s">
        <v>161</v>
      </c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9"/>
      <c r="BQ15" s="197" t="s">
        <v>162</v>
      </c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9"/>
      <c r="CK15" s="198" t="s">
        <v>185</v>
      </c>
      <c r="CL15" s="13"/>
      <c r="CM15" s="199" t="s">
        <v>186</v>
      </c>
      <c r="CN15" s="12"/>
      <c r="CO15" s="12"/>
      <c r="CP15" s="200"/>
      <c r="CQ15" s="201" t="s">
        <v>187</v>
      </c>
      <c r="CR15" s="12"/>
      <c r="CS15" s="12"/>
      <c r="CT15" s="200"/>
      <c r="CU15" s="201" t="s">
        <v>188</v>
      </c>
      <c r="CV15" s="12"/>
      <c r="CW15" s="12"/>
      <c r="CX15" s="200"/>
      <c r="CY15" s="201" t="s">
        <v>189</v>
      </c>
      <c r="CZ15" s="12"/>
      <c r="DA15" s="12"/>
      <c r="DB15" s="13"/>
      <c r="DC15" s="202" t="str">
        <f>BQ5</f>
        <v>Bactériosol concentré</v>
      </c>
      <c r="DD15" s="200"/>
      <c r="DE15" s="203" t="str">
        <f>BT5</f>
        <v>Bactériosol concentré UAB</v>
      </c>
      <c r="DF15" s="200"/>
      <c r="DG15" s="203" t="str">
        <f>BW5</f>
        <v>Bactériosol booster 10</v>
      </c>
      <c r="DH15" s="200"/>
      <c r="DI15" s="203" t="str">
        <f>BZ5</f>
        <v>Bactériosol booster 50</v>
      </c>
      <c r="DJ15" s="200"/>
      <c r="DK15" s="203" t="str">
        <f>CC5</f>
        <v>Bactériolit concentré</v>
      </c>
      <c r="DL15" s="200"/>
      <c r="DM15" s="203" t="str">
        <f>CF5</f>
        <v>Quaterna Plant</v>
      </c>
      <c r="DN15" s="200"/>
      <c r="DO15" s="332" t="s">
        <v>109</v>
      </c>
      <c r="DP15" s="200"/>
      <c r="DQ15" s="204" t="s">
        <v>112</v>
      </c>
      <c r="DR15" s="200"/>
      <c r="DS15" s="204" t="s">
        <v>115</v>
      </c>
      <c r="DT15" s="200"/>
      <c r="DU15" s="204" t="s">
        <v>117</v>
      </c>
      <c r="DV15" s="200"/>
      <c r="DW15" s="205" t="s">
        <v>22</v>
      </c>
      <c r="DX15" s="200"/>
      <c r="DY15" s="205" t="s">
        <v>121</v>
      </c>
      <c r="DZ15" s="200"/>
      <c r="EA15" s="204" t="s">
        <v>123</v>
      </c>
      <c r="EB15" s="200"/>
      <c r="EC15" s="204" t="s">
        <v>125</v>
      </c>
      <c r="ED15" s="200"/>
      <c r="EE15" s="206" t="s">
        <v>126</v>
      </c>
      <c r="EF15" s="12"/>
      <c r="EG15" s="204" t="s">
        <v>127</v>
      </c>
      <c r="EH15" s="13"/>
    </row>
    <row r="16">
      <c r="B16" s="196"/>
      <c r="C16" s="207" t="s">
        <v>190</v>
      </c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3"/>
      <c r="AA16" s="208" t="s">
        <v>191</v>
      </c>
      <c r="AB16" s="162"/>
      <c r="AC16" s="162"/>
      <c r="AD16" s="162"/>
      <c r="AE16" s="162"/>
      <c r="AF16" s="162"/>
      <c r="AG16" s="162"/>
      <c r="AH16" s="163"/>
      <c r="AI16" s="209" t="s">
        <v>192</v>
      </c>
      <c r="AJ16" s="162"/>
      <c r="AK16" s="162"/>
      <c r="AL16" s="162"/>
      <c r="AM16" s="162"/>
      <c r="AN16" s="162"/>
      <c r="AO16" s="162"/>
      <c r="AP16" s="165"/>
      <c r="AQ16" s="207" t="s">
        <v>193</v>
      </c>
      <c r="AR16" s="162"/>
      <c r="AS16" s="162"/>
      <c r="AT16" s="162"/>
      <c r="AU16" s="162"/>
      <c r="AV16" s="162"/>
      <c r="AW16" s="163"/>
      <c r="AX16" s="208" t="s">
        <v>194</v>
      </c>
      <c r="AY16" s="162"/>
      <c r="AZ16" s="162"/>
      <c r="BA16" s="163"/>
      <c r="BB16" s="208" t="s">
        <v>195</v>
      </c>
      <c r="BC16" s="162"/>
      <c r="BD16" s="162"/>
      <c r="BE16" s="162"/>
      <c r="BF16" s="162"/>
      <c r="BG16" s="162"/>
      <c r="BH16" s="163"/>
      <c r="BI16" s="208" t="s">
        <v>196</v>
      </c>
      <c r="BJ16" s="162"/>
      <c r="BK16" s="162"/>
      <c r="BL16" s="163"/>
      <c r="BM16" s="208" t="s">
        <v>197</v>
      </c>
      <c r="BN16" s="162"/>
      <c r="BO16" s="162"/>
      <c r="BP16" s="165"/>
      <c r="BQ16" s="207" t="s">
        <v>198</v>
      </c>
      <c r="BR16" s="162"/>
      <c r="BS16" s="162"/>
      <c r="BT16" s="162"/>
      <c r="BU16" s="162"/>
      <c r="BV16" s="162"/>
      <c r="BW16" s="162"/>
      <c r="BX16" s="162"/>
      <c r="BY16" s="162"/>
      <c r="BZ16" s="163"/>
      <c r="CA16" s="208" t="s">
        <v>199</v>
      </c>
      <c r="CB16" s="162"/>
      <c r="CC16" s="162"/>
      <c r="CD16" s="162"/>
      <c r="CE16" s="162"/>
      <c r="CF16" s="162"/>
      <c r="CG16" s="162"/>
      <c r="CH16" s="162"/>
      <c r="CI16" s="162"/>
      <c r="CJ16" s="165"/>
      <c r="CK16" s="51"/>
      <c r="CL16" s="30"/>
      <c r="CM16" s="51"/>
      <c r="CP16" s="210"/>
      <c r="CQ16" s="211"/>
      <c r="CT16" s="210"/>
      <c r="CU16" s="211"/>
      <c r="CX16" s="210"/>
      <c r="CY16" s="211"/>
      <c r="DB16" s="30"/>
      <c r="DC16" s="51"/>
      <c r="DD16" s="210"/>
      <c r="DE16" s="211"/>
      <c r="DF16" s="210"/>
      <c r="DG16" s="211"/>
      <c r="DH16" s="210"/>
      <c r="DI16" s="211"/>
      <c r="DJ16" s="210"/>
      <c r="DK16" s="211"/>
      <c r="DL16" s="210"/>
      <c r="DM16" s="211"/>
      <c r="DN16" s="210"/>
      <c r="DO16" s="51"/>
      <c r="DP16" s="210"/>
      <c r="DQ16" s="211"/>
      <c r="DR16" s="210"/>
      <c r="DS16" s="211"/>
      <c r="DT16" s="210"/>
      <c r="DU16" s="211"/>
      <c r="DV16" s="210"/>
      <c r="DW16" s="211"/>
      <c r="DX16" s="210"/>
      <c r="DY16" s="211"/>
      <c r="DZ16" s="210"/>
      <c r="EA16" s="211"/>
      <c r="EB16" s="210"/>
      <c r="EC16" s="211"/>
      <c r="ED16" s="210"/>
      <c r="EE16" s="211"/>
      <c r="EG16" s="211"/>
      <c r="EH16" s="30"/>
    </row>
    <row r="17">
      <c r="B17" s="196"/>
      <c r="C17" s="207" t="s">
        <v>87</v>
      </c>
      <c r="D17" s="162"/>
      <c r="E17" s="162"/>
      <c r="F17" s="163"/>
      <c r="G17" s="208" t="s">
        <v>14</v>
      </c>
      <c r="H17" s="162"/>
      <c r="I17" s="162"/>
      <c r="J17" s="163"/>
      <c r="K17" s="208" t="s">
        <v>93</v>
      </c>
      <c r="L17" s="162"/>
      <c r="M17" s="162"/>
      <c r="N17" s="163"/>
      <c r="O17" s="208" t="s">
        <v>16</v>
      </c>
      <c r="P17" s="162"/>
      <c r="Q17" s="162"/>
      <c r="R17" s="163"/>
      <c r="S17" s="208" t="s">
        <v>100</v>
      </c>
      <c r="T17" s="162"/>
      <c r="U17" s="162"/>
      <c r="V17" s="163"/>
      <c r="W17" s="209" t="s">
        <v>103</v>
      </c>
      <c r="X17" s="162"/>
      <c r="Y17" s="162"/>
      <c r="Z17" s="163"/>
      <c r="AA17" s="208" t="s">
        <v>17</v>
      </c>
      <c r="AB17" s="162"/>
      <c r="AC17" s="162"/>
      <c r="AD17" s="163"/>
      <c r="AE17" s="209" t="s">
        <v>108</v>
      </c>
      <c r="AF17" s="162"/>
      <c r="AG17" s="162"/>
      <c r="AH17" s="163"/>
      <c r="AI17" s="209" t="s">
        <v>111</v>
      </c>
      <c r="AJ17" s="162"/>
      <c r="AK17" s="162"/>
      <c r="AL17" s="163"/>
      <c r="AM17" s="209" t="s">
        <v>114</v>
      </c>
      <c r="AN17" s="162"/>
      <c r="AO17" s="162"/>
      <c r="AP17" s="165"/>
      <c r="AQ17" s="212" t="s">
        <v>200</v>
      </c>
      <c r="AR17" s="209" t="s">
        <v>201</v>
      </c>
      <c r="AS17" s="162"/>
      <c r="AT17" s="163"/>
      <c r="AU17" s="209" t="s">
        <v>202</v>
      </c>
      <c r="AV17" s="162"/>
      <c r="AW17" s="163"/>
      <c r="AX17" s="213" t="s">
        <v>200</v>
      </c>
      <c r="AY17" s="209" t="s">
        <v>202</v>
      </c>
      <c r="AZ17" s="162"/>
      <c r="BA17" s="163"/>
      <c r="BB17" s="213" t="s">
        <v>200</v>
      </c>
      <c r="BC17" s="209" t="s">
        <v>203</v>
      </c>
      <c r="BD17" s="162"/>
      <c r="BE17" s="163"/>
      <c r="BF17" s="209" t="s">
        <v>202</v>
      </c>
      <c r="BG17" s="162"/>
      <c r="BH17" s="163"/>
      <c r="BI17" s="213" t="s">
        <v>200</v>
      </c>
      <c r="BJ17" s="209" t="s">
        <v>202</v>
      </c>
      <c r="BK17" s="162"/>
      <c r="BL17" s="163"/>
      <c r="BM17" s="213" t="s">
        <v>200</v>
      </c>
      <c r="BN17" s="209" t="s">
        <v>202</v>
      </c>
      <c r="BO17" s="162"/>
      <c r="BP17" s="165"/>
      <c r="BQ17" s="212" t="s">
        <v>200</v>
      </c>
      <c r="BR17" s="209" t="s">
        <v>203</v>
      </c>
      <c r="BS17" s="162"/>
      <c r="BT17" s="163"/>
      <c r="BU17" s="209" t="s">
        <v>201</v>
      </c>
      <c r="BV17" s="162"/>
      <c r="BW17" s="163"/>
      <c r="BX17" s="209" t="s">
        <v>202</v>
      </c>
      <c r="BY17" s="162"/>
      <c r="BZ17" s="163"/>
      <c r="CA17" s="213" t="s">
        <v>200</v>
      </c>
      <c r="CB17" s="209" t="s">
        <v>203</v>
      </c>
      <c r="CC17" s="162"/>
      <c r="CD17" s="163"/>
      <c r="CE17" s="209" t="s">
        <v>201</v>
      </c>
      <c r="CF17" s="162"/>
      <c r="CG17" s="163"/>
      <c r="CH17" s="209" t="s">
        <v>202</v>
      </c>
      <c r="CI17" s="162"/>
      <c r="CJ17" s="165"/>
      <c r="CK17" s="214"/>
      <c r="CL17" s="215"/>
      <c r="CM17" s="214"/>
      <c r="CN17" s="216"/>
      <c r="CO17" s="216"/>
      <c r="CP17" s="217"/>
      <c r="CQ17" s="218"/>
      <c r="CR17" s="216"/>
      <c r="CS17" s="216"/>
      <c r="CT17" s="217"/>
      <c r="CU17" s="218"/>
      <c r="CV17" s="216"/>
      <c r="CW17" s="216"/>
      <c r="CX17" s="217"/>
      <c r="CY17" s="218"/>
      <c r="CZ17" s="216"/>
      <c r="DA17" s="216"/>
      <c r="DB17" s="215"/>
      <c r="DC17" s="214"/>
      <c r="DD17" s="217"/>
      <c r="DE17" s="218"/>
      <c r="DF17" s="217"/>
      <c r="DG17" s="218"/>
      <c r="DH17" s="217"/>
      <c r="DI17" s="218"/>
      <c r="DJ17" s="217"/>
      <c r="DK17" s="218"/>
      <c r="DL17" s="217"/>
      <c r="DM17" s="218"/>
      <c r="DN17" s="217"/>
      <c r="DO17" s="214"/>
      <c r="DP17" s="217"/>
      <c r="DQ17" s="218"/>
      <c r="DR17" s="217"/>
      <c r="DS17" s="218"/>
      <c r="DT17" s="217"/>
      <c r="DU17" s="218"/>
      <c r="DV17" s="217"/>
      <c r="DW17" s="218"/>
      <c r="DX17" s="217"/>
      <c r="DY17" s="218"/>
      <c r="DZ17" s="217"/>
      <c r="EA17" s="218"/>
      <c r="EB17" s="217"/>
      <c r="EC17" s="218"/>
      <c r="ED17" s="217"/>
      <c r="EE17" s="218"/>
      <c r="EF17" s="216"/>
      <c r="EG17" s="218"/>
      <c r="EH17" s="215"/>
    </row>
    <row r="18">
      <c r="B18" s="219"/>
      <c r="C18" s="220" t="s">
        <v>200</v>
      </c>
      <c r="D18" s="221" t="s">
        <v>10</v>
      </c>
      <c r="E18" s="221" t="s">
        <v>204</v>
      </c>
      <c r="F18" s="221" t="s">
        <v>82</v>
      </c>
      <c r="G18" s="221" t="s">
        <v>200</v>
      </c>
      <c r="H18" s="221" t="s">
        <v>10</v>
      </c>
      <c r="I18" s="221" t="s">
        <v>204</v>
      </c>
      <c r="J18" s="221" t="s">
        <v>82</v>
      </c>
      <c r="K18" s="221" t="s">
        <v>200</v>
      </c>
      <c r="L18" s="221" t="s">
        <v>10</v>
      </c>
      <c r="M18" s="221" t="s">
        <v>204</v>
      </c>
      <c r="N18" s="221" t="s">
        <v>82</v>
      </c>
      <c r="O18" s="221" t="s">
        <v>200</v>
      </c>
      <c r="P18" s="221" t="s">
        <v>10</v>
      </c>
      <c r="Q18" s="221" t="s">
        <v>204</v>
      </c>
      <c r="R18" s="221" t="s">
        <v>82</v>
      </c>
      <c r="S18" s="221" t="s">
        <v>200</v>
      </c>
      <c r="T18" s="221" t="s">
        <v>10</v>
      </c>
      <c r="U18" s="221" t="s">
        <v>204</v>
      </c>
      <c r="V18" s="221" t="s">
        <v>82</v>
      </c>
      <c r="W18" s="221" t="s">
        <v>200</v>
      </c>
      <c r="X18" s="221" t="s">
        <v>10</v>
      </c>
      <c r="Y18" s="221" t="s">
        <v>204</v>
      </c>
      <c r="Z18" s="208" t="s">
        <v>82</v>
      </c>
      <c r="AA18" s="221" t="s">
        <v>200</v>
      </c>
      <c r="AB18" s="221" t="s">
        <v>205</v>
      </c>
      <c r="AC18" s="221" t="s">
        <v>206</v>
      </c>
      <c r="AD18" s="221" t="s">
        <v>207</v>
      </c>
      <c r="AE18" s="221" t="s">
        <v>200</v>
      </c>
      <c r="AF18" s="221" t="s">
        <v>205</v>
      </c>
      <c r="AG18" s="221" t="s">
        <v>206</v>
      </c>
      <c r="AH18" s="221" t="s">
        <v>207</v>
      </c>
      <c r="AI18" s="221" t="s">
        <v>200</v>
      </c>
      <c r="AJ18" s="221" t="s">
        <v>208</v>
      </c>
      <c r="AK18" s="221" t="s">
        <v>209</v>
      </c>
      <c r="AL18" s="221" t="s">
        <v>210</v>
      </c>
      <c r="AM18" s="221" t="s">
        <v>200</v>
      </c>
      <c r="AN18" s="221" t="s">
        <v>211</v>
      </c>
      <c r="AO18" s="221" t="s">
        <v>209</v>
      </c>
      <c r="AP18" s="222" t="s">
        <v>210</v>
      </c>
      <c r="AQ18" s="223"/>
      <c r="AR18" s="221" t="s">
        <v>205</v>
      </c>
      <c r="AS18" s="221" t="s">
        <v>206</v>
      </c>
      <c r="AT18" s="221" t="s">
        <v>207</v>
      </c>
      <c r="AU18" s="221" t="s">
        <v>211</v>
      </c>
      <c r="AV18" s="221" t="s">
        <v>209</v>
      </c>
      <c r="AW18" s="208" t="s">
        <v>210</v>
      </c>
      <c r="AX18" s="219"/>
      <c r="AY18" s="221" t="s">
        <v>211</v>
      </c>
      <c r="AZ18" s="221" t="s">
        <v>209</v>
      </c>
      <c r="BA18" s="208" t="s">
        <v>210</v>
      </c>
      <c r="BB18" s="219"/>
      <c r="BC18" s="221" t="s">
        <v>10</v>
      </c>
      <c r="BD18" s="221" t="s">
        <v>204</v>
      </c>
      <c r="BE18" s="221" t="s">
        <v>82</v>
      </c>
      <c r="BF18" s="221" t="s">
        <v>208</v>
      </c>
      <c r="BG18" s="221" t="s">
        <v>209</v>
      </c>
      <c r="BH18" s="221" t="s">
        <v>210</v>
      </c>
      <c r="BI18" s="219"/>
      <c r="BJ18" s="221" t="s">
        <v>212</v>
      </c>
      <c r="BK18" s="221" t="s">
        <v>213</v>
      </c>
      <c r="BL18" s="208" t="s">
        <v>214</v>
      </c>
      <c r="BM18" s="219"/>
      <c r="BN18" s="221" t="s">
        <v>212</v>
      </c>
      <c r="BO18" s="221" t="s">
        <v>213</v>
      </c>
      <c r="BP18" s="222" t="s">
        <v>214</v>
      </c>
      <c r="BQ18" s="223"/>
      <c r="BR18" s="221" t="s">
        <v>10</v>
      </c>
      <c r="BS18" s="221" t="s">
        <v>204</v>
      </c>
      <c r="BT18" s="221" t="s">
        <v>82</v>
      </c>
      <c r="BU18" s="221" t="s">
        <v>205</v>
      </c>
      <c r="BV18" s="221" t="s">
        <v>206</v>
      </c>
      <c r="BW18" s="221" t="s">
        <v>207</v>
      </c>
      <c r="BX18" s="221" t="s">
        <v>208</v>
      </c>
      <c r="BY18" s="221" t="s">
        <v>209</v>
      </c>
      <c r="BZ18" s="221" t="s">
        <v>210</v>
      </c>
      <c r="CA18" s="219"/>
      <c r="CB18" s="221" t="s">
        <v>10</v>
      </c>
      <c r="CC18" s="221" t="s">
        <v>204</v>
      </c>
      <c r="CD18" s="221" t="s">
        <v>82</v>
      </c>
      <c r="CE18" s="221" t="s">
        <v>205</v>
      </c>
      <c r="CF18" s="221" t="s">
        <v>206</v>
      </c>
      <c r="CG18" s="221" t="s">
        <v>207</v>
      </c>
      <c r="CH18" s="221" t="s">
        <v>208</v>
      </c>
      <c r="CI18" s="221" t="s">
        <v>209</v>
      </c>
      <c r="CJ18" s="222" t="s">
        <v>210</v>
      </c>
      <c r="CK18" s="224" t="s">
        <v>200</v>
      </c>
      <c r="CL18" s="225" t="s">
        <v>215</v>
      </c>
      <c r="CM18" s="224" t="s">
        <v>200</v>
      </c>
      <c r="CN18" s="166" t="s">
        <v>216</v>
      </c>
      <c r="CO18" s="226" t="s">
        <v>217</v>
      </c>
      <c r="CP18" s="166" t="s">
        <v>218</v>
      </c>
      <c r="CQ18" s="226" t="s">
        <v>200</v>
      </c>
      <c r="CR18" s="166" t="s">
        <v>219</v>
      </c>
      <c r="CS18" s="226" t="s">
        <v>217</v>
      </c>
      <c r="CT18" s="226" t="s">
        <v>220</v>
      </c>
      <c r="CU18" s="226" t="s">
        <v>200</v>
      </c>
      <c r="CV18" s="166" t="s">
        <v>219</v>
      </c>
      <c r="CW18" s="226" t="s">
        <v>217</v>
      </c>
      <c r="CX18" s="226" t="s">
        <v>221</v>
      </c>
      <c r="CY18" s="226" t="s">
        <v>200</v>
      </c>
      <c r="CZ18" s="166" t="s">
        <v>219</v>
      </c>
      <c r="DA18" s="226" t="s">
        <v>217</v>
      </c>
      <c r="DB18" s="225" t="s">
        <v>222</v>
      </c>
      <c r="DC18" s="224" t="s">
        <v>200</v>
      </c>
      <c r="DD18" s="226" t="s">
        <v>223</v>
      </c>
      <c r="DE18" s="226" t="s">
        <v>200</v>
      </c>
      <c r="DF18" s="226" t="s">
        <v>224</v>
      </c>
      <c r="DG18" s="226" t="s">
        <v>200</v>
      </c>
      <c r="DH18" s="226" t="s">
        <v>225</v>
      </c>
      <c r="DI18" s="226" t="s">
        <v>200</v>
      </c>
      <c r="DJ18" s="226" t="s">
        <v>226</v>
      </c>
      <c r="DK18" s="226" t="s">
        <v>200</v>
      </c>
      <c r="DL18" s="226" t="s">
        <v>227</v>
      </c>
      <c r="DM18" s="226" t="s">
        <v>200</v>
      </c>
      <c r="DN18" s="225" t="s">
        <v>228</v>
      </c>
      <c r="DO18" s="224" t="s">
        <v>229</v>
      </c>
      <c r="DP18" s="226" t="s">
        <v>230</v>
      </c>
      <c r="DQ18" s="226" t="s">
        <v>229</v>
      </c>
      <c r="DR18" s="226" t="s">
        <v>230</v>
      </c>
      <c r="DS18" s="226" t="s">
        <v>229</v>
      </c>
      <c r="DT18" s="226" t="s">
        <v>230</v>
      </c>
      <c r="DU18" s="226" t="s">
        <v>229</v>
      </c>
      <c r="DV18" s="226" t="s">
        <v>230</v>
      </c>
      <c r="DW18" s="226" t="s">
        <v>229</v>
      </c>
      <c r="DX18" s="226" t="s">
        <v>230</v>
      </c>
      <c r="DY18" s="226" t="s">
        <v>229</v>
      </c>
      <c r="DZ18" s="226" t="s">
        <v>230</v>
      </c>
      <c r="EA18" s="226" t="s">
        <v>229</v>
      </c>
      <c r="EB18" s="226" t="s">
        <v>230</v>
      </c>
      <c r="EC18" s="226" t="s">
        <v>229</v>
      </c>
      <c r="ED18" s="226" t="s">
        <v>230</v>
      </c>
      <c r="EE18" s="226" t="s">
        <v>229</v>
      </c>
      <c r="EF18" s="226" t="s">
        <v>230</v>
      </c>
      <c r="EG18" s="226" t="s">
        <v>229</v>
      </c>
      <c r="EH18" s="225" t="s">
        <v>230</v>
      </c>
    </row>
    <row r="19">
      <c r="B19" s="164" t="s">
        <v>288</v>
      </c>
      <c r="C19" s="166">
        <f t="shared" ref="C19:C23" si="1">C7+D7-E7</f>
        <v>0</v>
      </c>
      <c r="D19" s="228">
        <v>0.82</v>
      </c>
      <c r="E19" s="166">
        <f t="shared" ref="E19:E23" si="2">C19*D19</f>
        <v>0</v>
      </c>
      <c r="F19" s="229">
        <v>2.926</v>
      </c>
      <c r="G19" s="333">
        <f t="shared" ref="G19:G23" si="3">F7+G7-H7</f>
        <v>0</v>
      </c>
      <c r="H19" s="230">
        <v>0.335</v>
      </c>
      <c r="I19" s="166">
        <f t="shared" ref="I19:I23" si="4">G19*H19</f>
        <v>0</v>
      </c>
      <c r="J19" s="229">
        <v>3.97</v>
      </c>
      <c r="K19" s="166">
        <f t="shared" ref="K19:K23" si="5">I7+J7-K7</f>
        <v>0</v>
      </c>
      <c r="L19" s="228">
        <v>0.27</v>
      </c>
      <c r="M19" s="166">
        <f t="shared" ref="M19:M23" si="6">K19*L19</f>
        <v>0</v>
      </c>
      <c r="N19" s="229">
        <v>4.18</v>
      </c>
      <c r="O19" s="166">
        <f t="shared" ref="O19:O23" si="7">L7+M7-N7</f>
        <v>0</v>
      </c>
      <c r="P19" s="228">
        <v>0.39</v>
      </c>
      <c r="Q19" s="166">
        <f t="shared" ref="Q19:Q23" si="8">O19*P19</f>
        <v>0</v>
      </c>
      <c r="R19" s="229">
        <v>4.99</v>
      </c>
      <c r="S19" s="166">
        <f t="shared" ref="S19:S23" si="9">O7+P7-Q7</f>
        <v>0</v>
      </c>
      <c r="T19" s="228">
        <v>0.46</v>
      </c>
      <c r="U19" s="166">
        <f t="shared" ref="U19:U23" si="10">S19*T19</f>
        <v>0</v>
      </c>
      <c r="V19" s="229">
        <v>4.54</v>
      </c>
      <c r="W19" s="166">
        <f t="shared" ref="W19:W23" si="11">R7+S7-T7</f>
        <v>0</v>
      </c>
      <c r="X19" s="334" t="str">
        <f>IFERROR(VLOOKUP(W$17,DONNEES!$D$31:$J$40,5,FALSE)/100,)</f>
        <v/>
      </c>
      <c r="Y19" s="166">
        <f t="shared" ref="Y19:Y23" si="12">W19*X19</f>
        <v>0</v>
      </c>
      <c r="Z19" s="229">
        <v>4.99</v>
      </c>
      <c r="AA19" s="166">
        <f t="shared" ref="AA19:AA23" si="13">U7+V7-W7</f>
        <v>0</v>
      </c>
      <c r="AB19" s="335">
        <v>0.45</v>
      </c>
      <c r="AC19" s="166">
        <f t="shared" ref="AC19:AC23" si="14">AA19*AB19</f>
        <v>0</v>
      </c>
      <c r="AD19" s="229">
        <v>1.45</v>
      </c>
      <c r="AE19" s="166">
        <f t="shared" ref="AE19:AE23" si="15">X7+Y7-Z7</f>
        <v>0</v>
      </c>
      <c r="AF19" s="334" t="str">
        <f>IFERROR(VLOOKUP(AE$17,DONNEES!$D$31:$J$40,6,FALSE)/100,)</f>
        <v/>
      </c>
      <c r="AG19" s="166">
        <f t="shared" ref="AG19:AG23" si="16">AE19*AF19</f>
        <v>0</v>
      </c>
      <c r="AH19" s="229">
        <v>1.45</v>
      </c>
      <c r="AI19" s="166">
        <f t="shared" ref="AI19:AI23" si="17">AA7+AB7-AC7</f>
        <v>0</v>
      </c>
      <c r="AJ19" s="228">
        <v>0.6</v>
      </c>
      <c r="AK19" s="166">
        <f t="shared" ref="AK19:AK23" si="18">AI19*AJ19</f>
        <v>0</v>
      </c>
      <c r="AL19" s="229">
        <v>0.71</v>
      </c>
      <c r="AM19" s="166">
        <f t="shared" ref="AM19:AM23" si="19">AD7+AE7-AF7</f>
        <v>0</v>
      </c>
      <c r="AN19" s="334" t="str">
        <f>IFERROR(VLOOKUP(AM$17,DONNEES!$D$31:$J$40,7,FALSE)/100,)</f>
        <v/>
      </c>
      <c r="AO19" s="166">
        <f t="shared" ref="AO19:AO23" si="20">AM19*AN19</f>
        <v>0</v>
      </c>
      <c r="AP19" s="235">
        <v>0.71</v>
      </c>
      <c r="AQ19" s="166">
        <f t="shared" ref="AQ19:AQ23" si="21">AG7+AH7-AI7</f>
        <v>0</v>
      </c>
      <c r="AR19" s="334" t="str">
        <f>IFERROR(VLOOKUP(AQ$16,DONNEES!$D$31:$J$40,6,FALSE)/100,)</f>
        <v/>
      </c>
      <c r="AS19" s="166">
        <f t="shared" ref="AS19:AS23" si="22">AQ19*AR19</f>
        <v>0</v>
      </c>
      <c r="AT19" s="229">
        <v>1.45</v>
      </c>
      <c r="AU19" s="334" t="str">
        <f>IFERROR(VLOOKUP(AQ$16,DONNEES!$D$31:$J$40,7,FALSE)/100,)</f>
        <v/>
      </c>
      <c r="AV19" s="166">
        <f t="shared" ref="AV19:AV23" si="23">AQ19*AU19</f>
        <v>0</v>
      </c>
      <c r="AW19" s="229">
        <v>0.71</v>
      </c>
      <c r="AX19" s="166">
        <f t="shared" ref="AX19:AX23" si="24">AJ7+AK7-AL7</f>
        <v>0</v>
      </c>
      <c r="AY19" s="336">
        <v>0.44</v>
      </c>
      <c r="AZ19" s="166">
        <f t="shared" ref="AZ19:AZ23" si="25">AX19*AY19</f>
        <v>0</v>
      </c>
      <c r="BA19" s="229">
        <v>2.74</v>
      </c>
      <c r="BB19" s="166">
        <f t="shared" ref="BB19:BB23" si="26">AM7+AN7-AO7</f>
        <v>0</v>
      </c>
      <c r="BC19" s="334" t="str">
        <f>IFERROR(VLOOKUP(BB$16,DONNEES!$D$31:$J$40,5,FALSE)/100,)</f>
        <v/>
      </c>
      <c r="BD19" s="166">
        <f t="shared" ref="BD19:BD23" si="27">BB19*BC19</f>
        <v>0</v>
      </c>
      <c r="BE19" s="229">
        <v>2.74</v>
      </c>
      <c r="BF19" s="334" t="str">
        <f>IFERROR(VLOOKUP(BB$16,DONNEES!$D$31:$J$40,7,FALSE)/100,)</f>
        <v/>
      </c>
      <c r="BG19" s="166">
        <f t="shared" ref="BG19:BG23" si="28">BB19*BF19</f>
        <v>0</v>
      </c>
      <c r="BH19" s="229">
        <v>0.71</v>
      </c>
      <c r="BI19" s="166">
        <f t="shared" ref="BI19:BI23" si="29">AP7+AQ7-AR7</f>
        <v>0</v>
      </c>
      <c r="BJ19" s="228">
        <v>0.54</v>
      </c>
      <c r="BK19" s="166">
        <f t="shared" ref="BK19:BK23" si="30">BI19*BJ19</f>
        <v>0</v>
      </c>
      <c r="BL19" s="229">
        <v>1.82</v>
      </c>
      <c r="BM19" s="166">
        <f t="shared" ref="BM19:BM23" si="31">AS7+AT7-AU7</f>
        <v>0</v>
      </c>
      <c r="BN19" s="336">
        <v>0.46</v>
      </c>
      <c r="BO19" s="166">
        <f t="shared" ref="BO19:BO23" si="32">BM19*BN19</f>
        <v>0</v>
      </c>
      <c r="BP19" s="235">
        <v>3.02</v>
      </c>
      <c r="BQ19" s="166">
        <f t="shared" ref="BQ19:BQ23" si="33">AV7-AW7-AX7</f>
        <v>12000</v>
      </c>
      <c r="BR19" s="334" t="str">
        <f>IFERROR(VLOOKUP(BQ$16,DONNEES!$D$31:$J$40,5,FALSE)/100,)</f>
        <v/>
      </c>
      <c r="BS19" s="166">
        <f t="shared" ref="BS19:BS23" si="34">BQ19*BR19</f>
        <v>0</v>
      </c>
      <c r="BT19" s="229">
        <v>3.97</v>
      </c>
      <c r="BU19" s="334">
        <f>IFERROR(VLOOKUP(BQ$16,DONNEES!$D$31:$J$40,6,FALSE)/100,)</f>
        <v>0.05</v>
      </c>
      <c r="BV19" s="166">
        <f t="shared" ref="BV19:BV23" si="35">BQ19*BU19</f>
        <v>600</v>
      </c>
      <c r="BW19" s="229">
        <v>1.83</v>
      </c>
      <c r="BX19" s="334">
        <f>IFERROR(VLOOKUP(BQ$16,DONNEES!$D$31:$J$40,7,FALSE)/100,)</f>
        <v>0</v>
      </c>
      <c r="BY19" s="166">
        <f t="shared" ref="BY19:BY23" si="36">BQ19*BX19</f>
        <v>0</v>
      </c>
      <c r="BZ19" s="229">
        <v>0.71</v>
      </c>
      <c r="CA19" s="166">
        <f t="shared" ref="CA19:CA23" si="37">AY7+AZ7-BA7</f>
        <v>57000</v>
      </c>
      <c r="CB19" s="334">
        <f>IFERROR(VLOOKUP(CA$16,DONNEES!$D$31:$J$40,5,FALSE)/100,)</f>
        <v>0.03</v>
      </c>
      <c r="CC19" s="166">
        <f t="shared" ref="CC19:CC23" si="38">CA19*CB19</f>
        <v>1710</v>
      </c>
      <c r="CD19" s="229">
        <v>3.97</v>
      </c>
      <c r="CE19" s="334" t="str">
        <f>IFERROR(VLOOKUP(CA$16,DONNEES!$D$31:$J$40,6,FALSE)/100,)</f>
        <v/>
      </c>
      <c r="CF19" s="166">
        <f t="shared" ref="CF19:CF23" si="39">CA19*CE19</f>
        <v>0</v>
      </c>
      <c r="CG19" s="229">
        <v>1.83</v>
      </c>
      <c r="CH19" s="334" t="str">
        <f>IFERROR(VLOOKUP(CA$16,DONNEES!$D$31:$J$40,7,FALSE)/100,)</f>
        <v/>
      </c>
      <c r="CI19" s="166">
        <f t="shared" ref="CI19:CI23" si="40">CA19*CH19</f>
        <v>0</v>
      </c>
      <c r="CJ19" s="235">
        <v>0.71</v>
      </c>
      <c r="CK19" s="166">
        <f t="shared" ref="CK19:CK23" si="41">BB7+BC7-BD7</f>
        <v>0</v>
      </c>
      <c r="CL19" s="235">
        <v>9.861</v>
      </c>
      <c r="CM19" s="166">
        <f t="shared" ref="CM19:CM23" si="42">BE7+BF7-BG7</f>
        <v>0</v>
      </c>
      <c r="CN19" s="228">
        <v>0.94</v>
      </c>
      <c r="CO19" s="166">
        <f t="shared" ref="CO19:CO23" si="43">CM19*CN19</f>
        <v>0</v>
      </c>
      <c r="CP19" s="229">
        <v>0.311</v>
      </c>
      <c r="CQ19" s="166">
        <f t="shared" ref="CQ19:CQ23" si="44">BH7+BI7-BJ7</f>
        <v>0</v>
      </c>
      <c r="CR19" s="228">
        <v>0.55</v>
      </c>
      <c r="CS19" s="166">
        <f t="shared" ref="CS19:CS23" si="45">CQ19*CR19</f>
        <v>0</v>
      </c>
      <c r="CT19" s="229">
        <v>1.257</v>
      </c>
      <c r="CU19" s="166">
        <f t="shared" ref="CU19:CU23" si="46">BK7+BL7-BM7</f>
        <v>0</v>
      </c>
      <c r="CV19" s="228">
        <v>0.55</v>
      </c>
      <c r="CW19" s="166">
        <f t="shared" ref="CW19:CW23" si="47">CU19*CV19</f>
        <v>0</v>
      </c>
      <c r="CX19" s="229">
        <v>1.257</v>
      </c>
      <c r="CY19" s="166">
        <f t="shared" ref="CY19:CY23" si="48">BN7+BO7-BP7</f>
        <v>0</v>
      </c>
      <c r="CZ19" s="228">
        <v>0.35</v>
      </c>
      <c r="DA19" s="166">
        <f t="shared" ref="DA19:DA23" si="49">CY19*CZ19</f>
        <v>0</v>
      </c>
      <c r="DB19" s="235">
        <v>0.1</v>
      </c>
      <c r="DC19" s="166">
        <f t="shared" ref="DC19:DC23" si="50">BQ7+BR7-BS7</f>
        <v>0</v>
      </c>
      <c r="DD19" s="239">
        <v>0.551</v>
      </c>
      <c r="DE19" s="166">
        <f t="shared" ref="DE19:DE23" si="51">BT7+BU7-BV7</f>
        <v>3</v>
      </c>
      <c r="DF19" s="239">
        <v>0.674</v>
      </c>
      <c r="DG19" s="166">
        <f t="shared" ref="DG19:DG23" si="52">BW7+BX7-BY7</f>
        <v>0</v>
      </c>
      <c r="DH19" s="239">
        <v>0.137</v>
      </c>
      <c r="DI19" s="166">
        <f t="shared" ref="DI19:DI23" si="53">BZ7+CA7-CB7</f>
        <v>0</v>
      </c>
      <c r="DJ19" s="239">
        <v>0.704</v>
      </c>
      <c r="DK19" s="166">
        <f t="shared" ref="DK19:DK23" si="54">CC7+CD7-CE7</f>
        <v>0</v>
      </c>
      <c r="DL19" s="239">
        <v>1.378</v>
      </c>
      <c r="DM19" s="166">
        <f t="shared" ref="DM19:DM23" si="55">CF7+CG7-CH7</f>
        <v>0</v>
      </c>
      <c r="DN19" s="337">
        <v>0.146</v>
      </c>
      <c r="DO19" s="338">
        <f t="shared" ref="DO19:DO23" si="56">CI7+CJ7-CK7</f>
        <v>0</v>
      </c>
      <c r="DP19" s="229">
        <v>625.0</v>
      </c>
      <c r="DQ19" s="338">
        <f t="shared" ref="DQ19:DQ23" si="57">CL7+CM7-CN7</f>
        <v>0</v>
      </c>
      <c r="DR19" s="229">
        <v>517.0</v>
      </c>
      <c r="DS19" s="338">
        <f t="shared" ref="DS19:DS23" si="58">CO7+CP7-CQ7</f>
        <v>0</v>
      </c>
      <c r="DT19" s="229">
        <v>14.6</v>
      </c>
      <c r="DU19" s="338">
        <f t="shared" ref="DU19:DU23" si="59">CR7+CS7-CT7</f>
        <v>0</v>
      </c>
      <c r="DV19" s="229">
        <v>234.0</v>
      </c>
      <c r="DW19" s="338">
        <f t="shared" ref="DW19:DW23" si="60">CU7+CV7-CW7</f>
        <v>0</v>
      </c>
      <c r="DX19" s="229">
        <v>701.0</v>
      </c>
      <c r="DY19" s="338">
        <f t="shared" ref="DY19:DY23" si="61">CX7+CY7-CZ7</f>
        <v>0</v>
      </c>
      <c r="DZ19" s="229">
        <v>1190.0</v>
      </c>
      <c r="EA19" s="338">
        <f t="shared" ref="EA19:EA23" si="62">DA7+DB7-DC7</f>
        <v>0</v>
      </c>
      <c r="EB19" s="229">
        <v>1486.0</v>
      </c>
      <c r="EC19" s="338">
        <f t="shared" ref="EC19:EC23" si="63">DD7+DE7-DF7</f>
        <v>0</v>
      </c>
      <c r="ED19" s="229">
        <v>3084.0</v>
      </c>
      <c r="EE19" s="338">
        <f t="shared" ref="EE19:EE23" si="64">DG7+DH7-DI7</f>
        <v>0</v>
      </c>
      <c r="EF19" s="229">
        <v>193.0</v>
      </c>
      <c r="EG19" s="338">
        <f t="shared" ref="EG19:EG23" si="65">DJ7+DK7-DL7</f>
        <v>0</v>
      </c>
      <c r="EH19" s="235">
        <v>320.0</v>
      </c>
    </row>
    <row r="20">
      <c r="B20" s="164" t="s">
        <v>289</v>
      </c>
      <c r="C20" s="166">
        <f t="shared" si="1"/>
        <v>0</v>
      </c>
      <c r="D20" s="228">
        <v>0.82</v>
      </c>
      <c r="E20" s="166">
        <f t="shared" si="2"/>
        <v>0</v>
      </c>
      <c r="F20" s="196"/>
      <c r="G20" s="333">
        <f t="shared" si="3"/>
        <v>0</v>
      </c>
      <c r="H20" s="230">
        <v>0.335</v>
      </c>
      <c r="I20" s="166">
        <f t="shared" si="4"/>
        <v>0</v>
      </c>
      <c r="J20" s="196"/>
      <c r="K20" s="166">
        <f t="shared" si="5"/>
        <v>0</v>
      </c>
      <c r="L20" s="228">
        <v>0.27</v>
      </c>
      <c r="M20" s="166">
        <f t="shared" si="6"/>
        <v>0</v>
      </c>
      <c r="N20" s="196"/>
      <c r="O20" s="166">
        <f t="shared" si="7"/>
        <v>0</v>
      </c>
      <c r="P20" s="228">
        <v>0.39</v>
      </c>
      <c r="Q20" s="166">
        <f t="shared" si="8"/>
        <v>0</v>
      </c>
      <c r="R20" s="196"/>
      <c r="S20" s="166">
        <f t="shared" si="9"/>
        <v>0</v>
      </c>
      <c r="T20" s="228">
        <v>0.46</v>
      </c>
      <c r="U20" s="166">
        <f t="shared" si="10"/>
        <v>0</v>
      </c>
      <c r="V20" s="196"/>
      <c r="W20" s="166">
        <f t="shared" si="11"/>
        <v>0</v>
      </c>
      <c r="X20" s="334" t="str">
        <f>IFERROR(VLOOKUP(W$17,DONNEES!$L$31:$R$40,5,FALSE)/100,)</f>
        <v/>
      </c>
      <c r="Y20" s="166">
        <f t="shared" si="12"/>
        <v>0</v>
      </c>
      <c r="Z20" s="196"/>
      <c r="AA20" s="166">
        <f t="shared" si="13"/>
        <v>0</v>
      </c>
      <c r="AB20" s="335">
        <f t="shared" ref="AB20:AB23" si="66">AB19</f>
        <v>0.45</v>
      </c>
      <c r="AC20" s="166">
        <f t="shared" si="14"/>
        <v>0</v>
      </c>
      <c r="AD20" s="196"/>
      <c r="AE20" s="166">
        <f t="shared" si="15"/>
        <v>0</v>
      </c>
      <c r="AF20" s="334" t="str">
        <f>IFERROR(VLOOKUP(AE$17,DONNEES!$L$31:$R$40,6,FALSE)/100,)</f>
        <v/>
      </c>
      <c r="AG20" s="166">
        <f t="shared" si="16"/>
        <v>0</v>
      </c>
      <c r="AH20" s="196"/>
      <c r="AI20" s="166">
        <f t="shared" si="17"/>
        <v>0</v>
      </c>
      <c r="AJ20" s="228">
        <v>0.6</v>
      </c>
      <c r="AK20" s="166">
        <f t="shared" si="18"/>
        <v>0</v>
      </c>
      <c r="AL20" s="196"/>
      <c r="AM20" s="166">
        <f t="shared" si="19"/>
        <v>0</v>
      </c>
      <c r="AN20" s="334" t="str">
        <f>IFERROR(VLOOKUP(AM$17,DONNEES!$L$31:$R$40,7,FALSE)/100,)</f>
        <v/>
      </c>
      <c r="AO20" s="166">
        <f t="shared" si="20"/>
        <v>0</v>
      </c>
      <c r="AP20" s="241"/>
      <c r="AQ20" s="166">
        <f t="shared" si="21"/>
        <v>0</v>
      </c>
      <c r="AR20" s="334" t="str">
        <f>IFERROR(VLOOKUP(AQ$16,DONNEES!$L$31:$R$40,6,FALSE)/100,)</f>
        <v/>
      </c>
      <c r="AS20" s="166">
        <f t="shared" si="22"/>
        <v>0</v>
      </c>
      <c r="AT20" s="196"/>
      <c r="AU20" s="334" t="str">
        <f>IFERROR(VLOOKUP(AQ$16,DONNEES!$L$31:$R$40,7,FALSE)/100,)</f>
        <v/>
      </c>
      <c r="AV20" s="166">
        <f t="shared" si="23"/>
        <v>0</v>
      </c>
      <c r="AW20" s="196"/>
      <c r="AX20" s="166">
        <f t="shared" si="24"/>
        <v>0</v>
      </c>
      <c r="AY20" s="336">
        <v>0.44</v>
      </c>
      <c r="AZ20" s="166">
        <f t="shared" si="25"/>
        <v>0</v>
      </c>
      <c r="BA20" s="196"/>
      <c r="BB20" s="166">
        <f t="shared" si="26"/>
        <v>0</v>
      </c>
      <c r="BC20" s="334" t="str">
        <f>IFERROR(VLOOKUP(BB$16,DONNEES!$L$31:$R$40,5,FALSE)/100,)</f>
        <v/>
      </c>
      <c r="BD20" s="166">
        <f t="shared" si="27"/>
        <v>0</v>
      </c>
      <c r="BE20" s="196"/>
      <c r="BF20" s="334" t="str">
        <f>IFERROR(VLOOKUP(BB$16,DONNEES!$L$31:$R$40,7,FALSE)/100,)</f>
        <v/>
      </c>
      <c r="BG20" s="166">
        <f t="shared" si="28"/>
        <v>0</v>
      </c>
      <c r="BH20" s="196"/>
      <c r="BI20" s="166">
        <f t="shared" si="29"/>
        <v>0</v>
      </c>
      <c r="BJ20" s="228">
        <v>0.54</v>
      </c>
      <c r="BK20" s="166">
        <f t="shared" si="30"/>
        <v>0</v>
      </c>
      <c r="BL20" s="196"/>
      <c r="BM20" s="166">
        <f t="shared" si="31"/>
        <v>0</v>
      </c>
      <c r="BN20" s="336">
        <v>0.46</v>
      </c>
      <c r="BO20" s="166">
        <f t="shared" si="32"/>
        <v>0</v>
      </c>
      <c r="BP20" s="241"/>
      <c r="BQ20" s="166">
        <f t="shared" si="33"/>
        <v>15000</v>
      </c>
      <c r="BR20" s="334" t="str">
        <f>IFERROR(VLOOKUP(BQ$16,DONNEES!$L$31:$R$40,5,FALSE)/100,)</f>
        <v/>
      </c>
      <c r="BS20" s="166">
        <f t="shared" si="34"/>
        <v>0</v>
      </c>
      <c r="BT20" s="196"/>
      <c r="BU20" s="334">
        <f>IFERROR(VLOOKUP(BQ$16,DONNEES!$L$31:$R$40,6,FALSE)/100,)</f>
        <v>0.05</v>
      </c>
      <c r="BV20" s="166">
        <f t="shared" si="35"/>
        <v>750</v>
      </c>
      <c r="BW20" s="196"/>
      <c r="BX20" s="334">
        <f>IFERROR(VLOOKUP(BQ$16,DONNEES!$L$31:$R$40,7,FALSE)/100,)</f>
        <v>0</v>
      </c>
      <c r="BY20" s="166">
        <f t="shared" si="36"/>
        <v>0</v>
      </c>
      <c r="BZ20" s="196"/>
      <c r="CA20" s="166">
        <f t="shared" si="37"/>
        <v>300000</v>
      </c>
      <c r="CB20" s="334">
        <f>IFERROR(VLOOKUP(CA$16,DONNEES!$L$31:$R$40,5,FALSE)/100,)</f>
        <v>0.03</v>
      </c>
      <c r="CC20" s="166">
        <f t="shared" si="38"/>
        <v>9000</v>
      </c>
      <c r="CD20" s="196"/>
      <c r="CE20" s="334" t="str">
        <f>IFERROR(VLOOKUP(CA$16,DONNEES!$L$31:$R$40,6,FALSE)/100,)</f>
        <v/>
      </c>
      <c r="CF20" s="166">
        <f t="shared" si="39"/>
        <v>0</v>
      </c>
      <c r="CG20" s="196"/>
      <c r="CH20" s="334" t="str">
        <f>IFERROR(VLOOKUP(CA$16,DONNEES!$L$31:$R$40,7,FALSE)/100,)</f>
        <v/>
      </c>
      <c r="CI20" s="166">
        <f t="shared" si="40"/>
        <v>0</v>
      </c>
      <c r="CJ20" s="241"/>
      <c r="CK20" s="166">
        <f t="shared" si="41"/>
        <v>0</v>
      </c>
      <c r="CL20" s="241"/>
      <c r="CM20" s="166">
        <f t="shared" si="42"/>
        <v>0</v>
      </c>
      <c r="CN20" s="228">
        <v>0.94</v>
      </c>
      <c r="CO20" s="166">
        <f t="shared" si="43"/>
        <v>0</v>
      </c>
      <c r="CP20" s="196"/>
      <c r="CQ20" s="166">
        <f t="shared" si="44"/>
        <v>0</v>
      </c>
      <c r="CR20" s="228">
        <v>0.55</v>
      </c>
      <c r="CS20" s="166">
        <f t="shared" si="45"/>
        <v>0</v>
      </c>
      <c r="CT20" s="196"/>
      <c r="CU20" s="166">
        <f t="shared" si="46"/>
        <v>0</v>
      </c>
      <c r="CV20" s="228">
        <v>0.55</v>
      </c>
      <c r="CW20" s="166">
        <f t="shared" si="47"/>
        <v>0</v>
      </c>
      <c r="CX20" s="196"/>
      <c r="CY20" s="166">
        <f t="shared" si="48"/>
        <v>0</v>
      </c>
      <c r="CZ20" s="228">
        <v>0.35</v>
      </c>
      <c r="DA20" s="166">
        <f t="shared" si="49"/>
        <v>0</v>
      </c>
      <c r="DB20" s="241"/>
      <c r="DC20" s="166">
        <f t="shared" si="50"/>
        <v>0</v>
      </c>
      <c r="DD20" s="196"/>
      <c r="DE20" s="166">
        <f t="shared" si="51"/>
        <v>15</v>
      </c>
      <c r="DF20" s="196"/>
      <c r="DG20" s="166">
        <f t="shared" si="52"/>
        <v>0</v>
      </c>
      <c r="DH20" s="196"/>
      <c r="DI20" s="166">
        <f t="shared" si="53"/>
        <v>0</v>
      </c>
      <c r="DJ20" s="196"/>
      <c r="DK20" s="166">
        <f t="shared" si="54"/>
        <v>0</v>
      </c>
      <c r="DL20" s="196"/>
      <c r="DM20" s="166">
        <f t="shared" si="55"/>
        <v>0</v>
      </c>
      <c r="DN20" s="241"/>
      <c r="DO20" s="338">
        <f t="shared" si="56"/>
        <v>0</v>
      </c>
      <c r="DP20" s="196"/>
      <c r="DQ20" s="338">
        <f t="shared" si="57"/>
        <v>0</v>
      </c>
      <c r="DR20" s="196"/>
      <c r="DS20" s="338">
        <f t="shared" si="58"/>
        <v>0</v>
      </c>
      <c r="DT20" s="196"/>
      <c r="DU20" s="338">
        <f t="shared" si="59"/>
        <v>0</v>
      </c>
      <c r="DV20" s="196"/>
      <c r="DW20" s="338">
        <f t="shared" si="60"/>
        <v>0</v>
      </c>
      <c r="DX20" s="196"/>
      <c r="DY20" s="338">
        <f t="shared" si="61"/>
        <v>0</v>
      </c>
      <c r="DZ20" s="196"/>
      <c r="EA20" s="338">
        <f t="shared" si="62"/>
        <v>0</v>
      </c>
      <c r="EB20" s="196"/>
      <c r="EC20" s="338">
        <f t="shared" si="63"/>
        <v>0</v>
      </c>
      <c r="ED20" s="196"/>
      <c r="EE20" s="338">
        <f t="shared" si="64"/>
        <v>0</v>
      </c>
      <c r="EF20" s="196"/>
      <c r="EG20" s="338">
        <f t="shared" si="65"/>
        <v>0</v>
      </c>
      <c r="EH20" s="241"/>
    </row>
    <row r="21" ht="15.75" customHeight="1">
      <c r="B21" s="164" t="s">
        <v>290</v>
      </c>
      <c r="C21" s="166">
        <f t="shared" si="1"/>
        <v>0</v>
      </c>
      <c r="D21" s="228">
        <v>0.82</v>
      </c>
      <c r="E21" s="166">
        <f t="shared" si="2"/>
        <v>0</v>
      </c>
      <c r="F21" s="196"/>
      <c r="G21" s="333">
        <f t="shared" si="3"/>
        <v>0</v>
      </c>
      <c r="H21" s="230">
        <v>0.335</v>
      </c>
      <c r="I21" s="166">
        <f t="shared" si="4"/>
        <v>0</v>
      </c>
      <c r="J21" s="196"/>
      <c r="K21" s="166">
        <f t="shared" si="5"/>
        <v>0</v>
      </c>
      <c r="L21" s="228">
        <v>0.27</v>
      </c>
      <c r="M21" s="166">
        <f t="shared" si="6"/>
        <v>0</v>
      </c>
      <c r="N21" s="196"/>
      <c r="O21" s="166">
        <f t="shared" si="7"/>
        <v>0</v>
      </c>
      <c r="P21" s="228">
        <v>0.39</v>
      </c>
      <c r="Q21" s="166">
        <f t="shared" si="8"/>
        <v>0</v>
      </c>
      <c r="R21" s="196"/>
      <c r="S21" s="166">
        <f t="shared" si="9"/>
        <v>0</v>
      </c>
      <c r="T21" s="228">
        <v>0.46</v>
      </c>
      <c r="U21" s="166">
        <f t="shared" si="10"/>
        <v>0</v>
      </c>
      <c r="V21" s="196"/>
      <c r="W21" s="166">
        <f t="shared" si="11"/>
        <v>0</v>
      </c>
      <c r="X21" s="334" t="str">
        <f>IFERROR(VLOOKUP(W$17,DONNEES!$T$31:$Z$40,5,FALSE)/100,)</f>
        <v/>
      </c>
      <c r="Y21" s="166">
        <f t="shared" si="12"/>
        <v>0</v>
      </c>
      <c r="Z21" s="196"/>
      <c r="AA21" s="166">
        <f t="shared" si="13"/>
        <v>0</v>
      </c>
      <c r="AB21" s="335">
        <f t="shared" si="66"/>
        <v>0.45</v>
      </c>
      <c r="AC21" s="166">
        <f t="shared" si="14"/>
        <v>0</v>
      </c>
      <c r="AD21" s="196"/>
      <c r="AE21" s="166">
        <f t="shared" si="15"/>
        <v>0</v>
      </c>
      <c r="AF21" s="334" t="str">
        <f>IFERROR(VLOOKUP(AE$17,DONNEES!$T$31:$Z$40,6,FALSE)/100,)</f>
        <v/>
      </c>
      <c r="AG21" s="166">
        <f t="shared" si="16"/>
        <v>0</v>
      </c>
      <c r="AH21" s="196"/>
      <c r="AI21" s="166">
        <f t="shared" si="17"/>
        <v>0</v>
      </c>
      <c r="AJ21" s="228">
        <v>0.6</v>
      </c>
      <c r="AK21" s="166">
        <f t="shared" si="18"/>
        <v>0</v>
      </c>
      <c r="AL21" s="196"/>
      <c r="AM21" s="166">
        <f t="shared" si="19"/>
        <v>0</v>
      </c>
      <c r="AN21" s="334" t="str">
        <f>IFERROR(VLOOKUP(AM$17,DONNEES!$T$31:$Z$40,7,FALSE)/100,)</f>
        <v/>
      </c>
      <c r="AO21" s="166">
        <f t="shared" si="20"/>
        <v>0</v>
      </c>
      <c r="AP21" s="241"/>
      <c r="AQ21" s="166">
        <f t="shared" si="21"/>
        <v>0</v>
      </c>
      <c r="AR21" s="334" t="str">
        <f>IFERROR(VLOOKUP(AQ$16,DONNEES!$T$31:$Z$40,6,FALSE)/100,)</f>
        <v/>
      </c>
      <c r="AS21" s="166">
        <f t="shared" si="22"/>
        <v>0</v>
      </c>
      <c r="AT21" s="196"/>
      <c r="AU21" s="334" t="str">
        <f>IFERROR(VLOOKUP(AQ$16,DONNEES!$T$31:$Z$40,7,FALSE)/100,)</f>
        <v/>
      </c>
      <c r="AV21" s="166">
        <f t="shared" si="23"/>
        <v>0</v>
      </c>
      <c r="AW21" s="196"/>
      <c r="AX21" s="166">
        <f t="shared" si="24"/>
        <v>0</v>
      </c>
      <c r="AY21" s="336">
        <v>0.44</v>
      </c>
      <c r="AZ21" s="166">
        <f t="shared" si="25"/>
        <v>0</v>
      </c>
      <c r="BA21" s="196"/>
      <c r="BB21" s="166">
        <f t="shared" si="26"/>
        <v>0</v>
      </c>
      <c r="BC21" s="334" t="str">
        <f>IFERROR(VLOOKUP(BB$16,DONNEES!$T$31:$Z$40,5,FALSE)/100,)</f>
        <v/>
      </c>
      <c r="BD21" s="166">
        <f t="shared" si="27"/>
        <v>0</v>
      </c>
      <c r="BE21" s="196"/>
      <c r="BF21" s="334" t="str">
        <f>IFERROR(VLOOKUP(BB$16,DONNEES!$T$31:$Z$40,7,FALSE)/100,)</f>
        <v/>
      </c>
      <c r="BG21" s="166">
        <f t="shared" si="28"/>
        <v>0</v>
      </c>
      <c r="BH21" s="196"/>
      <c r="BI21" s="166">
        <f t="shared" si="29"/>
        <v>0</v>
      </c>
      <c r="BJ21" s="228">
        <v>0.54</v>
      </c>
      <c r="BK21" s="166">
        <f t="shared" si="30"/>
        <v>0</v>
      </c>
      <c r="BL21" s="196"/>
      <c r="BM21" s="166">
        <f t="shared" si="31"/>
        <v>0</v>
      </c>
      <c r="BN21" s="336">
        <v>0.46</v>
      </c>
      <c r="BO21" s="166">
        <f t="shared" si="32"/>
        <v>0</v>
      </c>
      <c r="BP21" s="241"/>
      <c r="BQ21" s="166">
        <f t="shared" si="33"/>
        <v>15000</v>
      </c>
      <c r="BR21" s="334" t="str">
        <f>IFERROR(VLOOKUP(BQ$16,DONNEES!$T$31:$Z$40,5,FALSE)/100,)</f>
        <v/>
      </c>
      <c r="BS21" s="166">
        <f t="shared" si="34"/>
        <v>0</v>
      </c>
      <c r="BT21" s="196"/>
      <c r="BU21" s="334">
        <f>IFERROR(VLOOKUP(BQ$16,DONNEES!$T$31:$Z$40,6,FALSE)/100,)</f>
        <v>0.05</v>
      </c>
      <c r="BV21" s="166">
        <f t="shared" si="35"/>
        <v>750</v>
      </c>
      <c r="BW21" s="196"/>
      <c r="BX21" s="334">
        <f>IFERROR(VLOOKUP(BQ$16,DONNEES!$T$31:$Z$40,7,FALSE)/100,)</f>
        <v>0</v>
      </c>
      <c r="BY21" s="166">
        <f t="shared" si="36"/>
        <v>0</v>
      </c>
      <c r="BZ21" s="196"/>
      <c r="CA21" s="166">
        <f t="shared" si="37"/>
        <v>300000</v>
      </c>
      <c r="CB21" s="334">
        <f>IFERROR(VLOOKUP(CA$16,DONNEES!$T$31:$Z$40,5,FALSE)/100,)</f>
        <v>0.03</v>
      </c>
      <c r="CC21" s="166">
        <f t="shared" si="38"/>
        <v>9000</v>
      </c>
      <c r="CD21" s="196"/>
      <c r="CE21" s="334" t="str">
        <f>IFERROR(VLOOKUP(CA$16,DONNEES!$T$31:$Z$40,6,FALSE)/100,)</f>
        <v/>
      </c>
      <c r="CF21" s="166">
        <f t="shared" si="39"/>
        <v>0</v>
      </c>
      <c r="CG21" s="196"/>
      <c r="CH21" s="334" t="str">
        <f>IFERROR(VLOOKUP(CA$16,DONNEES!$T$31:$Z$40,7,FALSE)/100,)</f>
        <v/>
      </c>
      <c r="CI21" s="166">
        <f t="shared" si="40"/>
        <v>0</v>
      </c>
      <c r="CJ21" s="241"/>
      <c r="CK21" s="166">
        <f t="shared" si="41"/>
        <v>0</v>
      </c>
      <c r="CL21" s="241"/>
      <c r="CM21" s="166">
        <f t="shared" si="42"/>
        <v>0</v>
      </c>
      <c r="CN21" s="228">
        <v>0.94</v>
      </c>
      <c r="CO21" s="166">
        <f t="shared" si="43"/>
        <v>0</v>
      </c>
      <c r="CP21" s="196"/>
      <c r="CQ21" s="166">
        <f t="shared" si="44"/>
        <v>0</v>
      </c>
      <c r="CR21" s="228">
        <v>0.55</v>
      </c>
      <c r="CS21" s="166">
        <f t="shared" si="45"/>
        <v>0</v>
      </c>
      <c r="CT21" s="196"/>
      <c r="CU21" s="166">
        <f t="shared" si="46"/>
        <v>0</v>
      </c>
      <c r="CV21" s="228">
        <v>0.55</v>
      </c>
      <c r="CW21" s="166">
        <f t="shared" si="47"/>
        <v>0</v>
      </c>
      <c r="CX21" s="196"/>
      <c r="CY21" s="166">
        <f t="shared" si="48"/>
        <v>0</v>
      </c>
      <c r="CZ21" s="228">
        <v>0.35</v>
      </c>
      <c r="DA21" s="166">
        <f t="shared" si="49"/>
        <v>0</v>
      </c>
      <c r="DB21" s="241"/>
      <c r="DC21" s="166">
        <f t="shared" si="50"/>
        <v>0</v>
      </c>
      <c r="DD21" s="196"/>
      <c r="DE21" s="166">
        <f t="shared" si="51"/>
        <v>15</v>
      </c>
      <c r="DF21" s="196"/>
      <c r="DG21" s="166">
        <f t="shared" si="52"/>
        <v>0</v>
      </c>
      <c r="DH21" s="196"/>
      <c r="DI21" s="166">
        <f t="shared" si="53"/>
        <v>0</v>
      </c>
      <c r="DJ21" s="196"/>
      <c r="DK21" s="166">
        <f t="shared" si="54"/>
        <v>0</v>
      </c>
      <c r="DL21" s="196"/>
      <c r="DM21" s="166">
        <f t="shared" si="55"/>
        <v>0</v>
      </c>
      <c r="DN21" s="241"/>
      <c r="DO21" s="338">
        <f t="shared" si="56"/>
        <v>0</v>
      </c>
      <c r="DP21" s="196"/>
      <c r="DQ21" s="338">
        <f t="shared" si="57"/>
        <v>0</v>
      </c>
      <c r="DR21" s="196"/>
      <c r="DS21" s="338">
        <f t="shared" si="58"/>
        <v>0</v>
      </c>
      <c r="DT21" s="196"/>
      <c r="DU21" s="338">
        <f t="shared" si="59"/>
        <v>0</v>
      </c>
      <c r="DV21" s="196"/>
      <c r="DW21" s="338">
        <f t="shared" si="60"/>
        <v>0</v>
      </c>
      <c r="DX21" s="196"/>
      <c r="DY21" s="338">
        <f t="shared" si="61"/>
        <v>0</v>
      </c>
      <c r="DZ21" s="196"/>
      <c r="EA21" s="338">
        <f t="shared" si="62"/>
        <v>0</v>
      </c>
      <c r="EB21" s="196"/>
      <c r="EC21" s="338">
        <f t="shared" si="63"/>
        <v>0</v>
      </c>
      <c r="ED21" s="196"/>
      <c r="EE21" s="338">
        <f t="shared" si="64"/>
        <v>0</v>
      </c>
      <c r="EF21" s="196"/>
      <c r="EG21" s="338">
        <f t="shared" si="65"/>
        <v>0</v>
      </c>
      <c r="EH21" s="241"/>
    </row>
    <row r="22" ht="15.75" customHeight="1">
      <c r="B22" s="164" t="s">
        <v>291</v>
      </c>
      <c r="C22" s="166">
        <f t="shared" si="1"/>
        <v>0</v>
      </c>
      <c r="D22" s="228">
        <v>0.82</v>
      </c>
      <c r="E22" s="166">
        <f t="shared" si="2"/>
        <v>0</v>
      </c>
      <c r="F22" s="196"/>
      <c r="G22" s="333">
        <f t="shared" si="3"/>
        <v>0</v>
      </c>
      <c r="H22" s="230">
        <v>0.335</v>
      </c>
      <c r="I22" s="166">
        <f t="shared" si="4"/>
        <v>0</v>
      </c>
      <c r="J22" s="196"/>
      <c r="K22" s="166">
        <f t="shared" si="5"/>
        <v>0</v>
      </c>
      <c r="L22" s="228">
        <v>0.27</v>
      </c>
      <c r="M22" s="166">
        <f t="shared" si="6"/>
        <v>0</v>
      </c>
      <c r="N22" s="196"/>
      <c r="O22" s="166">
        <f t="shared" si="7"/>
        <v>0</v>
      </c>
      <c r="P22" s="228">
        <v>0.39</v>
      </c>
      <c r="Q22" s="166">
        <f t="shared" si="8"/>
        <v>0</v>
      </c>
      <c r="R22" s="196"/>
      <c r="S22" s="166">
        <f t="shared" si="9"/>
        <v>0</v>
      </c>
      <c r="T22" s="228">
        <v>0.46</v>
      </c>
      <c r="U22" s="166">
        <f t="shared" si="10"/>
        <v>0</v>
      </c>
      <c r="V22" s="196"/>
      <c r="W22" s="166">
        <f t="shared" si="11"/>
        <v>0</v>
      </c>
      <c r="X22" s="334" t="str">
        <f>IFERROR(VLOOKUP(W$17,DONNEES!$AB$31:$AH$40,5,FALSE)/100,)</f>
        <v/>
      </c>
      <c r="Y22" s="166">
        <f t="shared" si="12"/>
        <v>0</v>
      </c>
      <c r="Z22" s="196"/>
      <c r="AA22" s="166">
        <f t="shared" si="13"/>
        <v>0</v>
      </c>
      <c r="AB22" s="335">
        <f t="shared" si="66"/>
        <v>0.45</v>
      </c>
      <c r="AC22" s="166">
        <f t="shared" si="14"/>
        <v>0</v>
      </c>
      <c r="AD22" s="196"/>
      <c r="AE22" s="166">
        <f t="shared" si="15"/>
        <v>0</v>
      </c>
      <c r="AF22" s="334" t="str">
        <f>IFERROR(VLOOKUP(AE$17,DONNEES!$AB$31:$AH$40,6,FALSE)/100,)</f>
        <v/>
      </c>
      <c r="AG22" s="166">
        <f t="shared" si="16"/>
        <v>0</v>
      </c>
      <c r="AH22" s="196"/>
      <c r="AI22" s="166">
        <f t="shared" si="17"/>
        <v>0</v>
      </c>
      <c r="AJ22" s="228">
        <v>0.6</v>
      </c>
      <c r="AK22" s="166">
        <f t="shared" si="18"/>
        <v>0</v>
      </c>
      <c r="AL22" s="196"/>
      <c r="AM22" s="166">
        <f t="shared" si="19"/>
        <v>0</v>
      </c>
      <c r="AN22" s="334" t="str">
        <f>IFERROR(VLOOKUP(AM$17,DONNEES!$AB$31:$AH$40,7,FALSE)/100,)</f>
        <v/>
      </c>
      <c r="AO22" s="166">
        <f t="shared" si="20"/>
        <v>0</v>
      </c>
      <c r="AP22" s="241"/>
      <c r="AQ22" s="166">
        <f t="shared" si="21"/>
        <v>0</v>
      </c>
      <c r="AR22" s="334" t="str">
        <f>IFERROR(VLOOKUP(AQ$16,DONNEES!$AB$31:$AH$40,6,FALSE)/100,)</f>
        <v/>
      </c>
      <c r="AS22" s="166">
        <f t="shared" si="22"/>
        <v>0</v>
      </c>
      <c r="AT22" s="196"/>
      <c r="AU22" s="334" t="str">
        <f>IFERROR(VLOOKUP(AQ$16,DONNEES!$AB$31:$AH$40,7,FALSE)/100,)</f>
        <v/>
      </c>
      <c r="AV22" s="166">
        <f t="shared" si="23"/>
        <v>0</v>
      </c>
      <c r="AW22" s="196"/>
      <c r="AX22" s="166">
        <f t="shared" si="24"/>
        <v>0</v>
      </c>
      <c r="AY22" s="336">
        <v>0.44</v>
      </c>
      <c r="AZ22" s="166">
        <f t="shared" si="25"/>
        <v>0</v>
      </c>
      <c r="BA22" s="196"/>
      <c r="BB22" s="166">
        <f t="shared" si="26"/>
        <v>0</v>
      </c>
      <c r="BC22" s="334" t="str">
        <f>IFERROR(VLOOKUP(BB$16,DONNEES!$AB$31:$AH$40,5,FALSE)/100,)</f>
        <v/>
      </c>
      <c r="BD22" s="166">
        <f t="shared" si="27"/>
        <v>0</v>
      </c>
      <c r="BE22" s="196"/>
      <c r="BF22" s="334" t="str">
        <f>IFERROR(VLOOKUP(BB$16,DONNEES!$AB$31:$AH$40,7,FALSE)/100,)</f>
        <v/>
      </c>
      <c r="BG22" s="166">
        <f t="shared" si="28"/>
        <v>0</v>
      </c>
      <c r="BH22" s="196"/>
      <c r="BI22" s="166">
        <f t="shared" si="29"/>
        <v>0</v>
      </c>
      <c r="BJ22" s="228">
        <v>0.54</v>
      </c>
      <c r="BK22" s="166">
        <f t="shared" si="30"/>
        <v>0</v>
      </c>
      <c r="BL22" s="196"/>
      <c r="BM22" s="166">
        <f t="shared" si="31"/>
        <v>0</v>
      </c>
      <c r="BN22" s="336">
        <v>0.46</v>
      </c>
      <c r="BO22" s="166">
        <f t="shared" si="32"/>
        <v>0</v>
      </c>
      <c r="BP22" s="241"/>
      <c r="BQ22" s="166">
        <f t="shared" si="33"/>
        <v>15000</v>
      </c>
      <c r="BR22" s="334" t="str">
        <f>IFERROR(VLOOKUP(BQ$16,DONNEES!$AB$31:$AH$40,5,FALSE)/100,)</f>
        <v/>
      </c>
      <c r="BS22" s="166">
        <f t="shared" si="34"/>
        <v>0</v>
      </c>
      <c r="BT22" s="196"/>
      <c r="BU22" s="334">
        <f>IFERROR(VLOOKUP(BQ$16,DONNEES!$AB$31:$AH$40,6,FALSE)/100,)</f>
        <v>0.05</v>
      </c>
      <c r="BV22" s="166">
        <f t="shared" si="35"/>
        <v>750</v>
      </c>
      <c r="BW22" s="196"/>
      <c r="BX22" s="334">
        <f>IFERROR(VLOOKUP(BQ$16,DONNEES!$AB$31:$AH$40,7,FALSE)/100,)</f>
        <v>0</v>
      </c>
      <c r="BY22" s="166">
        <f t="shared" si="36"/>
        <v>0</v>
      </c>
      <c r="BZ22" s="196"/>
      <c r="CA22" s="166">
        <f t="shared" si="37"/>
        <v>300000</v>
      </c>
      <c r="CB22" s="334">
        <f>IFERROR(VLOOKUP(CA$16,DONNEES!$AB$31:$AH$40,5,FALSE)/100,)</f>
        <v>0.03</v>
      </c>
      <c r="CC22" s="166">
        <f t="shared" si="38"/>
        <v>9000</v>
      </c>
      <c r="CD22" s="196"/>
      <c r="CE22" s="334" t="str">
        <f>IFERROR(VLOOKUP(CA$16,DONNEES!$AB$31:$AH$40,6,FALSE)/100,)</f>
        <v/>
      </c>
      <c r="CF22" s="166">
        <f t="shared" si="39"/>
        <v>0</v>
      </c>
      <c r="CG22" s="196"/>
      <c r="CH22" s="334" t="str">
        <f>IFERROR(VLOOKUP(CA$16,DONNEES!$AB$31:$AH$40,7,FALSE)/100,)</f>
        <v/>
      </c>
      <c r="CI22" s="166">
        <f t="shared" si="40"/>
        <v>0</v>
      </c>
      <c r="CJ22" s="241"/>
      <c r="CK22" s="166">
        <f t="shared" si="41"/>
        <v>0</v>
      </c>
      <c r="CL22" s="241"/>
      <c r="CM22" s="166">
        <f t="shared" si="42"/>
        <v>0</v>
      </c>
      <c r="CN22" s="228">
        <v>0.94</v>
      </c>
      <c r="CO22" s="166">
        <f t="shared" si="43"/>
        <v>0</v>
      </c>
      <c r="CP22" s="196"/>
      <c r="CQ22" s="166">
        <f t="shared" si="44"/>
        <v>0</v>
      </c>
      <c r="CR22" s="228">
        <v>0.55</v>
      </c>
      <c r="CS22" s="166">
        <f t="shared" si="45"/>
        <v>0</v>
      </c>
      <c r="CT22" s="196"/>
      <c r="CU22" s="166">
        <f t="shared" si="46"/>
        <v>0</v>
      </c>
      <c r="CV22" s="228">
        <v>0.55</v>
      </c>
      <c r="CW22" s="166">
        <f t="shared" si="47"/>
        <v>0</v>
      </c>
      <c r="CX22" s="196"/>
      <c r="CY22" s="166">
        <f t="shared" si="48"/>
        <v>0</v>
      </c>
      <c r="CZ22" s="228">
        <v>0.35</v>
      </c>
      <c r="DA22" s="166">
        <f t="shared" si="49"/>
        <v>0</v>
      </c>
      <c r="DB22" s="241"/>
      <c r="DC22" s="166">
        <f t="shared" si="50"/>
        <v>0</v>
      </c>
      <c r="DD22" s="196"/>
      <c r="DE22" s="166">
        <f t="shared" si="51"/>
        <v>15</v>
      </c>
      <c r="DF22" s="196"/>
      <c r="DG22" s="166">
        <f t="shared" si="52"/>
        <v>0</v>
      </c>
      <c r="DH22" s="196"/>
      <c r="DI22" s="166">
        <f t="shared" si="53"/>
        <v>0</v>
      </c>
      <c r="DJ22" s="196"/>
      <c r="DK22" s="166">
        <f t="shared" si="54"/>
        <v>0</v>
      </c>
      <c r="DL22" s="196"/>
      <c r="DM22" s="166">
        <f t="shared" si="55"/>
        <v>0</v>
      </c>
      <c r="DN22" s="241"/>
      <c r="DO22" s="338">
        <f t="shared" si="56"/>
        <v>0</v>
      </c>
      <c r="DP22" s="196"/>
      <c r="DQ22" s="338">
        <f t="shared" si="57"/>
        <v>0</v>
      </c>
      <c r="DR22" s="196"/>
      <c r="DS22" s="338">
        <f t="shared" si="58"/>
        <v>0</v>
      </c>
      <c r="DT22" s="196"/>
      <c r="DU22" s="338">
        <f t="shared" si="59"/>
        <v>0</v>
      </c>
      <c r="DV22" s="196"/>
      <c r="DW22" s="338">
        <f t="shared" si="60"/>
        <v>0</v>
      </c>
      <c r="DX22" s="196"/>
      <c r="DY22" s="338">
        <f t="shared" si="61"/>
        <v>0</v>
      </c>
      <c r="DZ22" s="196"/>
      <c r="EA22" s="338">
        <f t="shared" si="62"/>
        <v>0</v>
      </c>
      <c r="EB22" s="196"/>
      <c r="EC22" s="338">
        <f t="shared" si="63"/>
        <v>0</v>
      </c>
      <c r="ED22" s="196"/>
      <c r="EE22" s="338">
        <f t="shared" si="64"/>
        <v>0</v>
      </c>
      <c r="EF22" s="196"/>
      <c r="EG22" s="338">
        <f t="shared" si="65"/>
        <v>0</v>
      </c>
      <c r="EH22" s="241"/>
    </row>
    <row r="23" ht="15.75" customHeight="1">
      <c r="B23" s="164" t="s">
        <v>292</v>
      </c>
      <c r="C23" s="166">
        <f t="shared" si="1"/>
        <v>0</v>
      </c>
      <c r="D23" s="228">
        <v>0.82</v>
      </c>
      <c r="E23" s="166">
        <f t="shared" si="2"/>
        <v>0</v>
      </c>
      <c r="F23" s="245"/>
      <c r="G23" s="333">
        <f t="shared" si="3"/>
        <v>0</v>
      </c>
      <c r="H23" s="230">
        <v>0.335</v>
      </c>
      <c r="I23" s="166">
        <f t="shared" si="4"/>
        <v>0</v>
      </c>
      <c r="J23" s="245"/>
      <c r="K23" s="166">
        <f t="shared" si="5"/>
        <v>0</v>
      </c>
      <c r="L23" s="228">
        <v>0.27</v>
      </c>
      <c r="M23" s="166">
        <f t="shared" si="6"/>
        <v>0</v>
      </c>
      <c r="N23" s="245"/>
      <c r="O23" s="166">
        <f t="shared" si="7"/>
        <v>0</v>
      </c>
      <c r="P23" s="228">
        <v>0.39</v>
      </c>
      <c r="Q23" s="166">
        <f t="shared" si="8"/>
        <v>0</v>
      </c>
      <c r="R23" s="245"/>
      <c r="S23" s="166">
        <f t="shared" si="9"/>
        <v>0</v>
      </c>
      <c r="T23" s="228">
        <v>0.46</v>
      </c>
      <c r="U23" s="166">
        <f t="shared" si="10"/>
        <v>0</v>
      </c>
      <c r="V23" s="245"/>
      <c r="W23" s="166">
        <f t="shared" si="11"/>
        <v>0</v>
      </c>
      <c r="X23" s="339" t="str">
        <f>IFERROR(VLOOKUP(W$17,DONNEES!$AJ$31:$AP$40,5,FALSE)/100,)</f>
        <v/>
      </c>
      <c r="Y23" s="297">
        <f t="shared" si="12"/>
        <v>0</v>
      </c>
      <c r="Z23" s="245"/>
      <c r="AA23" s="166">
        <f t="shared" si="13"/>
        <v>0</v>
      </c>
      <c r="AB23" s="335">
        <f t="shared" si="66"/>
        <v>0.45</v>
      </c>
      <c r="AC23" s="166">
        <f t="shared" si="14"/>
        <v>0</v>
      </c>
      <c r="AD23" s="245"/>
      <c r="AE23" s="166">
        <f t="shared" si="15"/>
        <v>0</v>
      </c>
      <c r="AF23" s="339" t="str">
        <f>IFERROR(VLOOKUP(AE$17,DONNEES!$AJ$31:$AP$40,6,FALSE)/100,)</f>
        <v/>
      </c>
      <c r="AG23" s="166">
        <f t="shared" si="16"/>
        <v>0</v>
      </c>
      <c r="AH23" s="245"/>
      <c r="AI23" s="166">
        <f t="shared" si="17"/>
        <v>0</v>
      </c>
      <c r="AJ23" s="228">
        <v>0.6</v>
      </c>
      <c r="AK23" s="166">
        <f t="shared" si="18"/>
        <v>0</v>
      </c>
      <c r="AL23" s="245"/>
      <c r="AM23" s="166">
        <f t="shared" si="19"/>
        <v>0</v>
      </c>
      <c r="AN23" s="339" t="str">
        <f>IFERROR(VLOOKUP(AM$17,DONNEES!$AJ$31:$AP$40,7,FALSE)/100,)</f>
        <v/>
      </c>
      <c r="AO23" s="166">
        <f t="shared" si="20"/>
        <v>0</v>
      </c>
      <c r="AP23" s="252"/>
      <c r="AQ23" s="166">
        <f t="shared" si="21"/>
        <v>0</v>
      </c>
      <c r="AR23" s="339" t="str">
        <f>IFERROR(VLOOKUP(AQ$16,DONNEES!$AJ$31:$AP$40,6,FALSE)/100,)</f>
        <v/>
      </c>
      <c r="AS23" s="166">
        <f t="shared" si="22"/>
        <v>0</v>
      </c>
      <c r="AT23" s="245"/>
      <c r="AU23" s="339" t="str">
        <f>IFERROR(VLOOKUP(AQ$16,DONNEES!$AJ$31:$AP$40,7,FALSE)/100,)</f>
        <v/>
      </c>
      <c r="AV23" s="166">
        <f t="shared" si="23"/>
        <v>0</v>
      </c>
      <c r="AW23" s="245"/>
      <c r="AX23" s="166">
        <f t="shared" si="24"/>
        <v>0</v>
      </c>
      <c r="AY23" s="336">
        <v>0.44</v>
      </c>
      <c r="AZ23" s="166">
        <f t="shared" si="25"/>
        <v>0</v>
      </c>
      <c r="BA23" s="245"/>
      <c r="BB23" s="166">
        <f t="shared" si="26"/>
        <v>0</v>
      </c>
      <c r="BC23" s="339" t="str">
        <f>IFERROR(VLOOKUP(BB$16,DONNEES!$AJ$31:$AP$40,5,FALSE)/100,)</f>
        <v/>
      </c>
      <c r="BD23" s="166">
        <f t="shared" si="27"/>
        <v>0</v>
      </c>
      <c r="BE23" s="245"/>
      <c r="BF23" s="339" t="str">
        <f>IFERROR(VLOOKUP(BB$16,DONNEES!$AJ$31:$AP$40,7,FALSE)/100,)</f>
        <v/>
      </c>
      <c r="BG23" s="166">
        <f t="shared" si="28"/>
        <v>0</v>
      </c>
      <c r="BH23" s="245"/>
      <c r="BI23" s="166">
        <f t="shared" si="29"/>
        <v>0</v>
      </c>
      <c r="BJ23" s="228">
        <v>0.54</v>
      </c>
      <c r="BK23" s="166">
        <f t="shared" si="30"/>
        <v>0</v>
      </c>
      <c r="BL23" s="245"/>
      <c r="BM23" s="166">
        <f t="shared" si="31"/>
        <v>0</v>
      </c>
      <c r="BN23" s="336">
        <v>0.46</v>
      </c>
      <c r="BO23" s="166">
        <f t="shared" si="32"/>
        <v>0</v>
      </c>
      <c r="BP23" s="252"/>
      <c r="BQ23" s="166">
        <f t="shared" si="33"/>
        <v>15000</v>
      </c>
      <c r="BR23" s="339" t="str">
        <f>IFERROR(VLOOKUP(BQ$16,DONNEES!$AJ$31:$AP$40,5,FALSE)/100,)</f>
        <v/>
      </c>
      <c r="BS23" s="166">
        <f t="shared" si="34"/>
        <v>0</v>
      </c>
      <c r="BT23" s="245"/>
      <c r="BU23" s="339">
        <f>IFERROR(VLOOKUP(BQ$16,DONNEES!$AJ$31:$AP$40,6,FALSE)/100,)</f>
        <v>0.05</v>
      </c>
      <c r="BV23" s="166">
        <f t="shared" si="35"/>
        <v>750</v>
      </c>
      <c r="BW23" s="245"/>
      <c r="BX23" s="339">
        <f>IFERROR(VLOOKUP(BQ$16,DONNEES!$AJ$31:$AP$40,7,FALSE)/100,)</f>
        <v>0</v>
      </c>
      <c r="BY23" s="166">
        <f t="shared" si="36"/>
        <v>0</v>
      </c>
      <c r="BZ23" s="245"/>
      <c r="CA23" s="166">
        <f t="shared" si="37"/>
        <v>300000</v>
      </c>
      <c r="CB23" s="339">
        <f>IFERROR(VLOOKUP(CA$16,DONNEES!$AJ$31:$AP$40,5,FALSE)/100,)</f>
        <v>0.03</v>
      </c>
      <c r="CC23" s="166">
        <f t="shared" si="38"/>
        <v>9000</v>
      </c>
      <c r="CD23" s="245"/>
      <c r="CE23" s="339" t="str">
        <f>IFERROR(VLOOKUP(CA$16,DONNEES!$AJ$31:$AP$40,6,FALSE)/100,)</f>
        <v/>
      </c>
      <c r="CF23" s="166">
        <f t="shared" si="39"/>
        <v>0</v>
      </c>
      <c r="CG23" s="245"/>
      <c r="CH23" s="339" t="str">
        <f>IFERROR(VLOOKUP(CA$16,DONNEES!$AJ$31:$AP$40,7,FALSE)/100,)</f>
        <v/>
      </c>
      <c r="CI23" s="166">
        <f t="shared" si="40"/>
        <v>0</v>
      </c>
      <c r="CJ23" s="252"/>
      <c r="CK23" s="166">
        <f t="shared" si="41"/>
        <v>0</v>
      </c>
      <c r="CL23" s="252"/>
      <c r="CM23" s="166">
        <f t="shared" si="42"/>
        <v>0</v>
      </c>
      <c r="CN23" s="228">
        <v>0.94</v>
      </c>
      <c r="CO23" s="166">
        <f t="shared" si="43"/>
        <v>0</v>
      </c>
      <c r="CP23" s="245"/>
      <c r="CQ23" s="166">
        <f t="shared" si="44"/>
        <v>0</v>
      </c>
      <c r="CR23" s="228">
        <v>0.55</v>
      </c>
      <c r="CS23" s="166">
        <f t="shared" si="45"/>
        <v>0</v>
      </c>
      <c r="CT23" s="245"/>
      <c r="CU23" s="166">
        <f t="shared" si="46"/>
        <v>0</v>
      </c>
      <c r="CV23" s="228">
        <v>0.55</v>
      </c>
      <c r="CW23" s="166">
        <f t="shared" si="47"/>
        <v>0</v>
      </c>
      <c r="CX23" s="245"/>
      <c r="CY23" s="166">
        <f t="shared" si="48"/>
        <v>0</v>
      </c>
      <c r="CZ23" s="228">
        <v>0.35</v>
      </c>
      <c r="DA23" s="166">
        <f t="shared" si="49"/>
        <v>0</v>
      </c>
      <c r="DB23" s="252"/>
      <c r="DC23" s="166">
        <f t="shared" si="50"/>
        <v>0</v>
      </c>
      <c r="DD23" s="245"/>
      <c r="DE23" s="166">
        <f t="shared" si="51"/>
        <v>15</v>
      </c>
      <c r="DF23" s="245"/>
      <c r="DG23" s="166">
        <f t="shared" si="52"/>
        <v>0</v>
      </c>
      <c r="DH23" s="245"/>
      <c r="DI23" s="166">
        <f t="shared" si="53"/>
        <v>0</v>
      </c>
      <c r="DJ23" s="245"/>
      <c r="DK23" s="166">
        <f t="shared" si="54"/>
        <v>0</v>
      </c>
      <c r="DL23" s="245"/>
      <c r="DM23" s="166">
        <f t="shared" si="55"/>
        <v>0</v>
      </c>
      <c r="DN23" s="252"/>
      <c r="DO23" s="338">
        <f t="shared" si="56"/>
        <v>0</v>
      </c>
      <c r="DP23" s="245"/>
      <c r="DQ23" s="338">
        <f t="shared" si="57"/>
        <v>0</v>
      </c>
      <c r="DR23" s="245"/>
      <c r="DS23" s="338">
        <f t="shared" si="58"/>
        <v>0</v>
      </c>
      <c r="DT23" s="245"/>
      <c r="DU23" s="338">
        <f t="shared" si="59"/>
        <v>0</v>
      </c>
      <c r="DV23" s="245"/>
      <c r="DW23" s="338">
        <f t="shared" si="60"/>
        <v>0</v>
      </c>
      <c r="DX23" s="245"/>
      <c r="DY23" s="338">
        <f t="shared" si="61"/>
        <v>0</v>
      </c>
      <c r="DZ23" s="245"/>
      <c r="EA23" s="338">
        <f t="shared" si="62"/>
        <v>0</v>
      </c>
      <c r="EB23" s="245"/>
      <c r="EC23" s="338">
        <f t="shared" si="63"/>
        <v>0</v>
      </c>
      <c r="ED23" s="245"/>
      <c r="EE23" s="338">
        <f t="shared" si="64"/>
        <v>0</v>
      </c>
      <c r="EF23" s="245"/>
      <c r="EG23" s="338">
        <f t="shared" si="65"/>
        <v>0</v>
      </c>
      <c r="EH23" s="252"/>
    </row>
    <row r="24" ht="15.75" customHeight="1">
      <c r="B24" s="256" t="s">
        <v>231</v>
      </c>
      <c r="C24" s="257">
        <f>SUM(C19:C23)</f>
        <v>0</v>
      </c>
      <c r="E24" s="257">
        <f>SUM(E19:E23)</f>
        <v>0</v>
      </c>
      <c r="G24" s="340">
        <f>SUM(G19:G23)</f>
        <v>0</v>
      </c>
      <c r="I24" s="257">
        <f>SUM(I19:I23)</f>
        <v>0</v>
      </c>
      <c r="K24" s="257">
        <f>SUM(K19:K23)</f>
        <v>0</v>
      </c>
      <c r="M24" s="257">
        <f>SUM(M19:M23)</f>
        <v>0</v>
      </c>
      <c r="O24" s="257">
        <f>SUM(O19:O23)</f>
        <v>0</v>
      </c>
      <c r="Q24" s="259">
        <f>SUM(Q19:Q23)</f>
        <v>0</v>
      </c>
      <c r="S24" s="257">
        <f>SUM(S19:S23)</f>
        <v>0</v>
      </c>
      <c r="U24" s="257">
        <f>SUM(U19:U23)</f>
        <v>0</v>
      </c>
      <c r="W24" s="257">
        <f>SUM(W19:W23)</f>
        <v>0</v>
      </c>
      <c r="Y24" s="257">
        <f>SUM(Y19:Y23)</f>
        <v>0</v>
      </c>
      <c r="AA24" s="257">
        <f>SUM(AA19:AA23)</f>
        <v>0</v>
      </c>
      <c r="AC24" s="259">
        <f>SUM(AC19:AC23)</f>
        <v>0</v>
      </c>
      <c r="AE24" s="259">
        <f>SUM(AE19:AE23)</f>
        <v>0</v>
      </c>
      <c r="AG24" s="257">
        <f>SUM(AG19:AG23)</f>
        <v>0</v>
      </c>
      <c r="AI24" s="257">
        <f>SUM(AI19:AI23)</f>
        <v>0</v>
      </c>
      <c r="AK24" s="257">
        <f>SUM(AK19:AK23)</f>
        <v>0</v>
      </c>
      <c r="AM24" s="259">
        <f>SUM(AM19:AM23)</f>
        <v>0</v>
      </c>
      <c r="AO24" s="259">
        <f>SUM(AO19:AO23)</f>
        <v>0</v>
      </c>
      <c r="AQ24" s="257">
        <f>SUM(AQ19:AQ23)</f>
        <v>0</v>
      </c>
      <c r="AS24" s="257">
        <f>SUM(AS19:AS23)</f>
        <v>0</v>
      </c>
      <c r="AV24" s="259">
        <f>SUM(AV19:AV23)</f>
        <v>0</v>
      </c>
      <c r="AZ24" s="259">
        <f>SUM(AZ19:AZ23)</f>
        <v>0</v>
      </c>
      <c r="BB24" s="259">
        <f>SUM(BB19:BB23)</f>
        <v>0</v>
      </c>
      <c r="BD24" s="259">
        <f>SUM(BD19:BD23)</f>
        <v>0</v>
      </c>
      <c r="BG24" s="259">
        <f>SUM(BG19:BG23)</f>
        <v>0</v>
      </c>
      <c r="BK24" s="259">
        <f>SUM(BK19:BK23)</f>
        <v>0</v>
      </c>
      <c r="BO24" s="259">
        <f>SUM(BO19:BO23)</f>
        <v>0</v>
      </c>
      <c r="BQ24" s="259">
        <f>SUM(BQ19:BQ23)</f>
        <v>72000</v>
      </c>
      <c r="BS24" s="259">
        <f>SUM(BS19:BS23)</f>
        <v>0</v>
      </c>
      <c r="BV24" s="259">
        <f>SUM(BV19:BV23)</f>
        <v>3600</v>
      </c>
      <c r="BY24" s="259">
        <f>SUM(BY19:BY23)</f>
        <v>0</v>
      </c>
      <c r="CA24" s="257">
        <f>SUM(CA19:CA23)</f>
        <v>1257000</v>
      </c>
      <c r="CC24" s="257">
        <f>SUM(CC19:CC23)</f>
        <v>37710</v>
      </c>
      <c r="CF24" s="257">
        <f>SUM(CF19:CF23)</f>
        <v>0</v>
      </c>
      <c r="CI24" s="257">
        <f>SUM(CI19:CI23)</f>
        <v>0</v>
      </c>
      <c r="CK24" s="257">
        <f>SUM(CK19:CK23)</f>
        <v>0</v>
      </c>
      <c r="CM24" s="260">
        <f>SUM(CM19:CM23)</f>
        <v>0</v>
      </c>
      <c r="CN24" s="261"/>
      <c r="CO24" s="262">
        <f>SUM(CO19:CO23)</f>
        <v>0</v>
      </c>
      <c r="CQ24" s="259">
        <f>SUM(CQ19:CQ23)</f>
        <v>0</v>
      </c>
      <c r="CR24" s="263"/>
      <c r="CS24" s="264">
        <f> SUM(CS19:CS23)</f>
        <v>0</v>
      </c>
      <c r="CT24" s="263"/>
      <c r="CU24" s="259">
        <f>SUM(CU19:CU23)</f>
        <v>0</v>
      </c>
      <c r="CV24" s="263"/>
      <c r="CW24" s="264">
        <f> SUM(CW19:CW23)</f>
        <v>0</v>
      </c>
      <c r="CX24" s="263"/>
      <c r="CY24" s="259">
        <f>SUM(CY19:CY23)</f>
        <v>0</v>
      </c>
      <c r="CZ24" s="263"/>
      <c r="DA24" s="264">
        <f> SUM(DA19:DA23)</f>
        <v>0</v>
      </c>
      <c r="DB24" s="263"/>
      <c r="DC24" s="259">
        <f>SUM(DC19:DC23)</f>
        <v>0</v>
      </c>
      <c r="DE24" s="259">
        <f>SUM(DE19:DE23)</f>
        <v>63</v>
      </c>
      <c r="DG24" s="259">
        <f>SUM(DG19:DG23)</f>
        <v>0</v>
      </c>
      <c r="DI24" s="259">
        <f>SUM(DI19:DI23)</f>
        <v>0</v>
      </c>
      <c r="DK24" s="259">
        <f>SUM(DK19:DK23)</f>
        <v>0</v>
      </c>
      <c r="DM24" s="259">
        <f>SUM(DM19:DM23)</f>
        <v>0</v>
      </c>
      <c r="DO24" s="259">
        <f>SUM(DO19:DO23)</f>
        <v>0</v>
      </c>
      <c r="DQ24" s="259">
        <f>SUM(DQ19:DQ23)</f>
        <v>0</v>
      </c>
      <c r="DS24" s="259">
        <f>SUM(DS19:DS23)</f>
        <v>0</v>
      </c>
      <c r="DU24" s="259">
        <f>SUM(DU19:DU23)</f>
        <v>0</v>
      </c>
      <c r="DW24" s="259">
        <f>SUM(DW19:DW23)</f>
        <v>0</v>
      </c>
      <c r="DY24" s="259">
        <f>SUM(DY19:DY23)</f>
        <v>0</v>
      </c>
      <c r="EA24" s="259">
        <f>SUM(EA19:EA23)</f>
        <v>0</v>
      </c>
      <c r="EC24" s="259">
        <f>SUM(EC19:EC23)</f>
        <v>0</v>
      </c>
      <c r="EE24" s="259">
        <f>SUM(EE19:EE23)</f>
        <v>0</v>
      </c>
      <c r="EG24" s="259">
        <f>SUM(EG19:EG23)</f>
        <v>0</v>
      </c>
    </row>
    <row r="25" ht="15.75" customHeight="1"/>
    <row r="26" ht="14.25" customHeight="1">
      <c r="B26" s="266" t="s">
        <v>232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66"/>
      <c r="AP26" s="184"/>
      <c r="AQ26" s="267"/>
      <c r="AR26" s="267"/>
      <c r="AS26" s="267"/>
    </row>
    <row r="27" ht="15.0" customHeight="1">
      <c r="B27" s="341"/>
      <c r="C27" s="342" t="s">
        <v>183</v>
      </c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  <c r="R27" s="343"/>
      <c r="S27" s="344"/>
      <c r="T27" s="345" t="s">
        <v>233</v>
      </c>
      <c r="U27" s="346" t="s">
        <v>163</v>
      </c>
      <c r="V27" s="88"/>
      <c r="W27" s="88"/>
      <c r="X27" s="89"/>
      <c r="Y27" s="347" t="s">
        <v>164</v>
      </c>
      <c r="Z27" s="88"/>
      <c r="AA27" s="88"/>
      <c r="AB27" s="88"/>
      <c r="AC27" s="88"/>
      <c r="AD27" s="89"/>
      <c r="AE27" s="347" t="s">
        <v>234</v>
      </c>
      <c r="AF27" s="88"/>
      <c r="AG27" s="88"/>
      <c r="AH27" s="88"/>
      <c r="AI27" s="88"/>
      <c r="AJ27" s="88"/>
      <c r="AK27" s="88"/>
      <c r="AL27" s="88"/>
      <c r="AM27" s="88"/>
      <c r="AN27" s="89"/>
      <c r="AO27" s="348" t="s">
        <v>235</v>
      </c>
      <c r="AP27" s="273" t="s">
        <v>293</v>
      </c>
      <c r="AR27" s="274"/>
    </row>
    <row r="28" ht="15.0" customHeight="1">
      <c r="B28" s="211"/>
      <c r="C28" s="161" t="s">
        <v>160</v>
      </c>
      <c r="D28" s="162"/>
      <c r="E28" s="162"/>
      <c r="F28" s="162"/>
      <c r="G28" s="162"/>
      <c r="H28" s="162"/>
      <c r="I28" s="162"/>
      <c r="J28" s="162"/>
      <c r="K28" s="162"/>
      <c r="L28" s="163"/>
      <c r="M28" s="164" t="s">
        <v>161</v>
      </c>
      <c r="N28" s="162"/>
      <c r="O28" s="162"/>
      <c r="P28" s="162"/>
      <c r="Q28" s="163"/>
      <c r="R28" s="164" t="s">
        <v>162</v>
      </c>
      <c r="S28" s="165"/>
      <c r="T28" s="349" t="s">
        <v>237</v>
      </c>
      <c r="U28" s="212" t="s">
        <v>168</v>
      </c>
      <c r="V28" s="213" t="s">
        <v>169</v>
      </c>
      <c r="W28" s="186" t="s">
        <v>170</v>
      </c>
      <c r="X28" s="350" t="s">
        <v>238</v>
      </c>
      <c r="Y28" s="212" t="str">
        <f>DC15</f>
        <v>Bactériosol concentré</v>
      </c>
      <c r="Z28" s="213" t="str">
        <f>DE15</f>
        <v>Bactériosol concentré UAB</v>
      </c>
      <c r="AA28" s="213" t="str">
        <f>DG15</f>
        <v>Bactériosol booster 10</v>
      </c>
      <c r="AB28" s="213" t="s">
        <v>239</v>
      </c>
      <c r="AC28" s="213" t="str">
        <f>DK15</f>
        <v>Bactériolit concentré</v>
      </c>
      <c r="AD28" s="350" t="str">
        <f>DM15</f>
        <v>Quaterna Plant</v>
      </c>
      <c r="AE28" s="351" t="s">
        <v>109</v>
      </c>
      <c r="AF28" s="275" t="s">
        <v>112</v>
      </c>
      <c r="AG28" s="275" t="s">
        <v>115</v>
      </c>
      <c r="AH28" s="276" t="s">
        <v>117</v>
      </c>
      <c r="AI28" s="276" t="s">
        <v>22</v>
      </c>
      <c r="AJ28" s="276" t="s">
        <v>121</v>
      </c>
      <c r="AK28" s="276" t="s">
        <v>123</v>
      </c>
      <c r="AL28" s="276" t="s">
        <v>125</v>
      </c>
      <c r="AM28" s="276" t="s">
        <v>126</v>
      </c>
      <c r="AN28" s="352" t="s">
        <v>127</v>
      </c>
      <c r="AO28" s="353"/>
      <c r="AP28" s="196"/>
    </row>
    <row r="29" ht="15.0" customHeight="1">
      <c r="B29" s="211"/>
      <c r="C29" s="207" t="s">
        <v>190</v>
      </c>
      <c r="D29" s="162"/>
      <c r="E29" s="162"/>
      <c r="F29" s="162"/>
      <c r="G29" s="162"/>
      <c r="H29" s="163"/>
      <c r="I29" s="208" t="s">
        <v>191</v>
      </c>
      <c r="J29" s="163"/>
      <c r="K29" s="208" t="s">
        <v>192</v>
      </c>
      <c r="L29" s="163"/>
      <c r="M29" s="213" t="s">
        <v>193</v>
      </c>
      <c r="N29" s="213" t="s">
        <v>119</v>
      </c>
      <c r="O29" s="213" t="s">
        <v>195</v>
      </c>
      <c r="P29" s="213" t="s">
        <v>196</v>
      </c>
      <c r="Q29" s="213" t="s">
        <v>197</v>
      </c>
      <c r="R29" s="213" t="s">
        <v>198</v>
      </c>
      <c r="S29" s="350" t="s">
        <v>199</v>
      </c>
      <c r="T29" s="27"/>
      <c r="U29" s="354"/>
      <c r="V29" s="196"/>
      <c r="W29" s="196"/>
      <c r="X29" s="241"/>
      <c r="Y29" s="354"/>
      <c r="Z29" s="196"/>
      <c r="AA29" s="196"/>
      <c r="AB29" s="196"/>
      <c r="AC29" s="196"/>
      <c r="AD29" s="241"/>
      <c r="AE29" s="51"/>
      <c r="AF29" s="211"/>
      <c r="AG29" s="211"/>
      <c r="AH29" s="196"/>
      <c r="AI29" s="196"/>
      <c r="AJ29" s="196"/>
      <c r="AK29" s="196"/>
      <c r="AL29" s="196"/>
      <c r="AM29" s="196"/>
      <c r="AN29" s="241"/>
      <c r="AO29" s="353"/>
      <c r="AP29" s="196"/>
    </row>
    <row r="30" ht="15.75" customHeight="1">
      <c r="B30" s="218"/>
      <c r="C30" s="220" t="s">
        <v>87</v>
      </c>
      <c r="D30" s="221" t="s">
        <v>14</v>
      </c>
      <c r="E30" s="221" t="s">
        <v>93</v>
      </c>
      <c r="F30" s="221" t="s">
        <v>16</v>
      </c>
      <c r="G30" s="221" t="s">
        <v>100</v>
      </c>
      <c r="H30" s="221" t="s">
        <v>240</v>
      </c>
      <c r="I30" s="221" t="s">
        <v>17</v>
      </c>
      <c r="J30" s="221" t="s">
        <v>240</v>
      </c>
      <c r="K30" s="221" t="s">
        <v>111</v>
      </c>
      <c r="L30" s="221" t="s">
        <v>240</v>
      </c>
      <c r="M30" s="219"/>
      <c r="N30" s="219"/>
      <c r="O30" s="219"/>
      <c r="P30" s="219"/>
      <c r="Q30" s="219"/>
      <c r="R30" s="219"/>
      <c r="S30" s="355"/>
      <c r="T30" s="356"/>
      <c r="U30" s="223"/>
      <c r="V30" s="219"/>
      <c r="W30" s="219"/>
      <c r="X30" s="355"/>
      <c r="Y30" s="223"/>
      <c r="Z30" s="219"/>
      <c r="AA30" s="219"/>
      <c r="AB30" s="219"/>
      <c r="AC30" s="219"/>
      <c r="AD30" s="355"/>
      <c r="AE30" s="214"/>
      <c r="AF30" s="218"/>
      <c r="AG30" s="218"/>
      <c r="AH30" s="219"/>
      <c r="AI30" s="219"/>
      <c r="AJ30" s="219"/>
      <c r="AK30" s="219"/>
      <c r="AL30" s="219"/>
      <c r="AM30" s="219"/>
      <c r="AN30" s="355"/>
      <c r="AO30" s="357"/>
      <c r="AP30" s="219"/>
    </row>
    <row r="31" ht="15.75" customHeight="1">
      <c r="B31" s="164" t="s">
        <v>288</v>
      </c>
      <c r="C31" s="227">
        <f t="shared" ref="C31:C35" si="67">E19*$F$19</f>
        <v>0</v>
      </c>
      <c r="D31" s="166">
        <f t="shared" ref="D31:D35" si="68">I19*$J$19</f>
        <v>0</v>
      </c>
      <c r="E31" s="166">
        <f t="shared" ref="E31:E35" si="69">M19*$N$19</f>
        <v>0</v>
      </c>
      <c r="F31" s="166">
        <f t="shared" ref="F31:F35" si="70">Q19*$R$19</f>
        <v>0</v>
      </c>
      <c r="G31" s="166">
        <f t="shared" ref="G31:G35" si="71">U19*$V$19</f>
        <v>0</v>
      </c>
      <c r="H31" s="166">
        <f t="shared" ref="H31:H35" si="72">Y19*$Z$19</f>
        <v>0</v>
      </c>
      <c r="I31" s="166">
        <f t="shared" ref="I31:I35" si="73">AC19*$AD$19</f>
        <v>0</v>
      </c>
      <c r="J31" s="166">
        <f t="shared" ref="J31:J35" si="74">AG19*$AH$19</f>
        <v>0</v>
      </c>
      <c r="K31" s="166">
        <f t="shared" ref="K31:K35" si="75">AK19*$AL$19</f>
        <v>0</v>
      </c>
      <c r="L31" s="166">
        <f t="shared" ref="L31:L35" si="76">AO19*$AP$19</f>
        <v>0</v>
      </c>
      <c r="M31" s="166">
        <f t="shared" ref="M31:M35" si="77">AS19*$AT$19+AV19*$AW$19</f>
        <v>0</v>
      </c>
      <c r="N31" s="166">
        <f t="shared" ref="N31:N35" si="78">AZ19*$BA$19</f>
        <v>0</v>
      </c>
      <c r="O31" s="166">
        <f t="shared" ref="O31:O35" si="79">BD19*$BE$19+BG19*$BH$19</f>
        <v>0</v>
      </c>
      <c r="P31" s="166">
        <f t="shared" ref="P31:P35" si="80">BK19*$BL$19</f>
        <v>0</v>
      </c>
      <c r="Q31" s="166">
        <f t="shared" ref="Q31:Q35" si="81">BO19*$BP$19</f>
        <v>0</v>
      </c>
      <c r="R31" s="166">
        <f t="shared" ref="R31:R35" si="82">BS19*$BT$19+BV19*$BW$19+BY19*$BZ$19</f>
        <v>1098</v>
      </c>
      <c r="S31" s="358">
        <f t="shared" ref="S31:S35" si="83">CC19*$CD$19+CF19*$CG$19+CI19*$CJ$19</f>
        <v>6788.7</v>
      </c>
      <c r="T31" s="359">
        <f t="shared" ref="T31:T35" si="84">CK19*$CL$19</f>
        <v>0</v>
      </c>
      <c r="U31" s="227">
        <f t="shared" ref="U31:U35" si="85">CO19*$CP$19</f>
        <v>0</v>
      </c>
      <c r="V31" s="166">
        <f t="shared" ref="V31:V35" si="86">CS19*$CT$19</f>
        <v>0</v>
      </c>
      <c r="W31" s="166">
        <f t="shared" ref="W31:W35" si="87">CW19*$CX$19</f>
        <v>0</v>
      </c>
      <c r="X31" s="358">
        <f t="shared" ref="X31:X35" si="88">DA19*$DB$19</f>
        <v>0</v>
      </c>
      <c r="Y31" s="227">
        <f t="shared" ref="Y31:Y35" si="89">DC19*$DD$19</f>
        <v>0</v>
      </c>
      <c r="Z31" s="164">
        <f t="shared" ref="Z31:Z35" si="90">DE19*$DF$19</f>
        <v>2.022</v>
      </c>
      <c r="AA31" s="164">
        <f t="shared" ref="AA31:AA35" si="91">DG19*$DH$19</f>
        <v>0</v>
      </c>
      <c r="AB31" s="164">
        <f t="shared" ref="AB31:AB35" si="92">DI19*$DJ$19</f>
        <v>0</v>
      </c>
      <c r="AC31" s="164">
        <f t="shared" ref="AC31:AC35" si="93">DK19*$DL$19</f>
        <v>0</v>
      </c>
      <c r="AD31" s="358">
        <f t="shared" ref="AD31:AD35" si="94">DM19*$DN$19</f>
        <v>0</v>
      </c>
      <c r="AE31" s="161">
        <f t="shared" ref="AE31:AE35" si="95">DO19*$DP$19</f>
        <v>0</v>
      </c>
      <c r="AF31" s="164">
        <f t="shared" ref="AF31:AF35" si="96">DQ19*$DR$19</f>
        <v>0</v>
      </c>
      <c r="AG31" s="164">
        <f t="shared" ref="AG31:AG35" si="97">DS19*$DT$19</f>
        <v>0</v>
      </c>
      <c r="AH31" s="164">
        <f t="shared" ref="AH31:AH35" si="98">DU19*$DV$19</f>
        <v>0</v>
      </c>
      <c r="AI31" s="164">
        <f t="shared" ref="AI31:AI35" si="99">DW19*$DX$19</f>
        <v>0</v>
      </c>
      <c r="AJ31" s="164">
        <f t="shared" ref="AJ31:AJ35" si="100">DY19*$DZ$19</f>
        <v>0</v>
      </c>
      <c r="AK31" s="164">
        <f t="shared" ref="AK31:AK35" si="101">EA19*$EB$19</f>
        <v>0</v>
      </c>
      <c r="AL31" s="164">
        <f t="shared" ref="AL31:AL35" si="102">EC19*$ED$19</f>
        <v>0</v>
      </c>
      <c r="AM31" s="164">
        <f t="shared" ref="AM31:AM35" si="103">EE19*$EF$19</f>
        <v>0</v>
      </c>
      <c r="AN31" s="358">
        <f t="shared" ref="AN31:AN35" si="104">EG19*$EH$19</f>
        <v>0</v>
      </c>
      <c r="AO31" s="360">
        <f t="shared" ref="AO31:AO35" si="105">SUM(C31:AN31)</f>
        <v>7888.722</v>
      </c>
      <c r="AP31" s="277">
        <f>AO31/'SUIVI RABAIS PRODUCTION ET C '!O9</f>
        <v>23.68985586</v>
      </c>
    </row>
    <row r="32" ht="15.75" customHeight="1">
      <c r="B32" s="164" t="s">
        <v>289</v>
      </c>
      <c r="C32" s="227">
        <f t="shared" si="67"/>
        <v>0</v>
      </c>
      <c r="D32" s="166">
        <f t="shared" si="68"/>
        <v>0</v>
      </c>
      <c r="E32" s="166">
        <f t="shared" si="69"/>
        <v>0</v>
      </c>
      <c r="F32" s="166">
        <f t="shared" si="70"/>
        <v>0</v>
      </c>
      <c r="G32" s="166">
        <f t="shared" si="71"/>
        <v>0</v>
      </c>
      <c r="H32" s="166">
        <f t="shared" si="72"/>
        <v>0</v>
      </c>
      <c r="I32" s="166">
        <f t="shared" si="73"/>
        <v>0</v>
      </c>
      <c r="J32" s="166">
        <f t="shared" si="74"/>
        <v>0</v>
      </c>
      <c r="K32" s="166">
        <f t="shared" si="75"/>
        <v>0</v>
      </c>
      <c r="L32" s="166">
        <f t="shared" si="76"/>
        <v>0</v>
      </c>
      <c r="M32" s="166">
        <f t="shared" si="77"/>
        <v>0</v>
      </c>
      <c r="N32" s="166">
        <f t="shared" si="78"/>
        <v>0</v>
      </c>
      <c r="O32" s="166">
        <f t="shared" si="79"/>
        <v>0</v>
      </c>
      <c r="P32" s="166">
        <f t="shared" si="80"/>
        <v>0</v>
      </c>
      <c r="Q32" s="166">
        <f t="shared" si="81"/>
        <v>0</v>
      </c>
      <c r="R32" s="166">
        <f t="shared" si="82"/>
        <v>1372.5</v>
      </c>
      <c r="S32" s="358">
        <f t="shared" si="83"/>
        <v>35730</v>
      </c>
      <c r="T32" s="359">
        <f t="shared" si="84"/>
        <v>0</v>
      </c>
      <c r="U32" s="227">
        <f t="shared" si="85"/>
        <v>0</v>
      </c>
      <c r="V32" s="166">
        <f t="shared" si="86"/>
        <v>0</v>
      </c>
      <c r="W32" s="166">
        <f t="shared" si="87"/>
        <v>0</v>
      </c>
      <c r="X32" s="358">
        <f t="shared" si="88"/>
        <v>0</v>
      </c>
      <c r="Y32" s="227">
        <f t="shared" si="89"/>
        <v>0</v>
      </c>
      <c r="Z32" s="164">
        <f t="shared" si="90"/>
        <v>10.11</v>
      </c>
      <c r="AA32" s="164">
        <f t="shared" si="91"/>
        <v>0</v>
      </c>
      <c r="AB32" s="164">
        <f t="shared" si="92"/>
        <v>0</v>
      </c>
      <c r="AC32" s="164">
        <f t="shared" si="93"/>
        <v>0</v>
      </c>
      <c r="AD32" s="358">
        <f t="shared" si="94"/>
        <v>0</v>
      </c>
      <c r="AE32" s="161">
        <f t="shared" si="95"/>
        <v>0</v>
      </c>
      <c r="AF32" s="164">
        <f t="shared" si="96"/>
        <v>0</v>
      </c>
      <c r="AG32" s="164">
        <f t="shared" si="97"/>
        <v>0</v>
      </c>
      <c r="AH32" s="164">
        <f t="shared" si="98"/>
        <v>0</v>
      </c>
      <c r="AI32" s="164">
        <f t="shared" si="99"/>
        <v>0</v>
      </c>
      <c r="AJ32" s="164">
        <f t="shared" si="100"/>
        <v>0</v>
      </c>
      <c r="AK32" s="164">
        <f t="shared" si="101"/>
        <v>0</v>
      </c>
      <c r="AL32" s="164">
        <f t="shared" si="102"/>
        <v>0</v>
      </c>
      <c r="AM32" s="164">
        <f t="shared" si="103"/>
        <v>0</v>
      </c>
      <c r="AN32" s="358">
        <f t="shared" si="104"/>
        <v>0</v>
      </c>
      <c r="AO32" s="360">
        <f t="shared" si="105"/>
        <v>37112.61</v>
      </c>
      <c r="AP32" s="277">
        <f>AO32/'SUIVI RABAIS PRODUCTION ET C '!P9</f>
        <v>111.4492793</v>
      </c>
    </row>
    <row r="33" ht="15.75" customHeight="1">
      <c r="B33" s="164" t="s">
        <v>290</v>
      </c>
      <c r="C33" s="227">
        <f t="shared" si="67"/>
        <v>0</v>
      </c>
      <c r="D33" s="166">
        <f t="shared" si="68"/>
        <v>0</v>
      </c>
      <c r="E33" s="166">
        <f t="shared" si="69"/>
        <v>0</v>
      </c>
      <c r="F33" s="166">
        <f t="shared" si="70"/>
        <v>0</v>
      </c>
      <c r="G33" s="166">
        <f t="shared" si="71"/>
        <v>0</v>
      </c>
      <c r="H33" s="166">
        <f t="shared" si="72"/>
        <v>0</v>
      </c>
      <c r="I33" s="166">
        <f t="shared" si="73"/>
        <v>0</v>
      </c>
      <c r="J33" s="166">
        <f t="shared" si="74"/>
        <v>0</v>
      </c>
      <c r="K33" s="166">
        <f t="shared" si="75"/>
        <v>0</v>
      </c>
      <c r="L33" s="166">
        <f t="shared" si="76"/>
        <v>0</v>
      </c>
      <c r="M33" s="166">
        <f t="shared" si="77"/>
        <v>0</v>
      </c>
      <c r="N33" s="166">
        <f t="shared" si="78"/>
        <v>0</v>
      </c>
      <c r="O33" s="166">
        <f t="shared" si="79"/>
        <v>0</v>
      </c>
      <c r="P33" s="166">
        <f t="shared" si="80"/>
        <v>0</v>
      </c>
      <c r="Q33" s="166">
        <f t="shared" si="81"/>
        <v>0</v>
      </c>
      <c r="R33" s="166">
        <f t="shared" si="82"/>
        <v>1372.5</v>
      </c>
      <c r="S33" s="358">
        <f t="shared" si="83"/>
        <v>35730</v>
      </c>
      <c r="T33" s="359">
        <f t="shared" si="84"/>
        <v>0</v>
      </c>
      <c r="U33" s="227">
        <f t="shared" si="85"/>
        <v>0</v>
      </c>
      <c r="V33" s="166">
        <f t="shared" si="86"/>
        <v>0</v>
      </c>
      <c r="W33" s="166">
        <f t="shared" si="87"/>
        <v>0</v>
      </c>
      <c r="X33" s="358">
        <f t="shared" si="88"/>
        <v>0</v>
      </c>
      <c r="Y33" s="227">
        <f t="shared" si="89"/>
        <v>0</v>
      </c>
      <c r="Z33" s="164">
        <f t="shared" si="90"/>
        <v>10.11</v>
      </c>
      <c r="AA33" s="164">
        <f t="shared" si="91"/>
        <v>0</v>
      </c>
      <c r="AB33" s="164">
        <f t="shared" si="92"/>
        <v>0</v>
      </c>
      <c r="AC33" s="164">
        <f t="shared" si="93"/>
        <v>0</v>
      </c>
      <c r="AD33" s="358">
        <f t="shared" si="94"/>
        <v>0</v>
      </c>
      <c r="AE33" s="161">
        <f t="shared" si="95"/>
        <v>0</v>
      </c>
      <c r="AF33" s="164">
        <f t="shared" si="96"/>
        <v>0</v>
      </c>
      <c r="AG33" s="164">
        <f t="shared" si="97"/>
        <v>0</v>
      </c>
      <c r="AH33" s="164">
        <f t="shared" si="98"/>
        <v>0</v>
      </c>
      <c r="AI33" s="164">
        <f t="shared" si="99"/>
        <v>0</v>
      </c>
      <c r="AJ33" s="164">
        <f t="shared" si="100"/>
        <v>0</v>
      </c>
      <c r="AK33" s="164">
        <f t="shared" si="101"/>
        <v>0</v>
      </c>
      <c r="AL33" s="164">
        <f t="shared" si="102"/>
        <v>0</v>
      </c>
      <c r="AM33" s="164">
        <f t="shared" si="103"/>
        <v>0</v>
      </c>
      <c r="AN33" s="358">
        <f t="shared" si="104"/>
        <v>0</v>
      </c>
      <c r="AO33" s="360">
        <f t="shared" si="105"/>
        <v>37112.61</v>
      </c>
      <c r="AP33" s="277">
        <f>AO33/'SUIVI RABAIS PRODUCTION ET C '!Q9</f>
        <v>111.4492793</v>
      </c>
    </row>
    <row r="34" ht="15.75" customHeight="1">
      <c r="B34" s="164" t="s">
        <v>291</v>
      </c>
      <c r="C34" s="227">
        <f t="shared" si="67"/>
        <v>0</v>
      </c>
      <c r="D34" s="166">
        <f t="shared" si="68"/>
        <v>0</v>
      </c>
      <c r="E34" s="166">
        <f t="shared" si="69"/>
        <v>0</v>
      </c>
      <c r="F34" s="166">
        <f t="shared" si="70"/>
        <v>0</v>
      </c>
      <c r="G34" s="166">
        <f t="shared" si="71"/>
        <v>0</v>
      </c>
      <c r="H34" s="166">
        <f t="shared" si="72"/>
        <v>0</v>
      </c>
      <c r="I34" s="166">
        <f t="shared" si="73"/>
        <v>0</v>
      </c>
      <c r="J34" s="166">
        <f t="shared" si="74"/>
        <v>0</v>
      </c>
      <c r="K34" s="166">
        <f t="shared" si="75"/>
        <v>0</v>
      </c>
      <c r="L34" s="166">
        <f t="shared" si="76"/>
        <v>0</v>
      </c>
      <c r="M34" s="166">
        <f t="shared" si="77"/>
        <v>0</v>
      </c>
      <c r="N34" s="166">
        <f t="shared" si="78"/>
        <v>0</v>
      </c>
      <c r="O34" s="166">
        <f t="shared" si="79"/>
        <v>0</v>
      </c>
      <c r="P34" s="166">
        <f t="shared" si="80"/>
        <v>0</v>
      </c>
      <c r="Q34" s="166">
        <f t="shared" si="81"/>
        <v>0</v>
      </c>
      <c r="R34" s="166">
        <f t="shared" si="82"/>
        <v>1372.5</v>
      </c>
      <c r="S34" s="358">
        <f t="shared" si="83"/>
        <v>35730</v>
      </c>
      <c r="T34" s="359">
        <f t="shared" si="84"/>
        <v>0</v>
      </c>
      <c r="U34" s="227">
        <f t="shared" si="85"/>
        <v>0</v>
      </c>
      <c r="V34" s="166">
        <f t="shared" si="86"/>
        <v>0</v>
      </c>
      <c r="W34" s="166">
        <f t="shared" si="87"/>
        <v>0</v>
      </c>
      <c r="X34" s="358">
        <f t="shared" si="88"/>
        <v>0</v>
      </c>
      <c r="Y34" s="227">
        <f t="shared" si="89"/>
        <v>0</v>
      </c>
      <c r="Z34" s="164">
        <f t="shared" si="90"/>
        <v>10.11</v>
      </c>
      <c r="AA34" s="164">
        <f t="shared" si="91"/>
        <v>0</v>
      </c>
      <c r="AB34" s="164">
        <f t="shared" si="92"/>
        <v>0</v>
      </c>
      <c r="AC34" s="164">
        <f t="shared" si="93"/>
        <v>0</v>
      </c>
      <c r="AD34" s="358">
        <f t="shared" si="94"/>
        <v>0</v>
      </c>
      <c r="AE34" s="161">
        <f t="shared" si="95"/>
        <v>0</v>
      </c>
      <c r="AF34" s="164">
        <f t="shared" si="96"/>
        <v>0</v>
      </c>
      <c r="AG34" s="164">
        <f t="shared" si="97"/>
        <v>0</v>
      </c>
      <c r="AH34" s="164">
        <f t="shared" si="98"/>
        <v>0</v>
      </c>
      <c r="AI34" s="164">
        <f t="shared" si="99"/>
        <v>0</v>
      </c>
      <c r="AJ34" s="164">
        <f t="shared" si="100"/>
        <v>0</v>
      </c>
      <c r="AK34" s="164">
        <f t="shared" si="101"/>
        <v>0</v>
      </c>
      <c r="AL34" s="164">
        <f t="shared" si="102"/>
        <v>0</v>
      </c>
      <c r="AM34" s="164">
        <f t="shared" si="103"/>
        <v>0</v>
      </c>
      <c r="AN34" s="358">
        <f t="shared" si="104"/>
        <v>0</v>
      </c>
      <c r="AO34" s="360">
        <f t="shared" si="105"/>
        <v>37112.61</v>
      </c>
      <c r="AP34" s="277">
        <f>AO34/'SUIVI RABAIS PRODUCTION ET C '!R9</f>
        <v>111.4492793</v>
      </c>
    </row>
    <row r="35" ht="15.75" customHeight="1">
      <c r="B35" s="164" t="s">
        <v>292</v>
      </c>
      <c r="C35" s="227">
        <f t="shared" si="67"/>
        <v>0</v>
      </c>
      <c r="D35" s="166">
        <f t="shared" si="68"/>
        <v>0</v>
      </c>
      <c r="E35" s="166">
        <f t="shared" si="69"/>
        <v>0</v>
      </c>
      <c r="F35" s="166">
        <f t="shared" si="70"/>
        <v>0</v>
      </c>
      <c r="G35" s="166">
        <f t="shared" si="71"/>
        <v>0</v>
      </c>
      <c r="H35" s="166">
        <f t="shared" si="72"/>
        <v>0</v>
      </c>
      <c r="I35" s="166">
        <f t="shared" si="73"/>
        <v>0</v>
      </c>
      <c r="J35" s="166">
        <f t="shared" si="74"/>
        <v>0</v>
      </c>
      <c r="K35" s="166">
        <f t="shared" si="75"/>
        <v>0</v>
      </c>
      <c r="L35" s="166">
        <f t="shared" si="76"/>
        <v>0</v>
      </c>
      <c r="M35" s="166">
        <f t="shared" si="77"/>
        <v>0</v>
      </c>
      <c r="N35" s="166">
        <f t="shared" si="78"/>
        <v>0</v>
      </c>
      <c r="O35" s="166">
        <f t="shared" si="79"/>
        <v>0</v>
      </c>
      <c r="P35" s="166">
        <f t="shared" si="80"/>
        <v>0</v>
      </c>
      <c r="Q35" s="166">
        <f t="shared" si="81"/>
        <v>0</v>
      </c>
      <c r="R35" s="166">
        <f t="shared" si="82"/>
        <v>1372.5</v>
      </c>
      <c r="S35" s="358">
        <f t="shared" si="83"/>
        <v>35730</v>
      </c>
      <c r="T35" s="359">
        <f t="shared" si="84"/>
        <v>0</v>
      </c>
      <c r="U35" s="227">
        <f t="shared" si="85"/>
        <v>0</v>
      </c>
      <c r="V35" s="166">
        <f t="shared" si="86"/>
        <v>0</v>
      </c>
      <c r="W35" s="166">
        <f t="shared" si="87"/>
        <v>0</v>
      </c>
      <c r="X35" s="358">
        <f t="shared" si="88"/>
        <v>0</v>
      </c>
      <c r="Y35" s="227">
        <f t="shared" si="89"/>
        <v>0</v>
      </c>
      <c r="Z35" s="164">
        <f t="shared" si="90"/>
        <v>10.11</v>
      </c>
      <c r="AA35" s="164">
        <f t="shared" si="91"/>
        <v>0</v>
      </c>
      <c r="AB35" s="164">
        <f t="shared" si="92"/>
        <v>0</v>
      </c>
      <c r="AC35" s="164">
        <f t="shared" si="93"/>
        <v>0</v>
      </c>
      <c r="AD35" s="358">
        <f t="shared" si="94"/>
        <v>0</v>
      </c>
      <c r="AE35" s="161">
        <f t="shared" si="95"/>
        <v>0</v>
      </c>
      <c r="AF35" s="164">
        <f t="shared" si="96"/>
        <v>0</v>
      </c>
      <c r="AG35" s="164">
        <f t="shared" si="97"/>
        <v>0</v>
      </c>
      <c r="AH35" s="164">
        <f t="shared" si="98"/>
        <v>0</v>
      </c>
      <c r="AI35" s="164">
        <f t="shared" si="99"/>
        <v>0</v>
      </c>
      <c r="AJ35" s="164">
        <f t="shared" si="100"/>
        <v>0</v>
      </c>
      <c r="AK35" s="164">
        <f t="shared" si="101"/>
        <v>0</v>
      </c>
      <c r="AL35" s="164">
        <f t="shared" si="102"/>
        <v>0</v>
      </c>
      <c r="AM35" s="164">
        <f t="shared" si="103"/>
        <v>0</v>
      </c>
      <c r="AN35" s="358">
        <f t="shared" si="104"/>
        <v>0</v>
      </c>
      <c r="AO35" s="360">
        <f t="shared" si="105"/>
        <v>37112.61</v>
      </c>
      <c r="AP35" s="277">
        <f>AO35/'SUIVI RABAIS PRODUCTION ET C '!S9</f>
        <v>111.4492793</v>
      </c>
      <c r="DE35" s="278"/>
    </row>
    <row r="36" ht="15.75" customHeight="1">
      <c r="B36" s="361" t="s">
        <v>231</v>
      </c>
      <c r="C36" s="362">
        <f t="shared" ref="C36:AO36" si="106">SUM(C31:C35)</f>
        <v>0</v>
      </c>
      <c r="D36" s="363">
        <f t="shared" si="106"/>
        <v>0</v>
      </c>
      <c r="E36" s="363">
        <f t="shared" si="106"/>
        <v>0</v>
      </c>
      <c r="F36" s="363">
        <f t="shared" si="106"/>
        <v>0</v>
      </c>
      <c r="G36" s="363">
        <f t="shared" si="106"/>
        <v>0</v>
      </c>
      <c r="H36" s="363">
        <f t="shared" si="106"/>
        <v>0</v>
      </c>
      <c r="I36" s="363">
        <f t="shared" si="106"/>
        <v>0</v>
      </c>
      <c r="J36" s="363">
        <f t="shared" si="106"/>
        <v>0</v>
      </c>
      <c r="K36" s="363">
        <f t="shared" si="106"/>
        <v>0</v>
      </c>
      <c r="L36" s="363">
        <f t="shared" si="106"/>
        <v>0</v>
      </c>
      <c r="M36" s="363">
        <f t="shared" si="106"/>
        <v>0</v>
      </c>
      <c r="N36" s="363">
        <f t="shared" si="106"/>
        <v>0</v>
      </c>
      <c r="O36" s="363">
        <f t="shared" si="106"/>
        <v>0</v>
      </c>
      <c r="P36" s="363">
        <f t="shared" si="106"/>
        <v>0</v>
      </c>
      <c r="Q36" s="363">
        <f t="shared" si="106"/>
        <v>0</v>
      </c>
      <c r="R36" s="363">
        <f t="shared" si="106"/>
        <v>6588</v>
      </c>
      <c r="S36" s="364">
        <f t="shared" si="106"/>
        <v>149708.7</v>
      </c>
      <c r="T36" s="365">
        <f t="shared" si="106"/>
        <v>0</v>
      </c>
      <c r="U36" s="362">
        <f t="shared" si="106"/>
        <v>0</v>
      </c>
      <c r="V36" s="363">
        <f t="shared" si="106"/>
        <v>0</v>
      </c>
      <c r="W36" s="363">
        <f t="shared" si="106"/>
        <v>0</v>
      </c>
      <c r="X36" s="364">
        <f t="shared" si="106"/>
        <v>0</v>
      </c>
      <c r="Y36" s="362">
        <f t="shared" si="106"/>
        <v>0</v>
      </c>
      <c r="Z36" s="363">
        <f t="shared" si="106"/>
        <v>42.462</v>
      </c>
      <c r="AA36" s="363">
        <f t="shared" si="106"/>
        <v>0</v>
      </c>
      <c r="AB36" s="363">
        <f t="shared" si="106"/>
        <v>0</v>
      </c>
      <c r="AC36" s="363">
        <f t="shared" si="106"/>
        <v>0</v>
      </c>
      <c r="AD36" s="364">
        <f t="shared" si="106"/>
        <v>0</v>
      </c>
      <c r="AE36" s="362">
        <f t="shared" si="106"/>
        <v>0</v>
      </c>
      <c r="AF36" s="363">
        <f t="shared" si="106"/>
        <v>0</v>
      </c>
      <c r="AG36" s="363">
        <f t="shared" si="106"/>
        <v>0</v>
      </c>
      <c r="AH36" s="363">
        <f t="shared" si="106"/>
        <v>0</v>
      </c>
      <c r="AI36" s="363">
        <f t="shared" si="106"/>
        <v>0</v>
      </c>
      <c r="AJ36" s="363">
        <f t="shared" si="106"/>
        <v>0</v>
      </c>
      <c r="AK36" s="363">
        <f t="shared" si="106"/>
        <v>0</v>
      </c>
      <c r="AL36" s="363">
        <f t="shared" si="106"/>
        <v>0</v>
      </c>
      <c r="AM36" s="363">
        <f t="shared" si="106"/>
        <v>0</v>
      </c>
      <c r="AN36" s="364">
        <f t="shared" si="106"/>
        <v>0</v>
      </c>
      <c r="AO36" s="366">
        <f t="shared" si="106"/>
        <v>156339.162</v>
      </c>
    </row>
    <row r="37" ht="15.75" customHeight="1">
      <c r="G37" s="113">
        <f>SUM(E19,I19,M19,Q19,U19,Y19,BD19,BS19,CC19)</f>
        <v>1710</v>
      </c>
    </row>
    <row r="38" ht="15.75" customHeight="1">
      <c r="B38" s="280" t="s">
        <v>241</v>
      </c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0"/>
      <c r="Z38" s="280"/>
      <c r="AA38" s="280"/>
      <c r="AB38" s="280"/>
      <c r="AC38" s="280"/>
      <c r="AD38" s="280"/>
      <c r="AE38" s="280"/>
      <c r="AF38" s="280"/>
      <c r="AG38" s="280"/>
      <c r="AH38" s="280"/>
      <c r="AI38" s="280"/>
      <c r="AJ38" s="280"/>
      <c r="AK38" s="280"/>
      <c r="AL38" s="280"/>
      <c r="AM38" s="280"/>
      <c r="AN38" s="280"/>
      <c r="AO38" s="280"/>
      <c r="AP38" s="280"/>
      <c r="AQ38" s="280"/>
      <c r="AR38" s="280"/>
      <c r="AS38" s="280"/>
      <c r="AT38" s="280"/>
      <c r="AU38" s="280"/>
      <c r="AV38" s="280"/>
      <c r="AW38" s="280"/>
      <c r="AX38" s="280"/>
    </row>
    <row r="39" ht="15.0" customHeight="1">
      <c r="B39" s="186"/>
      <c r="C39" s="281" t="s">
        <v>242</v>
      </c>
      <c r="D39" s="162"/>
      <c r="E39" s="162"/>
      <c r="F39" s="163"/>
      <c r="G39" s="281" t="s">
        <v>243</v>
      </c>
      <c r="H39" s="162"/>
      <c r="I39" s="162"/>
      <c r="J39" s="163"/>
      <c r="K39" s="282" t="s">
        <v>244</v>
      </c>
      <c r="L39" s="162"/>
      <c r="M39" s="162"/>
      <c r="N39" s="163"/>
      <c r="O39" s="283" t="s">
        <v>164</v>
      </c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3"/>
      <c r="AA39" s="283" t="s">
        <v>234</v>
      </c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3"/>
      <c r="AU39" s="284" t="s">
        <v>235</v>
      </c>
      <c r="AV39" s="273" t="s">
        <v>294</v>
      </c>
    </row>
    <row r="40" ht="45.0" customHeight="1">
      <c r="B40" s="196"/>
      <c r="C40" s="285" t="s">
        <v>246</v>
      </c>
      <c r="D40" s="285" t="s">
        <v>247</v>
      </c>
      <c r="E40" s="285" t="s">
        <v>248</v>
      </c>
      <c r="F40" s="285" t="s">
        <v>249</v>
      </c>
      <c r="G40" s="285" t="s">
        <v>250</v>
      </c>
      <c r="H40" s="285" t="s">
        <v>247</v>
      </c>
      <c r="I40" s="285" t="s">
        <v>248</v>
      </c>
      <c r="J40" s="285" t="s">
        <v>249</v>
      </c>
      <c r="K40" s="285" t="s">
        <v>251</v>
      </c>
      <c r="L40" s="285" t="s">
        <v>252</v>
      </c>
      <c r="M40" s="285" t="s">
        <v>253</v>
      </c>
      <c r="N40" s="285" t="s">
        <v>252</v>
      </c>
      <c r="O40" s="286" t="s">
        <v>254</v>
      </c>
      <c r="P40" s="286" t="s">
        <v>255</v>
      </c>
      <c r="Q40" s="286" t="s">
        <v>256</v>
      </c>
      <c r="R40" s="286" t="s">
        <v>255</v>
      </c>
      <c r="S40" s="286" t="s">
        <v>257</v>
      </c>
      <c r="T40" s="286" t="s">
        <v>255</v>
      </c>
      <c r="U40" s="286" t="s">
        <v>258</v>
      </c>
      <c r="V40" s="286" t="s">
        <v>255</v>
      </c>
      <c r="W40" s="286" t="s">
        <v>259</v>
      </c>
      <c r="X40" s="286" t="s">
        <v>255</v>
      </c>
      <c r="Y40" s="286" t="s">
        <v>260</v>
      </c>
      <c r="Z40" s="286" t="s">
        <v>255</v>
      </c>
      <c r="AA40" s="285" t="s">
        <v>261</v>
      </c>
      <c r="AB40" s="285" t="s">
        <v>255</v>
      </c>
      <c r="AC40" s="285" t="s">
        <v>262</v>
      </c>
      <c r="AD40" s="285" t="s">
        <v>255</v>
      </c>
      <c r="AE40" s="285" t="s">
        <v>263</v>
      </c>
      <c r="AF40" s="285" t="s">
        <v>255</v>
      </c>
      <c r="AG40" s="285" t="s">
        <v>264</v>
      </c>
      <c r="AH40" s="285" t="s">
        <v>255</v>
      </c>
      <c r="AI40" s="285" t="s">
        <v>265</v>
      </c>
      <c r="AJ40" s="285" t="s">
        <v>255</v>
      </c>
      <c r="AK40" s="285" t="s">
        <v>266</v>
      </c>
      <c r="AL40" s="285" t="s">
        <v>255</v>
      </c>
      <c r="AM40" s="285" t="s">
        <v>267</v>
      </c>
      <c r="AN40" s="285" t="s">
        <v>255</v>
      </c>
      <c r="AO40" s="285" t="s">
        <v>268</v>
      </c>
      <c r="AP40" s="285" t="s">
        <v>255</v>
      </c>
      <c r="AQ40" s="285" t="s">
        <v>269</v>
      </c>
      <c r="AR40" s="285" t="s">
        <v>255</v>
      </c>
      <c r="AS40" s="285" t="s">
        <v>270</v>
      </c>
      <c r="AT40" s="285" t="s">
        <v>255</v>
      </c>
      <c r="AU40" s="219"/>
      <c r="AV40" s="219"/>
    </row>
    <row r="41" ht="15.0" customHeight="1">
      <c r="B41" s="164" t="s">
        <v>288</v>
      </c>
      <c r="C41" s="166">
        <f t="shared" ref="C41:C45" si="107">E19+I19+M19+Q19+U19+Y19+BD19+BS19+CC19</f>
        <v>1710</v>
      </c>
      <c r="D41" s="287">
        <f t="shared" ref="D41:D45" si="108">C41*$I$49*$I$58</f>
        <v>11393.48571</v>
      </c>
      <c r="E41" s="166">
        <f t="shared" ref="E41:E45" si="109">(C41*$I$51+C41*$I$53)*$I$58</f>
        <v>2663.227286</v>
      </c>
      <c r="F41" s="288">
        <f t="shared" ref="F41:F45" si="110">SUM(D41:E41)</f>
        <v>14056.713</v>
      </c>
      <c r="G41" s="289"/>
      <c r="H41" s="288">
        <f t="shared" ref="H41:H45" si="111">G41*$I$50*$I$58</f>
        <v>0</v>
      </c>
      <c r="I41" s="288">
        <f t="shared" ref="I41:I45" si="112">(G41*$I$52*+G41*$I$53)*$I$58</f>
        <v>0</v>
      </c>
      <c r="J41" s="288">
        <f t="shared" ref="J41:J45" si="113">SUM(H41:I41)</f>
        <v>0</v>
      </c>
      <c r="K41" s="166">
        <f t="shared" ref="K41:K45" si="114">CM19+CQ19</f>
        <v>0</v>
      </c>
      <c r="L41" s="290">
        <f t="shared" ref="L41:L45" si="115">K41*$I$54</f>
        <v>0</v>
      </c>
      <c r="M41" s="164">
        <f t="shared" ref="M41:M45" si="116">CU19</f>
        <v>0</v>
      </c>
      <c r="N41" s="290">
        <f t="shared" ref="N41:N45" si="117">M41*$I$55</f>
        <v>0</v>
      </c>
      <c r="O41" s="166">
        <f t="shared" ref="O41:O45" si="118">$C$65/1000*DC19</f>
        <v>0</v>
      </c>
      <c r="P41" s="290">
        <f t="shared" ref="P41:P45" si="119">O41*$I$50+O41*$I$52+O41*$I$53</f>
        <v>0</v>
      </c>
      <c r="Q41" s="290">
        <f t="shared" ref="Q41:Q45" si="120">DE19*$D$65/1000</f>
        <v>0.066</v>
      </c>
      <c r="R41" s="290">
        <f t="shared" ref="R41:R45" si="121">Q41*$I$50+Q41*$I$52+Q41*$I$53</f>
        <v>0.001113891429</v>
      </c>
      <c r="S41" s="290">
        <f t="shared" ref="S41:S45" si="122">DG19*$E$65/1000</f>
        <v>0</v>
      </c>
      <c r="T41" s="290">
        <f t="shared" ref="T41:T45" si="123">S41*$I$50+S41*$I$52+S41*$I$53</f>
        <v>0</v>
      </c>
      <c r="U41" s="290">
        <f t="shared" ref="U41:U45" si="124">DI19*$F$65/1000</f>
        <v>0</v>
      </c>
      <c r="V41" s="290">
        <f t="shared" ref="V41:V45" si="125">U41*$I$50+U41*$I$52+U41*$I$53</f>
        <v>0</v>
      </c>
      <c r="W41" s="290">
        <f t="shared" ref="W41:W45" si="126">DK19*$G$65/1000</f>
        <v>0</v>
      </c>
      <c r="X41" s="290">
        <f t="shared" ref="X41:X45" si="127">W41*$I$50+W41*$I$52+W41*$I$53</f>
        <v>0</v>
      </c>
      <c r="Y41" s="164">
        <f t="shared" ref="Y41:Y45" si="128">DM19*$H$65/1000</f>
        <v>0</v>
      </c>
      <c r="Z41" s="291">
        <f t="shared" ref="Z41:Z45" si="129">Y41*$I$50+Y41*$I$52+Y41*$I$53</f>
        <v>0</v>
      </c>
      <c r="AA41" s="164">
        <f t="shared" ref="AA41:AA45" si="130">DO19*1000*$I$65/1000</f>
        <v>0</v>
      </c>
      <c r="AB41" s="164">
        <f t="shared" ref="AB41:AB45" si="131">AA41*$I$50+AA41*$I$52+AA41*$I$53</f>
        <v>0</v>
      </c>
      <c r="AC41" s="164">
        <f t="shared" ref="AC41:AC45" si="132">DQ19*$J$65</f>
        <v>0</v>
      </c>
      <c r="AD41" s="164">
        <f t="shared" ref="AD41:AD45" si="133">AC41*$I$50+AC41*$I$52+AC41*$I$53</f>
        <v>0</v>
      </c>
      <c r="AE41" s="164">
        <f t="shared" ref="AE41:AE45" si="134">DS19*$K$65</f>
        <v>0</v>
      </c>
      <c r="AF41" s="164">
        <f t="shared" ref="AF41:AF45" si="135">AE41*$I$50+AE41*$I$52+AE41*$I$53</f>
        <v>0</v>
      </c>
      <c r="AG41" s="164">
        <f t="shared" ref="AG41:AG45" si="136">DU19*$L$65</f>
        <v>0</v>
      </c>
      <c r="AH41" s="164">
        <f t="shared" ref="AH41:AH45" si="137">AG41*$I$50+AG41*$I$52+AG41*$I$53</f>
        <v>0</v>
      </c>
      <c r="AI41" s="164">
        <f t="shared" ref="AI41:AI45" si="138">DW19*$M$65</f>
        <v>0</v>
      </c>
      <c r="AJ41" s="164">
        <f t="shared" ref="AJ41:AJ45" si="139">AI41*$I$50+AI41*$I$52+AI41*$I$53</f>
        <v>0</v>
      </c>
      <c r="AK41" s="164">
        <f t="shared" ref="AK41:AK45" si="140">DY19*$N$65</f>
        <v>0</v>
      </c>
      <c r="AL41" s="164">
        <f t="shared" ref="AL41:AL45" si="141">AK41*$I$50+AK41*$I$52+AK41*$I$53</f>
        <v>0</v>
      </c>
      <c r="AM41" s="164">
        <f t="shared" ref="AM41:AM45" si="142">EA19*$O$65</f>
        <v>0</v>
      </c>
      <c r="AN41" s="164">
        <f t="shared" ref="AN41:AN45" si="143">AM41*$I$50+AM41*$I$52+AM41*$I$53</f>
        <v>0</v>
      </c>
      <c r="AO41" s="164">
        <f t="shared" ref="AO41:AO45" si="144">EC19*$P$65</f>
        <v>0</v>
      </c>
      <c r="AP41" s="164">
        <f t="shared" ref="AP41:AP45" si="145">AO41*$I$50+AO41*$I$52+AO41*$I$53</f>
        <v>0</v>
      </c>
      <c r="AQ41" s="164">
        <f t="shared" ref="AQ41:AQ45" si="146">EE19*$Q$65</f>
        <v>0</v>
      </c>
      <c r="AR41" s="164">
        <f t="shared" ref="AR41:AR45" si="147">AQ41*$I$50+AQ41*$I$52+AQ41*$I$53</f>
        <v>0</v>
      </c>
      <c r="AS41" s="164">
        <f t="shared" ref="AS41:AS45" si="148">EG19*$R$65</f>
        <v>0</v>
      </c>
      <c r="AT41" s="164">
        <f t="shared" ref="AT41:AT45" si="149">AS41*$I$50+AS41*$I$52+AS41*$I$53</f>
        <v>0</v>
      </c>
      <c r="AU41" s="292">
        <f t="shared" ref="AU41:AU45" si="150">F41+J41+L41+N41+P41+R41+T41+V41+X41+Z41+AB41+AD41+AF41+AH41+AJ41+AL41+AN41+AP41+AR41+AT41</f>
        <v>14056.71411</v>
      </c>
      <c r="AV41" s="293">
        <f>AU41/'SUIVI RABAIS PRODUCTION ET C '!O9</f>
        <v>42.2123547</v>
      </c>
      <c r="AX41" s="294" t="s">
        <v>295</v>
      </c>
      <c r="AY41" s="12"/>
      <c r="AZ41" s="13"/>
      <c r="BB41" s="367" t="s">
        <v>296</v>
      </c>
      <c r="BC41" s="12"/>
      <c r="BD41" s="13"/>
    </row>
    <row r="42" ht="15.0" customHeight="1">
      <c r="B42" s="164" t="s">
        <v>289</v>
      </c>
      <c r="C42" s="166">
        <f t="shared" si="107"/>
        <v>9000</v>
      </c>
      <c r="D42" s="287">
        <f t="shared" si="108"/>
        <v>59965.71429</v>
      </c>
      <c r="E42" s="166">
        <f t="shared" si="109"/>
        <v>14016.98571</v>
      </c>
      <c r="F42" s="288">
        <f t="shared" si="110"/>
        <v>73982.7</v>
      </c>
      <c r="G42" s="289"/>
      <c r="H42" s="288">
        <f t="shared" si="111"/>
        <v>0</v>
      </c>
      <c r="I42" s="288">
        <f t="shared" si="112"/>
        <v>0</v>
      </c>
      <c r="J42" s="288">
        <f t="shared" si="113"/>
        <v>0</v>
      </c>
      <c r="K42" s="166">
        <f t="shared" si="114"/>
        <v>0</v>
      </c>
      <c r="L42" s="290">
        <f t="shared" si="115"/>
        <v>0</v>
      </c>
      <c r="M42" s="164">
        <f t="shared" si="116"/>
        <v>0</v>
      </c>
      <c r="N42" s="290">
        <f t="shared" si="117"/>
        <v>0</v>
      </c>
      <c r="O42" s="166">
        <f t="shared" si="118"/>
        <v>0</v>
      </c>
      <c r="P42" s="290">
        <f t="shared" si="119"/>
        <v>0</v>
      </c>
      <c r="Q42" s="290">
        <f t="shared" si="120"/>
        <v>0.33</v>
      </c>
      <c r="R42" s="290">
        <f t="shared" si="121"/>
        <v>0.005569457143</v>
      </c>
      <c r="S42" s="290">
        <f t="shared" si="122"/>
        <v>0</v>
      </c>
      <c r="T42" s="290">
        <f t="shared" si="123"/>
        <v>0</v>
      </c>
      <c r="U42" s="290">
        <f t="shared" si="124"/>
        <v>0</v>
      </c>
      <c r="V42" s="290">
        <f t="shared" si="125"/>
        <v>0</v>
      </c>
      <c r="W42" s="290">
        <f t="shared" si="126"/>
        <v>0</v>
      </c>
      <c r="X42" s="290">
        <f t="shared" si="127"/>
        <v>0</v>
      </c>
      <c r="Y42" s="164">
        <f t="shared" si="128"/>
        <v>0</v>
      </c>
      <c r="Z42" s="291">
        <f t="shared" si="129"/>
        <v>0</v>
      </c>
      <c r="AA42" s="164">
        <f t="shared" si="130"/>
        <v>0</v>
      </c>
      <c r="AB42" s="164">
        <f t="shared" si="131"/>
        <v>0</v>
      </c>
      <c r="AC42" s="164">
        <f t="shared" si="132"/>
        <v>0</v>
      </c>
      <c r="AD42" s="164">
        <f t="shared" si="133"/>
        <v>0</v>
      </c>
      <c r="AE42" s="164">
        <f t="shared" si="134"/>
        <v>0</v>
      </c>
      <c r="AF42" s="164">
        <f t="shared" si="135"/>
        <v>0</v>
      </c>
      <c r="AG42" s="164">
        <f t="shared" si="136"/>
        <v>0</v>
      </c>
      <c r="AH42" s="164">
        <f t="shared" si="137"/>
        <v>0</v>
      </c>
      <c r="AI42" s="164">
        <f t="shared" si="138"/>
        <v>0</v>
      </c>
      <c r="AJ42" s="164">
        <f t="shared" si="139"/>
        <v>0</v>
      </c>
      <c r="AK42" s="164">
        <f t="shared" si="140"/>
        <v>0</v>
      </c>
      <c r="AL42" s="164">
        <f t="shared" si="141"/>
        <v>0</v>
      </c>
      <c r="AM42" s="164">
        <f t="shared" si="142"/>
        <v>0</v>
      </c>
      <c r="AN42" s="164">
        <f t="shared" si="143"/>
        <v>0</v>
      </c>
      <c r="AO42" s="164">
        <f t="shared" si="144"/>
        <v>0</v>
      </c>
      <c r="AP42" s="164">
        <f t="shared" si="145"/>
        <v>0</v>
      </c>
      <c r="AQ42" s="164">
        <f t="shared" si="146"/>
        <v>0</v>
      </c>
      <c r="AR42" s="164">
        <f t="shared" si="147"/>
        <v>0</v>
      </c>
      <c r="AS42" s="164">
        <f t="shared" si="148"/>
        <v>0</v>
      </c>
      <c r="AT42" s="164">
        <f t="shared" si="149"/>
        <v>0</v>
      </c>
      <c r="AU42" s="292">
        <f t="shared" si="150"/>
        <v>73982.70557</v>
      </c>
      <c r="AV42" s="293">
        <f>AU42/'SUIVI RABAIS PRODUCTION ET C '!P9</f>
        <v>222.170287</v>
      </c>
      <c r="AX42" s="51"/>
      <c r="AZ42" s="30"/>
      <c r="BB42" s="51"/>
      <c r="BD42" s="30"/>
    </row>
    <row r="43" ht="15.75" customHeight="1">
      <c r="B43" s="164" t="s">
        <v>290</v>
      </c>
      <c r="C43" s="166">
        <f t="shared" si="107"/>
        <v>9000</v>
      </c>
      <c r="D43" s="287">
        <f t="shared" si="108"/>
        <v>59965.71429</v>
      </c>
      <c r="E43" s="166">
        <f t="shared" si="109"/>
        <v>14016.98571</v>
      </c>
      <c r="F43" s="288">
        <f t="shared" si="110"/>
        <v>73982.7</v>
      </c>
      <c r="G43" s="289"/>
      <c r="H43" s="288">
        <f t="shared" si="111"/>
        <v>0</v>
      </c>
      <c r="I43" s="288">
        <f t="shared" si="112"/>
        <v>0</v>
      </c>
      <c r="J43" s="288">
        <f t="shared" si="113"/>
        <v>0</v>
      </c>
      <c r="K43" s="166">
        <f t="shared" si="114"/>
        <v>0</v>
      </c>
      <c r="L43" s="290">
        <f t="shared" si="115"/>
        <v>0</v>
      </c>
      <c r="M43" s="164">
        <f t="shared" si="116"/>
        <v>0</v>
      </c>
      <c r="N43" s="290">
        <f t="shared" si="117"/>
        <v>0</v>
      </c>
      <c r="O43" s="166">
        <f t="shared" si="118"/>
        <v>0</v>
      </c>
      <c r="P43" s="290">
        <f t="shared" si="119"/>
        <v>0</v>
      </c>
      <c r="Q43" s="290">
        <f t="shared" si="120"/>
        <v>0.33</v>
      </c>
      <c r="R43" s="290">
        <f t="shared" si="121"/>
        <v>0.005569457143</v>
      </c>
      <c r="S43" s="290">
        <f t="shared" si="122"/>
        <v>0</v>
      </c>
      <c r="T43" s="290">
        <f t="shared" si="123"/>
        <v>0</v>
      </c>
      <c r="U43" s="290">
        <f t="shared" si="124"/>
        <v>0</v>
      </c>
      <c r="V43" s="290">
        <f t="shared" si="125"/>
        <v>0</v>
      </c>
      <c r="W43" s="290">
        <f t="shared" si="126"/>
        <v>0</v>
      </c>
      <c r="X43" s="290">
        <f t="shared" si="127"/>
        <v>0</v>
      </c>
      <c r="Y43" s="164">
        <f t="shared" si="128"/>
        <v>0</v>
      </c>
      <c r="Z43" s="291">
        <f t="shared" si="129"/>
        <v>0</v>
      </c>
      <c r="AA43" s="164">
        <f t="shared" si="130"/>
        <v>0</v>
      </c>
      <c r="AB43" s="164">
        <f t="shared" si="131"/>
        <v>0</v>
      </c>
      <c r="AC43" s="164">
        <f t="shared" si="132"/>
        <v>0</v>
      </c>
      <c r="AD43" s="164">
        <f t="shared" si="133"/>
        <v>0</v>
      </c>
      <c r="AE43" s="164">
        <f t="shared" si="134"/>
        <v>0</v>
      </c>
      <c r="AF43" s="164">
        <f t="shared" si="135"/>
        <v>0</v>
      </c>
      <c r="AG43" s="164">
        <f t="shared" si="136"/>
        <v>0</v>
      </c>
      <c r="AH43" s="164">
        <f t="shared" si="137"/>
        <v>0</v>
      </c>
      <c r="AI43" s="164">
        <f t="shared" si="138"/>
        <v>0</v>
      </c>
      <c r="AJ43" s="164">
        <f t="shared" si="139"/>
        <v>0</v>
      </c>
      <c r="AK43" s="164">
        <f t="shared" si="140"/>
        <v>0</v>
      </c>
      <c r="AL43" s="164">
        <f t="shared" si="141"/>
        <v>0</v>
      </c>
      <c r="AM43" s="164">
        <f t="shared" si="142"/>
        <v>0</v>
      </c>
      <c r="AN43" s="164">
        <f t="shared" si="143"/>
        <v>0</v>
      </c>
      <c r="AO43" s="164">
        <f t="shared" si="144"/>
        <v>0</v>
      </c>
      <c r="AP43" s="164">
        <f t="shared" si="145"/>
        <v>0</v>
      </c>
      <c r="AQ43" s="164">
        <f t="shared" si="146"/>
        <v>0</v>
      </c>
      <c r="AR43" s="164">
        <f t="shared" si="147"/>
        <v>0</v>
      </c>
      <c r="AS43" s="164">
        <f t="shared" si="148"/>
        <v>0</v>
      </c>
      <c r="AT43" s="164">
        <f t="shared" si="149"/>
        <v>0</v>
      </c>
      <c r="AU43" s="292">
        <f t="shared" si="150"/>
        <v>73982.70557</v>
      </c>
      <c r="AV43" s="293">
        <f>AU43/'SUIVI RABAIS PRODUCTION ET C '!Q9</f>
        <v>222.170287</v>
      </c>
      <c r="AX43" s="51"/>
      <c r="AZ43" s="30"/>
      <c r="BB43" s="51"/>
      <c r="BD43" s="30"/>
    </row>
    <row r="44" ht="15.75" customHeight="1">
      <c r="B44" s="164" t="s">
        <v>291</v>
      </c>
      <c r="C44" s="166">
        <f t="shared" si="107"/>
        <v>9000</v>
      </c>
      <c r="D44" s="287">
        <f t="shared" si="108"/>
        <v>59965.71429</v>
      </c>
      <c r="E44" s="166">
        <f t="shared" si="109"/>
        <v>14016.98571</v>
      </c>
      <c r="F44" s="288">
        <f t="shared" si="110"/>
        <v>73982.7</v>
      </c>
      <c r="G44" s="289"/>
      <c r="H44" s="288">
        <f t="shared" si="111"/>
        <v>0</v>
      </c>
      <c r="I44" s="288">
        <f t="shared" si="112"/>
        <v>0</v>
      </c>
      <c r="J44" s="288">
        <f t="shared" si="113"/>
        <v>0</v>
      </c>
      <c r="K44" s="166">
        <f t="shared" si="114"/>
        <v>0</v>
      </c>
      <c r="L44" s="290">
        <f t="shared" si="115"/>
        <v>0</v>
      </c>
      <c r="M44" s="164">
        <f t="shared" si="116"/>
        <v>0</v>
      </c>
      <c r="N44" s="290">
        <f t="shared" si="117"/>
        <v>0</v>
      </c>
      <c r="O44" s="166">
        <f t="shared" si="118"/>
        <v>0</v>
      </c>
      <c r="P44" s="290">
        <f t="shared" si="119"/>
        <v>0</v>
      </c>
      <c r="Q44" s="290">
        <f t="shared" si="120"/>
        <v>0.33</v>
      </c>
      <c r="R44" s="290">
        <f t="shared" si="121"/>
        <v>0.005569457143</v>
      </c>
      <c r="S44" s="290">
        <f t="shared" si="122"/>
        <v>0</v>
      </c>
      <c r="T44" s="290">
        <f t="shared" si="123"/>
        <v>0</v>
      </c>
      <c r="U44" s="290">
        <f t="shared" si="124"/>
        <v>0</v>
      </c>
      <c r="V44" s="290">
        <f t="shared" si="125"/>
        <v>0</v>
      </c>
      <c r="W44" s="290">
        <f t="shared" si="126"/>
        <v>0</v>
      </c>
      <c r="X44" s="290">
        <f t="shared" si="127"/>
        <v>0</v>
      </c>
      <c r="Y44" s="164">
        <f t="shared" si="128"/>
        <v>0</v>
      </c>
      <c r="Z44" s="291">
        <f t="shared" si="129"/>
        <v>0</v>
      </c>
      <c r="AA44" s="164">
        <f t="shared" si="130"/>
        <v>0</v>
      </c>
      <c r="AB44" s="164">
        <f t="shared" si="131"/>
        <v>0</v>
      </c>
      <c r="AC44" s="164">
        <f t="shared" si="132"/>
        <v>0</v>
      </c>
      <c r="AD44" s="164">
        <f t="shared" si="133"/>
        <v>0</v>
      </c>
      <c r="AE44" s="164">
        <f t="shared" si="134"/>
        <v>0</v>
      </c>
      <c r="AF44" s="164">
        <f t="shared" si="135"/>
        <v>0</v>
      </c>
      <c r="AG44" s="164">
        <f t="shared" si="136"/>
        <v>0</v>
      </c>
      <c r="AH44" s="164">
        <f t="shared" si="137"/>
        <v>0</v>
      </c>
      <c r="AI44" s="164">
        <f t="shared" si="138"/>
        <v>0</v>
      </c>
      <c r="AJ44" s="164">
        <f t="shared" si="139"/>
        <v>0</v>
      </c>
      <c r="AK44" s="164">
        <f t="shared" si="140"/>
        <v>0</v>
      </c>
      <c r="AL44" s="164">
        <f t="shared" si="141"/>
        <v>0</v>
      </c>
      <c r="AM44" s="164">
        <f t="shared" si="142"/>
        <v>0</v>
      </c>
      <c r="AN44" s="164">
        <f t="shared" si="143"/>
        <v>0</v>
      </c>
      <c r="AO44" s="164">
        <f t="shared" si="144"/>
        <v>0</v>
      </c>
      <c r="AP44" s="164">
        <f t="shared" si="145"/>
        <v>0</v>
      </c>
      <c r="AQ44" s="164">
        <f t="shared" si="146"/>
        <v>0</v>
      </c>
      <c r="AR44" s="164">
        <f t="shared" si="147"/>
        <v>0</v>
      </c>
      <c r="AS44" s="164">
        <f t="shared" si="148"/>
        <v>0</v>
      </c>
      <c r="AT44" s="164">
        <f t="shared" si="149"/>
        <v>0</v>
      </c>
      <c r="AU44" s="292">
        <f t="shared" si="150"/>
        <v>73982.70557</v>
      </c>
      <c r="AV44" s="293">
        <f>AU44/'SUIVI RABAIS PRODUCTION ET C '!R9</f>
        <v>222.170287</v>
      </c>
      <c r="AX44" s="295">
        <f>AU46+AO36</f>
        <v>466326.6984</v>
      </c>
      <c r="AY44" s="144" t="s">
        <v>272</v>
      </c>
      <c r="AZ44" s="296"/>
      <c r="BB44" s="368">
        <f>'GES AVANT NOTIFICATION'!AX44-'GES APRES NOTIFICATION '!AX44</f>
        <v>2365683.891</v>
      </c>
      <c r="BC44" s="144" t="s">
        <v>272</v>
      </c>
      <c r="BD44" s="296"/>
    </row>
    <row r="45" ht="15.75" customHeight="1">
      <c r="B45" s="164" t="s">
        <v>292</v>
      </c>
      <c r="C45" s="297">
        <f t="shared" si="107"/>
        <v>9000</v>
      </c>
      <c r="D45" s="287">
        <f t="shared" si="108"/>
        <v>59965.71429</v>
      </c>
      <c r="E45" s="166">
        <f t="shared" si="109"/>
        <v>14016.98571</v>
      </c>
      <c r="F45" s="288">
        <f t="shared" si="110"/>
        <v>73982.7</v>
      </c>
      <c r="G45" s="289"/>
      <c r="H45" s="288">
        <f t="shared" si="111"/>
        <v>0</v>
      </c>
      <c r="I45" s="288">
        <f t="shared" si="112"/>
        <v>0</v>
      </c>
      <c r="J45" s="288">
        <f t="shared" si="113"/>
        <v>0</v>
      </c>
      <c r="K45" s="166">
        <f t="shared" si="114"/>
        <v>0</v>
      </c>
      <c r="L45" s="290">
        <f t="shared" si="115"/>
        <v>0</v>
      </c>
      <c r="M45" s="164">
        <f t="shared" si="116"/>
        <v>0</v>
      </c>
      <c r="N45" s="290">
        <f t="shared" si="117"/>
        <v>0</v>
      </c>
      <c r="O45" s="166">
        <f t="shared" si="118"/>
        <v>0</v>
      </c>
      <c r="P45" s="290">
        <f t="shared" si="119"/>
        <v>0</v>
      </c>
      <c r="Q45" s="290">
        <f t="shared" si="120"/>
        <v>0.33</v>
      </c>
      <c r="R45" s="290">
        <f t="shared" si="121"/>
        <v>0.005569457143</v>
      </c>
      <c r="S45" s="290">
        <f t="shared" si="122"/>
        <v>0</v>
      </c>
      <c r="T45" s="290">
        <f t="shared" si="123"/>
        <v>0</v>
      </c>
      <c r="U45" s="290">
        <f t="shared" si="124"/>
        <v>0</v>
      </c>
      <c r="V45" s="290">
        <f t="shared" si="125"/>
        <v>0</v>
      </c>
      <c r="W45" s="290">
        <f t="shared" si="126"/>
        <v>0</v>
      </c>
      <c r="X45" s="290">
        <f t="shared" si="127"/>
        <v>0</v>
      </c>
      <c r="Y45" s="164">
        <f t="shared" si="128"/>
        <v>0</v>
      </c>
      <c r="Z45" s="291">
        <f t="shared" si="129"/>
        <v>0</v>
      </c>
      <c r="AA45" s="164">
        <f t="shared" si="130"/>
        <v>0</v>
      </c>
      <c r="AB45" s="164">
        <f t="shared" si="131"/>
        <v>0</v>
      </c>
      <c r="AC45" s="164">
        <f t="shared" si="132"/>
        <v>0</v>
      </c>
      <c r="AD45" s="164">
        <f t="shared" si="133"/>
        <v>0</v>
      </c>
      <c r="AE45" s="164">
        <f t="shared" si="134"/>
        <v>0</v>
      </c>
      <c r="AF45" s="164">
        <f t="shared" si="135"/>
        <v>0</v>
      </c>
      <c r="AG45" s="164">
        <f t="shared" si="136"/>
        <v>0</v>
      </c>
      <c r="AH45" s="164">
        <f t="shared" si="137"/>
        <v>0</v>
      </c>
      <c r="AI45" s="164">
        <f t="shared" si="138"/>
        <v>0</v>
      </c>
      <c r="AJ45" s="164">
        <f t="shared" si="139"/>
        <v>0</v>
      </c>
      <c r="AK45" s="164">
        <f t="shared" si="140"/>
        <v>0</v>
      </c>
      <c r="AL45" s="164">
        <f t="shared" si="141"/>
        <v>0</v>
      </c>
      <c r="AM45" s="164">
        <f t="shared" si="142"/>
        <v>0</v>
      </c>
      <c r="AN45" s="164">
        <f t="shared" si="143"/>
        <v>0</v>
      </c>
      <c r="AO45" s="164">
        <f t="shared" si="144"/>
        <v>0</v>
      </c>
      <c r="AP45" s="164">
        <f t="shared" si="145"/>
        <v>0</v>
      </c>
      <c r="AQ45" s="164">
        <f t="shared" si="146"/>
        <v>0</v>
      </c>
      <c r="AR45" s="164">
        <f t="shared" si="147"/>
        <v>0</v>
      </c>
      <c r="AS45" s="164">
        <f t="shared" si="148"/>
        <v>0</v>
      </c>
      <c r="AT45" s="164">
        <f t="shared" si="149"/>
        <v>0</v>
      </c>
      <c r="AU45" s="292">
        <f t="shared" si="150"/>
        <v>73982.70557</v>
      </c>
      <c r="AV45" s="293">
        <f>AU45/'SUIVI RABAIS PRODUCTION ET C '!S9</f>
        <v>222.170287</v>
      </c>
      <c r="AX45" s="369">
        <f>AX44/1000</f>
        <v>466.3266984</v>
      </c>
      <c r="AY45" s="299" t="s">
        <v>297</v>
      </c>
      <c r="BB45" s="370">
        <f>BB44/1000</f>
        <v>2365.683891</v>
      </c>
      <c r="BC45" s="299" t="s">
        <v>297</v>
      </c>
    </row>
    <row r="46" ht="15.75" customHeight="1">
      <c r="B46" s="256" t="s">
        <v>231</v>
      </c>
      <c r="C46" s="257">
        <f t="shared" ref="C46:AU46" si="151">SUM(C41:C45)</f>
        <v>37710</v>
      </c>
      <c r="D46" s="256">
        <f t="shared" si="151"/>
        <v>251256.3429</v>
      </c>
      <c r="E46" s="256">
        <f t="shared" si="151"/>
        <v>58731.17014</v>
      </c>
      <c r="F46" s="300">
        <f t="shared" si="151"/>
        <v>309987.513</v>
      </c>
      <c r="G46" s="300">
        <f t="shared" si="151"/>
        <v>0</v>
      </c>
      <c r="H46" s="300">
        <f t="shared" si="151"/>
        <v>0</v>
      </c>
      <c r="I46" s="300">
        <f t="shared" si="151"/>
        <v>0</v>
      </c>
      <c r="J46" s="256">
        <f t="shared" si="151"/>
        <v>0</v>
      </c>
      <c r="K46" s="256">
        <f t="shared" si="151"/>
        <v>0</v>
      </c>
      <c r="L46" s="300">
        <f t="shared" si="151"/>
        <v>0</v>
      </c>
      <c r="M46" s="256">
        <f t="shared" si="151"/>
        <v>0</v>
      </c>
      <c r="N46" s="300">
        <f t="shared" si="151"/>
        <v>0</v>
      </c>
      <c r="O46" s="256">
        <f t="shared" si="151"/>
        <v>0</v>
      </c>
      <c r="P46" s="300">
        <f t="shared" si="151"/>
        <v>0</v>
      </c>
      <c r="Q46" s="256">
        <f t="shared" si="151"/>
        <v>1.386</v>
      </c>
      <c r="R46" s="256">
        <f t="shared" si="151"/>
        <v>0.02339172</v>
      </c>
      <c r="S46" s="256">
        <f t="shared" si="151"/>
        <v>0</v>
      </c>
      <c r="T46" s="256">
        <f t="shared" si="151"/>
        <v>0</v>
      </c>
      <c r="U46" s="256">
        <f t="shared" si="151"/>
        <v>0</v>
      </c>
      <c r="V46" s="256">
        <f t="shared" si="151"/>
        <v>0</v>
      </c>
      <c r="W46" s="256">
        <f t="shared" si="151"/>
        <v>0</v>
      </c>
      <c r="X46" s="256">
        <f t="shared" si="151"/>
        <v>0</v>
      </c>
      <c r="Y46" s="256">
        <f t="shared" si="151"/>
        <v>0</v>
      </c>
      <c r="Z46" s="256">
        <f t="shared" si="151"/>
        <v>0</v>
      </c>
      <c r="AA46" s="256">
        <f t="shared" si="151"/>
        <v>0</v>
      </c>
      <c r="AB46" s="256">
        <f t="shared" si="151"/>
        <v>0</v>
      </c>
      <c r="AC46" s="256">
        <f t="shared" si="151"/>
        <v>0</v>
      </c>
      <c r="AD46" s="256">
        <f t="shared" si="151"/>
        <v>0</v>
      </c>
      <c r="AE46" s="256">
        <f t="shared" si="151"/>
        <v>0</v>
      </c>
      <c r="AF46" s="256">
        <f t="shared" si="151"/>
        <v>0</v>
      </c>
      <c r="AG46" s="256">
        <f t="shared" si="151"/>
        <v>0</v>
      </c>
      <c r="AH46" s="256">
        <f t="shared" si="151"/>
        <v>0</v>
      </c>
      <c r="AI46" s="256">
        <f t="shared" si="151"/>
        <v>0</v>
      </c>
      <c r="AJ46" s="256">
        <f t="shared" si="151"/>
        <v>0</v>
      </c>
      <c r="AK46" s="256">
        <f t="shared" si="151"/>
        <v>0</v>
      </c>
      <c r="AL46" s="256">
        <f t="shared" si="151"/>
        <v>0</v>
      </c>
      <c r="AM46" s="256">
        <f t="shared" si="151"/>
        <v>0</v>
      </c>
      <c r="AN46" s="256">
        <f t="shared" si="151"/>
        <v>0</v>
      </c>
      <c r="AO46" s="256">
        <f t="shared" si="151"/>
        <v>0</v>
      </c>
      <c r="AP46" s="256">
        <f t="shared" si="151"/>
        <v>0</v>
      </c>
      <c r="AQ46" s="256">
        <f t="shared" si="151"/>
        <v>0</v>
      </c>
      <c r="AR46" s="256">
        <f t="shared" si="151"/>
        <v>0</v>
      </c>
      <c r="AS46" s="256">
        <f t="shared" si="151"/>
        <v>0</v>
      </c>
      <c r="AT46" s="256">
        <f t="shared" si="151"/>
        <v>0</v>
      </c>
      <c r="AU46" s="301">
        <f t="shared" si="151"/>
        <v>309987.5364</v>
      </c>
    </row>
    <row r="47" ht="15.75" customHeight="1">
      <c r="B47" s="261"/>
      <c r="C47" s="261"/>
      <c r="D47" s="261"/>
      <c r="E47" s="261"/>
      <c r="F47" s="302"/>
      <c r="G47" s="261"/>
      <c r="H47" s="261"/>
      <c r="I47" s="261"/>
      <c r="J47" s="261"/>
    </row>
    <row r="48" ht="15.75" customHeight="1">
      <c r="B48" s="280" t="s">
        <v>274</v>
      </c>
      <c r="C48" s="280"/>
      <c r="D48" s="280"/>
      <c r="E48" s="280"/>
      <c r="F48" s="280"/>
      <c r="G48" s="280"/>
      <c r="H48" s="280"/>
      <c r="I48" s="280"/>
      <c r="BB48" s="367" t="s">
        <v>298</v>
      </c>
      <c r="BC48" s="12"/>
      <c r="BD48" s="13"/>
    </row>
    <row r="49" ht="15.0" customHeight="1">
      <c r="B49" s="303" t="s">
        <v>275</v>
      </c>
      <c r="C49" s="304"/>
      <c r="D49" s="305"/>
      <c r="E49" s="305"/>
      <c r="F49" s="305"/>
      <c r="G49" s="305"/>
      <c r="H49" s="306"/>
      <c r="I49" s="307">
        <f>0.016*44/28</f>
        <v>0.02514285714</v>
      </c>
      <c r="BB49" s="51"/>
      <c r="BD49" s="30"/>
    </row>
    <row r="50" ht="15.75" customHeight="1">
      <c r="B50" s="308" t="s">
        <v>276</v>
      </c>
      <c r="C50" s="309"/>
      <c r="D50" s="310"/>
      <c r="E50" s="310"/>
      <c r="F50" s="310"/>
      <c r="G50" s="310"/>
      <c r="H50" s="311"/>
      <c r="I50" s="307">
        <f>0.006*44/28</f>
        <v>0.009428571429</v>
      </c>
      <c r="BB50" s="51"/>
      <c r="BD50" s="30"/>
    </row>
    <row r="51" ht="15.75" customHeight="1">
      <c r="B51" s="308" t="s">
        <v>277</v>
      </c>
      <c r="C51" s="309"/>
      <c r="D51" s="310"/>
      <c r="E51" s="310"/>
      <c r="F51" s="310"/>
      <c r="G51" s="310"/>
      <c r="H51" s="311"/>
      <c r="I51" s="307">
        <f>0.01*0.11*44/28</f>
        <v>0.001728571429</v>
      </c>
      <c r="BA51" s="371"/>
      <c r="BB51" s="368" t="str">
        <f>BB44/(SUMPRODUCT(IF('SUIVI RABAIS PRODUCTION ET C '!$AN$21&lt;&gt;"/",'SUIVI RABAIS PRODUCTION ET C '!$AO$21,1),IF('SUIVI RABAIS PRODUCTION ET C '!$J$54&lt;&gt;"/",'SUIVI RABAIS PRODUCTION ET C '!$J$54,1),IF('SUIVI RABAIS PRODUCTION ET C '!$O$64&lt;&gt;"/",'SUIVI RABAIS PRODUCTION ET C '!$O$64,1),IF('SUIVI RABAIS PRODUCTION ET C '!$O$66&lt;&gt;"/",'SUIVI RABAIS PRODUCTION ET C '!$O$66,1)))</f>
        <v>#DIV/0!</v>
      </c>
      <c r="BC51" s="240" t="s">
        <v>299</v>
      </c>
    </row>
    <row r="52" ht="15.75" customHeight="1">
      <c r="B52" s="308" t="s">
        <v>278</v>
      </c>
      <c r="C52" s="309"/>
      <c r="D52" s="310"/>
      <c r="E52" s="310"/>
      <c r="F52" s="310"/>
      <c r="G52" s="310"/>
      <c r="H52" s="311"/>
      <c r="I52" s="307">
        <f>0.01*0.21*44/28</f>
        <v>0.0033</v>
      </c>
      <c r="AZ52" s="372"/>
      <c r="BB52" s="368" t="str">
        <f>BB45/(SUMPRODUCT(IF('SUIVI RABAIS PRODUCTION ET C '!#REF!&lt;&gt;"/",'SUIVI RABAIS PRODUCTION ET C '!#REF!,1),IF('SUIVI RABAIS PRODUCTION ET C '!$J$54&lt;&gt;"/",'SUIVI RABAIS PRODUCTION ET C '!$J$54,1),IF('SUIVI RABAIS PRODUCTION ET C '!$O$64&lt;&gt;"/",'SUIVI RABAIS PRODUCTION ET C '!$O$64,1),IF('SUIVI RABAIS PRODUCTION ET C '!$O$66&lt;&gt;"/",'SUIVI RABAIS PRODUCTION ET C '!$O$66,1)))</f>
        <v>#ERROR!</v>
      </c>
      <c r="BC52" s="240" t="s">
        <v>297</v>
      </c>
    </row>
    <row r="53" ht="15.75" customHeight="1">
      <c r="B53" s="308" t="s">
        <v>279</v>
      </c>
      <c r="C53" s="309"/>
      <c r="D53" s="310"/>
      <c r="E53" s="310"/>
      <c r="F53" s="310"/>
      <c r="G53" s="310"/>
      <c r="H53" s="311"/>
      <c r="I53" s="307">
        <f>0.011*0.24*44/28</f>
        <v>0.004148571429</v>
      </c>
    </row>
    <row r="54" ht="15.75" customHeight="1">
      <c r="B54" s="308" t="s">
        <v>280</v>
      </c>
      <c r="C54" s="309"/>
      <c r="D54" s="309"/>
      <c r="E54" s="309"/>
      <c r="F54" s="310"/>
      <c r="G54" s="310"/>
      <c r="H54" s="311"/>
      <c r="I54" s="307">
        <f>0.12*44/12</f>
        <v>0.44</v>
      </c>
    </row>
    <row r="55" ht="15.75" customHeight="1">
      <c r="B55" s="312" t="s">
        <v>281</v>
      </c>
      <c r="C55" s="313"/>
      <c r="D55" s="313"/>
      <c r="E55" s="313"/>
      <c r="F55" s="314"/>
      <c r="G55" s="314"/>
      <c r="H55" s="315"/>
      <c r="I55" s="307">
        <f>0.13*44/12</f>
        <v>0.4766666667</v>
      </c>
    </row>
    <row r="56" ht="15.75" customHeight="1"/>
    <row r="57" ht="15.75" customHeight="1">
      <c r="B57" s="280" t="s">
        <v>282</v>
      </c>
      <c r="C57" s="185"/>
      <c r="D57" s="185"/>
      <c r="E57" s="185"/>
      <c r="F57" s="185"/>
      <c r="G57" s="185"/>
      <c r="H57" s="185"/>
      <c r="I57" s="185"/>
    </row>
    <row r="58" ht="15.75" customHeight="1">
      <c r="B58" s="316" t="s">
        <v>283</v>
      </c>
      <c r="C58" s="317"/>
      <c r="D58" s="317"/>
      <c r="E58" s="317"/>
      <c r="F58" s="317"/>
      <c r="G58" s="317"/>
      <c r="H58" s="317"/>
      <c r="I58" s="318">
        <v>265.0</v>
      </c>
    </row>
    <row r="59" ht="15.75" customHeight="1"/>
    <row r="60" ht="15.75" customHeight="1">
      <c r="B60" s="280" t="s">
        <v>284</v>
      </c>
      <c r="C60" s="280"/>
      <c r="D60" s="280"/>
      <c r="E60" s="280"/>
      <c r="F60" s="280"/>
      <c r="G60" s="280"/>
      <c r="H60" s="280"/>
      <c r="I60" s="280"/>
    </row>
    <row r="61" ht="15.75" customHeight="1">
      <c r="C61" s="272" t="s">
        <v>164</v>
      </c>
      <c r="D61" s="162"/>
      <c r="E61" s="162"/>
      <c r="F61" s="162"/>
      <c r="G61" s="162"/>
      <c r="H61" s="163"/>
      <c r="I61" s="272" t="s">
        <v>234</v>
      </c>
      <c r="J61" s="162"/>
      <c r="K61" s="162"/>
      <c r="L61" s="162"/>
      <c r="M61" s="162"/>
      <c r="N61" s="162"/>
      <c r="O61" s="162"/>
      <c r="P61" s="162"/>
      <c r="Q61" s="162"/>
      <c r="R61" s="163"/>
    </row>
    <row r="62" ht="14.25" customHeight="1">
      <c r="C62" s="213" t="str">
        <f>BQ5</f>
        <v>Bactériosol concentré</v>
      </c>
      <c r="D62" s="213" t="str">
        <f>BT5</f>
        <v>Bactériosol concentré UAB</v>
      </c>
      <c r="E62" s="213" t="str">
        <f>BW5</f>
        <v>Bactériosol booster 10</v>
      </c>
      <c r="F62" s="213" t="str">
        <f>BZ5</f>
        <v>Bactériosol booster 50</v>
      </c>
      <c r="G62" s="213" t="str">
        <f>CC5</f>
        <v>Bactériolit concentré</v>
      </c>
      <c r="H62" s="213" t="str">
        <f>CF5</f>
        <v>Quaterna Plant</v>
      </c>
      <c r="I62" s="275" t="s">
        <v>109</v>
      </c>
      <c r="J62" s="275" t="s">
        <v>112</v>
      </c>
      <c r="K62" s="275" t="s">
        <v>115</v>
      </c>
      <c r="L62" s="276" t="s">
        <v>117</v>
      </c>
      <c r="M62" s="276" t="s">
        <v>22</v>
      </c>
      <c r="N62" s="276" t="s">
        <v>121</v>
      </c>
      <c r="O62" s="276" t="s">
        <v>123</v>
      </c>
      <c r="P62" s="276" t="s">
        <v>125</v>
      </c>
      <c r="Q62" s="276" t="s">
        <v>126</v>
      </c>
      <c r="R62" s="276" t="s">
        <v>127</v>
      </c>
    </row>
    <row r="63" ht="15.75" customHeight="1">
      <c r="C63" s="196"/>
      <c r="D63" s="196"/>
      <c r="E63" s="196"/>
      <c r="F63" s="196"/>
      <c r="G63" s="196"/>
      <c r="H63" s="196"/>
      <c r="I63" s="211"/>
      <c r="J63" s="211"/>
      <c r="K63" s="211"/>
      <c r="L63" s="196"/>
      <c r="M63" s="196"/>
      <c r="N63" s="196"/>
      <c r="O63" s="196"/>
      <c r="P63" s="196"/>
      <c r="Q63" s="196"/>
      <c r="R63" s="196"/>
    </row>
    <row r="64" ht="15.75" customHeight="1">
      <c r="C64" s="219"/>
      <c r="D64" s="219"/>
      <c r="E64" s="219"/>
      <c r="F64" s="219"/>
      <c r="G64" s="219"/>
      <c r="H64" s="219"/>
      <c r="I64" s="211"/>
      <c r="J64" s="211"/>
      <c r="K64" s="211"/>
      <c r="L64" s="196"/>
      <c r="M64" s="196"/>
      <c r="N64" s="196"/>
      <c r="O64" s="196"/>
      <c r="P64" s="196"/>
      <c r="Q64" s="196"/>
      <c r="R64" s="196"/>
    </row>
    <row r="65" ht="15.75" customHeight="1">
      <c r="B65" s="319" t="s">
        <v>285</v>
      </c>
      <c r="C65" s="373">
        <v>27.0</v>
      </c>
      <c r="D65" s="374">
        <v>22.0</v>
      </c>
      <c r="E65" s="374">
        <v>0.0</v>
      </c>
      <c r="F65" s="374">
        <v>24.0</v>
      </c>
      <c r="G65" s="374">
        <v>0.0</v>
      </c>
      <c r="H65" s="374">
        <v>0.0</v>
      </c>
      <c r="I65" s="240">
        <v>10.1</v>
      </c>
      <c r="J65" s="240">
        <v>13.84</v>
      </c>
      <c r="K65" s="240">
        <v>21.6</v>
      </c>
      <c r="L65" s="240">
        <v>5.09</v>
      </c>
      <c r="M65" s="321">
        <f>(13.07+13.5+14.63+15.38)/4</f>
        <v>14.145</v>
      </c>
      <c r="N65" s="240">
        <v>28.45</v>
      </c>
      <c r="O65" s="240">
        <v>6.9</v>
      </c>
      <c r="P65" s="240">
        <v>27.3</v>
      </c>
      <c r="Q65" s="240">
        <v>5.55</v>
      </c>
      <c r="R65" s="240">
        <v>15.23</v>
      </c>
    </row>
    <row r="66" ht="15.75" customHeight="1"/>
  </sheetData>
  <mergeCells count="232">
    <mergeCell ref="C4:AF4"/>
    <mergeCell ref="C5:E5"/>
    <mergeCell ref="F5:H5"/>
    <mergeCell ref="I5:K5"/>
    <mergeCell ref="L5:N5"/>
    <mergeCell ref="O5:Q5"/>
    <mergeCell ref="R5:T5"/>
    <mergeCell ref="W17:Z17"/>
    <mergeCell ref="AA17:AD17"/>
    <mergeCell ref="AE17:AH17"/>
    <mergeCell ref="AI17:AL17"/>
    <mergeCell ref="AM17:AP17"/>
    <mergeCell ref="AQ17:AQ18"/>
    <mergeCell ref="AO27:AO30"/>
    <mergeCell ref="AP27:AP30"/>
    <mergeCell ref="AM28:AM30"/>
    <mergeCell ref="AN28:AN30"/>
    <mergeCell ref="U5:W5"/>
    <mergeCell ref="X5:Z5"/>
    <mergeCell ref="B14:B18"/>
    <mergeCell ref="C16:Z16"/>
    <mergeCell ref="AA16:AH16"/>
    <mergeCell ref="AI16:AP16"/>
    <mergeCell ref="C17:F17"/>
    <mergeCell ref="Z28:Z30"/>
    <mergeCell ref="AA28:AA30"/>
    <mergeCell ref="AI28:AI30"/>
    <mergeCell ref="AJ28:AJ30"/>
    <mergeCell ref="AK28:AK30"/>
    <mergeCell ref="AL28:AL30"/>
    <mergeCell ref="AB28:AB30"/>
    <mergeCell ref="AC28:AC30"/>
    <mergeCell ref="AD28:AD30"/>
    <mergeCell ref="AE28:AE30"/>
    <mergeCell ref="AF28:AF30"/>
    <mergeCell ref="AG28:AG30"/>
    <mergeCell ref="AH28:AH30"/>
    <mergeCell ref="N29:N30"/>
    <mergeCell ref="O29:O30"/>
    <mergeCell ref="P29:P30"/>
    <mergeCell ref="Q29:Q30"/>
    <mergeCell ref="O39:Z39"/>
    <mergeCell ref="AA39:AT39"/>
    <mergeCell ref="AU39:AU40"/>
    <mergeCell ref="AV39:AV40"/>
    <mergeCell ref="AX41:AZ43"/>
    <mergeCell ref="C62:C64"/>
    <mergeCell ref="D62:D64"/>
    <mergeCell ref="E62:E64"/>
    <mergeCell ref="F62:F64"/>
    <mergeCell ref="G62:G64"/>
    <mergeCell ref="H62:H64"/>
    <mergeCell ref="I62:I64"/>
    <mergeCell ref="Q62:Q64"/>
    <mergeCell ref="R62:R64"/>
    <mergeCell ref="J62:J64"/>
    <mergeCell ref="K62:K64"/>
    <mergeCell ref="L62:L64"/>
    <mergeCell ref="M62:M64"/>
    <mergeCell ref="N62:N64"/>
    <mergeCell ref="O62:O64"/>
    <mergeCell ref="P62:P64"/>
    <mergeCell ref="C28:L28"/>
    <mergeCell ref="M28:Q28"/>
    <mergeCell ref="R28:S28"/>
    <mergeCell ref="T28:T30"/>
    <mergeCell ref="R29:R30"/>
    <mergeCell ref="S29:S30"/>
    <mergeCell ref="U28:U30"/>
    <mergeCell ref="V28:V30"/>
    <mergeCell ref="K29:L29"/>
    <mergeCell ref="M29:M30"/>
    <mergeCell ref="K39:N39"/>
    <mergeCell ref="O17:R17"/>
    <mergeCell ref="S17:V17"/>
    <mergeCell ref="F19:F23"/>
    <mergeCell ref="J19:J23"/>
    <mergeCell ref="N19:N23"/>
    <mergeCell ref="R19:R23"/>
    <mergeCell ref="B27:B30"/>
    <mergeCell ref="BB41:BD43"/>
    <mergeCell ref="BB48:BD50"/>
    <mergeCell ref="C29:H29"/>
    <mergeCell ref="I29:J29"/>
    <mergeCell ref="B39:B40"/>
    <mergeCell ref="C39:F39"/>
    <mergeCell ref="G39:J39"/>
    <mergeCell ref="C61:H61"/>
    <mergeCell ref="I61:R61"/>
    <mergeCell ref="AY5:BA5"/>
    <mergeCell ref="BB5:BD5"/>
    <mergeCell ref="BE5:BG5"/>
    <mergeCell ref="BH5:BJ5"/>
    <mergeCell ref="BK5:BM5"/>
    <mergeCell ref="BN5:BP5"/>
    <mergeCell ref="BQ5:BS5"/>
    <mergeCell ref="AA5:AC5"/>
    <mergeCell ref="AD5:AF5"/>
    <mergeCell ref="AG5:AI5"/>
    <mergeCell ref="AM5:AO5"/>
    <mergeCell ref="AP5:AR5"/>
    <mergeCell ref="AS5:AU5"/>
    <mergeCell ref="AV5:AX5"/>
    <mergeCell ref="DU15:DV17"/>
    <mergeCell ref="DW15:DX17"/>
    <mergeCell ref="DG15:DH17"/>
    <mergeCell ref="DI15:DJ17"/>
    <mergeCell ref="DK15:DL17"/>
    <mergeCell ref="DM15:DN17"/>
    <mergeCell ref="DO15:DP17"/>
    <mergeCell ref="DQ15:DR17"/>
    <mergeCell ref="DS15:DT17"/>
    <mergeCell ref="BB4:BD4"/>
    <mergeCell ref="BE4:BP4"/>
    <mergeCell ref="CI4:DL4"/>
    <mergeCell ref="B1:CH2"/>
    <mergeCell ref="BP3:BS3"/>
    <mergeCell ref="CJ3:CM3"/>
    <mergeCell ref="AG4:AU4"/>
    <mergeCell ref="AV4:AX4"/>
    <mergeCell ref="AY4:BA4"/>
    <mergeCell ref="BQ4:CH4"/>
    <mergeCell ref="CO5:CQ5"/>
    <mergeCell ref="CR5:CT5"/>
    <mergeCell ref="CU5:CW5"/>
    <mergeCell ref="CX5:CZ5"/>
    <mergeCell ref="DA5:DC5"/>
    <mergeCell ref="DD5:DF5"/>
    <mergeCell ref="DG5:DI5"/>
    <mergeCell ref="DJ5:DL5"/>
    <mergeCell ref="BT5:BV5"/>
    <mergeCell ref="BW5:BY5"/>
    <mergeCell ref="BZ5:CB5"/>
    <mergeCell ref="CC5:CE5"/>
    <mergeCell ref="CF5:CH5"/>
    <mergeCell ref="CI5:CK5"/>
    <mergeCell ref="CL5:CN5"/>
    <mergeCell ref="DY15:DZ17"/>
    <mergeCell ref="EA15:EB17"/>
    <mergeCell ref="EC15:ED17"/>
    <mergeCell ref="EE15:EF17"/>
    <mergeCell ref="EG15:EH17"/>
    <mergeCell ref="B13:CX13"/>
    <mergeCell ref="C14:BR14"/>
    <mergeCell ref="CK14:CL14"/>
    <mergeCell ref="CM14:DB14"/>
    <mergeCell ref="DC14:DN14"/>
    <mergeCell ref="DO14:EH14"/>
    <mergeCell ref="C15:AP15"/>
    <mergeCell ref="G17:J17"/>
    <mergeCell ref="K17:N17"/>
    <mergeCell ref="BX17:BZ17"/>
    <mergeCell ref="CB17:CD17"/>
    <mergeCell ref="BQ15:CJ15"/>
    <mergeCell ref="CK15:CL17"/>
    <mergeCell ref="CM15:CP17"/>
    <mergeCell ref="CQ15:CT17"/>
    <mergeCell ref="CU15:CX17"/>
    <mergeCell ref="CY15:DB17"/>
    <mergeCell ref="CA16:CJ16"/>
    <mergeCell ref="DC15:DD17"/>
    <mergeCell ref="DE15:DF17"/>
    <mergeCell ref="AQ16:AW16"/>
    <mergeCell ref="AX16:BA16"/>
    <mergeCell ref="AX17:AX18"/>
    <mergeCell ref="AY17:BA17"/>
    <mergeCell ref="BB17:BB18"/>
    <mergeCell ref="BI17:BI18"/>
    <mergeCell ref="BM17:BM18"/>
    <mergeCell ref="BQ17:BQ18"/>
    <mergeCell ref="BB16:BH16"/>
    <mergeCell ref="BI16:BL16"/>
    <mergeCell ref="BM16:BP16"/>
    <mergeCell ref="BQ16:BZ16"/>
    <mergeCell ref="AQ15:BP15"/>
    <mergeCell ref="AR17:AT17"/>
    <mergeCell ref="AU17:AW17"/>
    <mergeCell ref="BC17:BE17"/>
    <mergeCell ref="BF17:BH17"/>
    <mergeCell ref="BJ17:BL17"/>
    <mergeCell ref="BN17:BP17"/>
    <mergeCell ref="BR17:BT17"/>
    <mergeCell ref="BU17:BW17"/>
    <mergeCell ref="CA17:CA18"/>
    <mergeCell ref="CE17:CG17"/>
    <mergeCell ref="CH17:CJ17"/>
    <mergeCell ref="BA19:BA23"/>
    <mergeCell ref="BE19:BE23"/>
    <mergeCell ref="BH19:BH23"/>
    <mergeCell ref="BL19:BL23"/>
    <mergeCell ref="BP19:BP23"/>
    <mergeCell ref="BT19:BT23"/>
    <mergeCell ref="BW19:BW23"/>
    <mergeCell ref="BZ19:BZ23"/>
    <mergeCell ref="CD19:CD23"/>
    <mergeCell ref="CG19:CG23"/>
    <mergeCell ref="CJ19:CJ23"/>
    <mergeCell ref="CL19:CL23"/>
    <mergeCell ref="CP19:CP23"/>
    <mergeCell ref="CT19:CT23"/>
    <mergeCell ref="CX19:CX23"/>
    <mergeCell ref="DB19:DB23"/>
    <mergeCell ref="DD19:DD23"/>
    <mergeCell ref="DF19:DF23"/>
    <mergeCell ref="DH19:DH23"/>
    <mergeCell ref="DJ19:DJ23"/>
    <mergeCell ref="DL19:DL23"/>
    <mergeCell ref="EB19:EB23"/>
    <mergeCell ref="ED19:ED23"/>
    <mergeCell ref="EF19:EF23"/>
    <mergeCell ref="EH19:EH23"/>
    <mergeCell ref="DN19:DN23"/>
    <mergeCell ref="DP19:DP23"/>
    <mergeCell ref="DR19:DR23"/>
    <mergeCell ref="DT19:DT23"/>
    <mergeCell ref="DV19:DV23"/>
    <mergeCell ref="DX19:DX23"/>
    <mergeCell ref="DZ19:DZ23"/>
    <mergeCell ref="Z19:Z23"/>
    <mergeCell ref="AD19:AD23"/>
    <mergeCell ref="AH19:AH23"/>
    <mergeCell ref="AL19:AL23"/>
    <mergeCell ref="AP19:AP23"/>
    <mergeCell ref="AT19:AT23"/>
    <mergeCell ref="AW19:AW23"/>
    <mergeCell ref="V19:V23"/>
    <mergeCell ref="U27:X27"/>
    <mergeCell ref="Y27:AD27"/>
    <mergeCell ref="AE27:AN27"/>
    <mergeCell ref="W28:W30"/>
    <mergeCell ref="X28:X30"/>
    <mergeCell ref="Y28:Y30"/>
  </mergeCells>
  <printOptions/>
  <pageMargins bottom="0.75" footer="0.0" header="0.0" left="0.25" right="0.25" top="0.75"/>
  <pageSetup fitToWidth="0"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min="3" max="3" width="14.86"/>
    <col customWidth="1" min="4" max="4" width="17.29"/>
    <col customWidth="1" min="5" max="5" width="17.0"/>
    <col customWidth="1" min="6" max="6" width="19.71"/>
    <col customWidth="1" min="7" max="7" width="21.14"/>
    <col customWidth="1" min="8" max="8" width="7.71"/>
    <col customWidth="1" min="9" max="9" width="12.29"/>
    <col customWidth="1" min="10" max="11" width="19.29"/>
    <col customWidth="1" min="12" max="12" width="12.0"/>
    <col customWidth="1" min="13" max="13" width="11.43"/>
    <col customWidth="1" min="14" max="14" width="11.57"/>
    <col customWidth="1" min="15" max="15" width="12.43"/>
    <col customWidth="1" min="16" max="16" width="11.57"/>
    <col customWidth="1" min="17" max="17" width="18.57"/>
    <col customWidth="1" min="18" max="18" width="16.0"/>
    <col customWidth="1" min="19" max="20" width="11.57"/>
    <col customWidth="1" min="21" max="21" width="18.0"/>
    <col customWidth="1" min="22" max="26" width="11.57"/>
    <col customWidth="1" min="27" max="28" width="11.71"/>
  </cols>
  <sheetData>
    <row r="1" ht="15.0" customHeight="1">
      <c r="B1" s="145" t="s">
        <v>300</v>
      </c>
    </row>
    <row r="2" ht="15.0" customHeight="1"/>
    <row r="4" ht="15.0" customHeight="1">
      <c r="B4" s="375" t="s">
        <v>301</v>
      </c>
    </row>
    <row r="5">
      <c r="B5" s="113" t="s">
        <v>302</v>
      </c>
    </row>
    <row r="6">
      <c r="B6" s="376" t="s">
        <v>303</v>
      </c>
    </row>
    <row r="7">
      <c r="B7" s="376"/>
      <c r="C7" s="376"/>
      <c r="D7" s="376"/>
      <c r="E7" s="376"/>
    </row>
    <row r="8">
      <c r="B8" s="144" t="s">
        <v>304</v>
      </c>
    </row>
    <row r="9">
      <c r="C9" s="377" t="s">
        <v>305</v>
      </c>
      <c r="D9" s="378"/>
      <c r="E9" s="379" t="str">
        <f>IF(DONNEES!$B$71="Spécifique","O","N")</f>
        <v>O</v>
      </c>
      <c r="F9" s="377" t="s">
        <v>306</v>
      </c>
      <c r="G9" s="379" t="str">
        <f>IF(DONNEES!$B$71="Générique","O","N")</f>
        <v>N</v>
      </c>
      <c r="H9" s="376"/>
      <c r="I9" s="376"/>
    </row>
    <row r="10">
      <c r="B10" s="144"/>
      <c r="C10" s="376"/>
      <c r="E10" s="144"/>
      <c r="F10" s="376"/>
      <c r="G10" s="376"/>
      <c r="H10" s="376"/>
      <c r="I10" s="376"/>
    </row>
    <row r="11" ht="59.25" customHeight="1">
      <c r="E11" s="274" t="s">
        <v>307</v>
      </c>
      <c r="F11" s="380" t="str">
        <f>IF(E9="O", "IFT herbicide exploitation", "IFT herbicide référence régionale")</f>
        <v>IFT herbicide exploitation</v>
      </c>
      <c r="G11" s="381" t="str">
        <f>IF(E9="O", "IFT hors herbicide exploitation", "IFT hors herbicide référence régionale")</f>
        <v>IFT hors herbicide exploitation</v>
      </c>
      <c r="H11" s="274"/>
      <c r="I11" s="274" t="s">
        <v>307</v>
      </c>
      <c r="J11" s="380" t="s">
        <v>308</v>
      </c>
      <c r="K11" s="381" t="s">
        <v>309</v>
      </c>
      <c r="S11" s="141"/>
    </row>
    <row r="12">
      <c r="E12" s="166" t="s">
        <v>177</v>
      </c>
      <c r="F12" s="382">
        <f>DONNEES!D72</f>
        <v>1.78</v>
      </c>
      <c r="G12" s="382">
        <f>DONNEES!F72</f>
        <v>2.82</v>
      </c>
      <c r="I12" s="166" t="s">
        <v>288</v>
      </c>
      <c r="J12" s="383">
        <f>DONNEES!D77</f>
        <v>0</v>
      </c>
      <c r="K12" s="383">
        <f>DONNEES!F77</f>
        <v>0</v>
      </c>
      <c r="L12" s="143"/>
      <c r="M12" s="384" t="s">
        <v>310</v>
      </c>
      <c r="N12" s="385"/>
      <c r="O12" s="385"/>
      <c r="P12" s="386">
        <f>IF(AND(F17=0,J17=0),"/",IF(AND(J17&lt;&gt;0,F17=0),1,(J17-F17)/F17))</f>
        <v>-1</v>
      </c>
      <c r="Q12" s="387"/>
      <c r="R12" s="143"/>
      <c r="S12" s="388"/>
    </row>
    <row r="13">
      <c r="E13" s="166" t="s">
        <v>178</v>
      </c>
      <c r="F13" s="382">
        <f>DONNEES!D73</f>
        <v>1.84</v>
      </c>
      <c r="G13" s="382">
        <f>DONNEES!F73</f>
        <v>2.37</v>
      </c>
      <c r="I13" s="166" t="s">
        <v>289</v>
      </c>
      <c r="J13" s="383">
        <f>DONNEES!D78</f>
        <v>0</v>
      </c>
      <c r="K13" s="383">
        <f>DONNEES!F78</f>
        <v>0</v>
      </c>
      <c r="M13" s="389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390"/>
      <c r="O13" s="390"/>
      <c r="P13" s="390"/>
      <c r="Q13" s="391"/>
    </row>
    <row r="14">
      <c r="E14" s="166" t="s">
        <v>179</v>
      </c>
      <c r="F14" s="382">
        <f>DONNEES!D74</f>
        <v>1.73</v>
      </c>
      <c r="G14" s="382">
        <f>DONNEES!F74</f>
        <v>2.01</v>
      </c>
      <c r="I14" s="166" t="s">
        <v>290</v>
      </c>
      <c r="J14" s="383">
        <f>DONNEES!D79</f>
        <v>0</v>
      </c>
      <c r="K14" s="383">
        <f>DONNEES!F79</f>
        <v>0</v>
      </c>
      <c r="U14" s="388"/>
    </row>
    <row r="15">
      <c r="E15" s="166" t="s">
        <v>180</v>
      </c>
      <c r="F15" s="382">
        <f>DONNEES!D75</f>
        <v>1.77</v>
      </c>
      <c r="G15" s="382">
        <f>DONNEES!F75</f>
        <v>1.53</v>
      </c>
      <c r="I15" s="166" t="s">
        <v>291</v>
      </c>
      <c r="J15" s="383">
        <f>DONNEES!D80</f>
        <v>0</v>
      </c>
      <c r="K15" s="383">
        <f>DONNEES!F80</f>
        <v>0</v>
      </c>
      <c r="M15" s="392" t="s">
        <v>311</v>
      </c>
      <c r="N15" s="393"/>
      <c r="O15" s="393"/>
      <c r="P15" s="394">
        <f>IF(AND(G17=0,K17=0),"/",IF(AND(K17&lt;&gt;0,G17=0),1,(K17-G17)/G17))</f>
        <v>-1</v>
      </c>
      <c r="Q15" s="395"/>
    </row>
    <row r="16">
      <c r="E16" s="166" t="s">
        <v>181</v>
      </c>
      <c r="F16" s="382">
        <f>DONNEES!D76</f>
        <v>0</v>
      </c>
      <c r="G16" s="382">
        <f>DONNEES!F76</f>
        <v>0</v>
      </c>
      <c r="I16" s="166" t="s">
        <v>292</v>
      </c>
      <c r="J16" s="383">
        <f>DONNEES!D81</f>
        <v>0</v>
      </c>
      <c r="K16" s="383">
        <f>DONNEES!F81</f>
        <v>0</v>
      </c>
      <c r="M16" s="396" t="str">
        <f>IF(P15="/","Ni rabais ni bonus",IF(AND(E9="O",P15&lt;=-0.2),"les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397"/>
      <c r="O16" s="397"/>
      <c r="P16" s="397"/>
      <c r="Q16" s="387"/>
    </row>
    <row r="17" ht="66.0" customHeight="1">
      <c r="E17" s="398" t="s">
        <v>312</v>
      </c>
      <c r="F17" s="399">
        <f t="shared" ref="F17:G17" si="1">TRIMMEAN(F12:F16,0.5)</f>
        <v>1.76</v>
      </c>
      <c r="G17" s="399">
        <f t="shared" si="1"/>
        <v>1.97</v>
      </c>
      <c r="I17" s="398" t="s">
        <v>313</v>
      </c>
      <c r="J17" s="399">
        <f t="shared" ref="J17:K17" si="2">TRIMMEAN(J12:J16,0.5)</f>
        <v>0</v>
      </c>
      <c r="K17" s="399">
        <f t="shared" si="2"/>
        <v>0</v>
      </c>
    </row>
    <row r="18">
      <c r="E18" s="400"/>
      <c r="F18" s="261"/>
      <c r="G18" s="261"/>
      <c r="I18" s="400"/>
      <c r="J18" s="261"/>
      <c r="K18" s="261"/>
      <c r="M18" s="401" t="s">
        <v>314</v>
      </c>
      <c r="N18" s="402"/>
      <c r="O18" s="402"/>
      <c r="P18" s="402"/>
      <c r="Q18" s="402"/>
      <c r="R18" s="403">
        <f>IF(P12&lt;0,ROUNDDOWN(-(P12-(-IF(E9="O",0.1,0.2)))/0.05,0),0)</f>
        <v>18</v>
      </c>
      <c r="S18" s="404"/>
    </row>
    <row r="19">
      <c r="B19" s="375" t="s">
        <v>315</v>
      </c>
      <c r="M19" s="405" t="s">
        <v>316</v>
      </c>
      <c r="N19" s="406"/>
      <c r="O19" s="406"/>
      <c r="P19" s="406"/>
      <c r="Q19" s="406"/>
      <c r="R19" s="403">
        <f>IF(P15&lt;0,ROUNDDOWN(-(P15-(-IF(E9="O",0.3,0.5)))/0.05,0),0)</f>
        <v>14</v>
      </c>
    </row>
    <row r="20" ht="31.5" customHeight="1">
      <c r="B20" s="375"/>
      <c r="E20" s="274" t="s">
        <v>307</v>
      </c>
      <c r="F20" s="407" t="s">
        <v>317</v>
      </c>
      <c r="I20" s="274" t="s">
        <v>307</v>
      </c>
      <c r="J20" s="407" t="s">
        <v>317</v>
      </c>
      <c r="K20" s="408"/>
    </row>
    <row r="21" ht="15.75" customHeight="1">
      <c r="B21" s="375"/>
      <c r="E21" s="166" t="s">
        <v>177</v>
      </c>
      <c r="F21" s="409">
        <f>DONNEES!I72</f>
        <v>0</v>
      </c>
      <c r="I21" s="166" t="s">
        <v>288</v>
      </c>
      <c r="J21" s="410">
        <f>DONNEES!I77</f>
        <v>0</v>
      </c>
      <c r="K21" s="274"/>
      <c r="L21" s="411" t="s">
        <v>318</v>
      </c>
      <c r="M21" s="385"/>
      <c r="N21" s="385"/>
      <c r="O21" s="412"/>
      <c r="P21" s="413" t="str">
        <f>IF(AND(F26=0,J26=0),"/",-(F26-J26)/F26)</f>
        <v>/</v>
      </c>
      <c r="Q21" s="414"/>
    </row>
    <row r="22" ht="15.75" customHeight="1">
      <c r="B22" s="375"/>
      <c r="E22" s="166" t="s">
        <v>178</v>
      </c>
      <c r="F22" s="409">
        <f>DONNEES!I73</f>
        <v>0</v>
      </c>
      <c r="I22" s="166" t="s">
        <v>289</v>
      </c>
      <c r="J22" s="410">
        <f>DONNEES!I78</f>
        <v>0</v>
      </c>
      <c r="K22" s="274"/>
      <c r="L22" s="389" t="str">
        <f>IF(P21="/","Ni rabais ni bonus",IF((F26-J26)/F26&gt;=0.3,"le co-bénéfice préservation de la ressource en eau est effectif","le co-bénéfice préservation de la ressource en eau n'est pas effectif"))</f>
        <v>Ni rabais ni bonus</v>
      </c>
      <c r="M22" s="390"/>
      <c r="N22" s="390"/>
      <c r="O22" s="390"/>
      <c r="P22" s="390"/>
      <c r="Q22" s="391"/>
    </row>
    <row r="23" ht="15.75" customHeight="1">
      <c r="B23" s="375"/>
      <c r="E23" s="166" t="s">
        <v>179</v>
      </c>
      <c r="F23" s="409">
        <f>DONNEES!I74</f>
        <v>0</v>
      </c>
      <c r="I23" s="166" t="s">
        <v>290</v>
      </c>
      <c r="J23" s="410">
        <f>DONNEES!I79</f>
        <v>0</v>
      </c>
      <c r="K23" s="274"/>
      <c r="L23" s="415"/>
      <c r="M23" s="415"/>
      <c r="N23" s="415"/>
      <c r="O23" s="415"/>
      <c r="P23" s="415"/>
    </row>
    <row r="24" ht="15.75" customHeight="1">
      <c r="B24" s="375"/>
      <c r="E24" s="166" t="s">
        <v>180</v>
      </c>
      <c r="F24" s="409">
        <f>DONNEES!I75</f>
        <v>0</v>
      </c>
      <c r="I24" s="166" t="s">
        <v>291</v>
      </c>
      <c r="J24" s="410">
        <f>DONNEES!I80</f>
        <v>0</v>
      </c>
      <c r="K24" s="274"/>
      <c r="Q24" s="267"/>
    </row>
    <row r="25" ht="15.75" customHeight="1">
      <c r="B25" s="375"/>
      <c r="E25" s="166" t="s">
        <v>181</v>
      </c>
      <c r="F25" s="409">
        <f>DONNEES!I76</f>
        <v>0</v>
      </c>
      <c r="I25" s="166" t="s">
        <v>292</v>
      </c>
      <c r="J25" s="410">
        <f>DONNEES!I81</f>
        <v>0</v>
      </c>
      <c r="K25" s="274"/>
      <c r="M25" s="139"/>
      <c r="N25" s="139"/>
      <c r="O25" s="139"/>
    </row>
    <row r="26" ht="44.25" customHeight="1">
      <c r="B26" s="375"/>
      <c r="E26" s="416" t="s">
        <v>319</v>
      </c>
      <c r="F26" s="417">
        <f>SUM(F21:F25)</f>
        <v>0</v>
      </c>
      <c r="I26" s="416" t="s">
        <v>319</v>
      </c>
      <c r="J26" s="417">
        <f>SUM(J21:J25)</f>
        <v>0</v>
      </c>
      <c r="K26" s="261"/>
      <c r="L26" s="418" t="s">
        <v>320</v>
      </c>
      <c r="M26" s="385"/>
      <c r="N26" s="385"/>
      <c r="O26" s="412"/>
      <c r="P26" s="419">
        <f>IF(P21&lt;0,ROUNDDOWN((-P21-0.3)/0.1,0),0)</f>
        <v>0</v>
      </c>
      <c r="Q26" s="120"/>
    </row>
    <row r="27" ht="15.75" customHeight="1"/>
    <row r="28" ht="15.75" customHeight="1">
      <c r="B28" s="375" t="s">
        <v>321</v>
      </c>
    </row>
    <row r="29" ht="15.75" customHeight="1"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</row>
    <row r="30" ht="15.75" customHeight="1">
      <c r="B30" s="120"/>
      <c r="C30" s="120"/>
      <c r="D30" s="420" t="s">
        <v>322</v>
      </c>
      <c r="E30" s="149"/>
      <c r="F30" s="149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</row>
    <row r="31" ht="15.75" customHeight="1"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421"/>
      <c r="M31" s="421"/>
      <c r="N31" s="421"/>
      <c r="O31" s="421"/>
      <c r="P31" s="421"/>
      <c r="Q31" s="143"/>
      <c r="R31" s="136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</row>
  </sheetData>
  <mergeCells count="7">
    <mergeCell ref="B1:K2"/>
    <mergeCell ref="B6:E6"/>
    <mergeCell ref="M12:O12"/>
    <mergeCell ref="M15:O15"/>
    <mergeCell ref="L21:O21"/>
    <mergeCell ref="L26:O26"/>
    <mergeCell ref="D30:F30"/>
  </mergeCells>
  <conditionalFormatting sqref="P26">
    <cfRule type="expression" dxfId="1" priority="1">
      <formula>"&gt;=1"</formula>
    </cfRule>
  </conditionalFormatting>
  <hyperlinks>
    <hyperlink r:id="rId1" ref="B6"/>
  </hyperlinks>
  <printOptions/>
  <pageMargins bottom="0.75" footer="0.0" header="0.0" left="0.7" right="0.7" top="0.75"/>
  <pageSetup paperSize="9" orientation="portrait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39" width="16.71"/>
    <col customWidth="1" min="40" max="41" width="28.43"/>
    <col customWidth="1" min="42" max="42" width="16.71"/>
  </cols>
  <sheetData>
    <row r="1" ht="15.0" customHeight="1">
      <c r="B1" s="145" t="s">
        <v>323</v>
      </c>
      <c r="L1" s="145"/>
    </row>
    <row r="2" ht="15.0" customHeight="1">
      <c r="L2" s="145"/>
    </row>
    <row r="3">
      <c r="A3" s="133"/>
      <c r="B3" s="133"/>
      <c r="C3" s="133"/>
      <c r="D3" s="133"/>
      <c r="E3" s="133"/>
      <c r="F3" s="133"/>
      <c r="G3" s="133"/>
      <c r="I3" s="133"/>
      <c r="R3" s="274"/>
      <c r="Y3" s="133"/>
    </row>
    <row r="4">
      <c r="B4" s="274"/>
      <c r="F4" s="160"/>
    </row>
    <row r="5" ht="24.0" customHeight="1">
      <c r="B5" s="422" t="s">
        <v>324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</row>
    <row r="7">
      <c r="B7" s="423" t="s">
        <v>325</v>
      </c>
      <c r="C7" s="424"/>
      <c r="D7" s="424"/>
      <c r="E7" s="424"/>
      <c r="F7" s="424"/>
      <c r="G7" s="424"/>
      <c r="H7" s="424"/>
      <c r="M7" s="425" t="s">
        <v>326</v>
      </c>
      <c r="N7" s="426"/>
      <c r="O7" s="426"/>
      <c r="P7" s="426"/>
      <c r="Q7" s="426"/>
      <c r="R7" s="426"/>
      <c r="S7" s="426"/>
    </row>
    <row r="8" ht="25.5" customHeight="1">
      <c r="C8" s="427" t="s">
        <v>307</v>
      </c>
      <c r="D8" s="166" t="s">
        <v>177</v>
      </c>
      <c r="E8" s="166" t="s">
        <v>178</v>
      </c>
      <c r="F8" s="166" t="s">
        <v>179</v>
      </c>
      <c r="G8" s="166" t="s">
        <v>180</v>
      </c>
      <c r="H8" s="166" t="s">
        <v>181</v>
      </c>
      <c r="N8" s="427" t="s">
        <v>307</v>
      </c>
      <c r="O8" s="166" t="s">
        <v>288</v>
      </c>
      <c r="P8" s="166" t="s">
        <v>289</v>
      </c>
      <c r="Q8" s="166" t="s">
        <v>290</v>
      </c>
      <c r="R8" s="166" t="s">
        <v>291</v>
      </c>
      <c r="S8" s="166" t="s">
        <v>292</v>
      </c>
    </row>
    <row r="9">
      <c r="C9" s="428" t="s">
        <v>327</v>
      </c>
      <c r="D9" s="429">
        <f t="array" ref="D9:H9">TRANSPOSE(DONNEES!$D$57:$D$61)</f>
        <v>323</v>
      </c>
      <c r="E9" s="429">
        <v>323.0</v>
      </c>
      <c r="F9" s="429">
        <v>333.0</v>
      </c>
      <c r="G9" s="429">
        <v>333.0</v>
      </c>
      <c r="H9" s="429">
        <v>333.0</v>
      </c>
      <c r="N9" s="427" t="s">
        <v>327</v>
      </c>
      <c r="O9" s="429">
        <f t="array" ref="O9:S9">TRANSPOSE(DONNEES!$D$62:$D$66)</f>
        <v>333</v>
      </c>
      <c r="P9" s="429">
        <v>333.0</v>
      </c>
      <c r="Q9" s="429">
        <v>333.0</v>
      </c>
      <c r="R9" s="429">
        <v>333.0</v>
      </c>
      <c r="S9" s="429">
        <v>333.0</v>
      </c>
    </row>
    <row r="10">
      <c r="C10" s="428" t="s">
        <v>328</v>
      </c>
      <c r="D10" s="429" t="str">
        <f t="array" ref="D10:H10">TRANSPOSE(DONNEES!$H$57:$H$61)</f>
        <v/>
      </c>
      <c r="E10" s="429"/>
      <c r="F10" s="429"/>
      <c r="G10" s="429"/>
      <c r="H10" s="429"/>
      <c r="N10" s="427" t="s">
        <v>328</v>
      </c>
      <c r="O10" s="429" t="str">
        <f t="array" ref="O10:S10">TRANSPOSE(DONNEES!$H$62:$H$66)</f>
        <v/>
      </c>
      <c r="P10" s="429"/>
      <c r="Q10" s="429"/>
      <c r="R10" s="429"/>
      <c r="S10" s="429"/>
    </row>
    <row r="11" ht="29.25" customHeight="1"/>
    <row r="12" ht="29.25" customHeight="1"/>
    <row r="13" ht="28.5" customHeight="1">
      <c r="B13" s="422" t="s">
        <v>329</v>
      </c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</row>
    <row r="14" ht="23.25" customHeight="1"/>
    <row r="15" ht="25.5" customHeight="1">
      <c r="C15" s="427" t="s">
        <v>307</v>
      </c>
      <c r="D15" s="166" t="s">
        <v>177</v>
      </c>
      <c r="E15" s="166" t="s">
        <v>178</v>
      </c>
      <c r="F15" s="166" t="s">
        <v>179</v>
      </c>
      <c r="G15" s="166" t="s">
        <v>180</v>
      </c>
      <c r="H15" s="166" t="s">
        <v>181</v>
      </c>
      <c r="N15" s="427" t="s">
        <v>307</v>
      </c>
      <c r="O15" s="166" t="s">
        <v>288</v>
      </c>
      <c r="P15" s="166" t="s">
        <v>289</v>
      </c>
      <c r="Q15" s="166" t="s">
        <v>290</v>
      </c>
      <c r="R15" s="166" t="s">
        <v>291</v>
      </c>
      <c r="S15" s="166" t="s">
        <v>292</v>
      </c>
    </row>
    <row r="16">
      <c r="C16" s="428" t="s">
        <v>45</v>
      </c>
      <c r="D16" s="429" t="str">
        <f t="array" ref="D16:H16">TRANSPOSE(DONNEES!$I$57:$I$61)</f>
        <v/>
      </c>
      <c r="E16" s="429"/>
      <c r="F16" s="429"/>
      <c r="G16" s="429"/>
      <c r="H16" s="429"/>
      <c r="N16" s="427" t="s">
        <v>45</v>
      </c>
      <c r="O16" s="429" t="str">
        <f t="array" ref="O16:S16">TRANSPOSE(DONNEES!$I$62:$I$66)</f>
        <v/>
      </c>
      <c r="P16" s="429"/>
      <c r="Q16" s="429"/>
      <c r="R16" s="429"/>
      <c r="S16" s="429"/>
    </row>
    <row r="17">
      <c r="C17" s="428" t="s">
        <v>330</v>
      </c>
      <c r="D17" s="429" t="str">
        <f t="array" ref="D17:H17">TRANSPOSE(DONNEES!$J$57:$J$61)</f>
        <v/>
      </c>
      <c r="E17" s="429"/>
      <c r="F17" s="429"/>
      <c r="G17" s="429"/>
      <c r="H17" s="429"/>
      <c r="N17" s="428" t="s">
        <v>330</v>
      </c>
      <c r="O17" s="429" t="str">
        <f t="array" ref="O17:S17">TRANSPOSE(DONNEES!$J$62:$J$66)</f>
        <v/>
      </c>
      <c r="P17" s="429"/>
      <c r="Q17" s="429"/>
      <c r="R17" s="429"/>
      <c r="S17" s="429"/>
    </row>
    <row r="18">
      <c r="C18" s="428" t="s">
        <v>331</v>
      </c>
      <c r="D18" s="429" t="str">
        <f t="array" ref="D18:H18">TRANSPOSE(DONNEES!$K$57:$K$61)</f>
        <v/>
      </c>
      <c r="E18" s="430"/>
      <c r="F18" s="430"/>
      <c r="G18" s="430"/>
      <c r="H18" s="430"/>
      <c r="I18" s="431" t="s">
        <v>332</v>
      </c>
      <c r="N18" s="428" t="s">
        <v>331</v>
      </c>
      <c r="O18" s="429" t="str">
        <f t="array" ref="O18:S18">TRANSPOSE(DONNEES!$J$62:$J$66)</f>
        <v/>
      </c>
      <c r="P18" s="430"/>
      <c r="Q18" s="430"/>
      <c r="R18" s="430"/>
      <c r="S18" s="430"/>
      <c r="T18" s="431" t="s">
        <v>333</v>
      </c>
      <c r="U18" s="431" t="s">
        <v>334</v>
      </c>
      <c r="V18" s="431" t="s">
        <v>334</v>
      </c>
      <c r="W18" s="432" t="s">
        <v>335</v>
      </c>
    </row>
    <row r="19" ht="69.0" customHeight="1">
      <c r="C19" s="427" t="s">
        <v>336</v>
      </c>
      <c r="D19" s="433" t="str">
        <f t="shared" ref="D19:H19" si="1">IF(ISBLANK(D17),"N/A",IF(D17&gt;0,D17/D10,0))</f>
        <v>N/A</v>
      </c>
      <c r="E19" s="433" t="str">
        <f t="shared" si="1"/>
        <v>N/A</v>
      </c>
      <c r="F19" s="433" t="str">
        <f t="shared" si="1"/>
        <v>N/A</v>
      </c>
      <c r="G19" s="433" t="str">
        <f t="shared" si="1"/>
        <v>N/A</v>
      </c>
      <c r="H19" s="433" t="str">
        <f t="shared" si="1"/>
        <v>N/A</v>
      </c>
      <c r="I19" s="434" t="str">
        <f t="array" ref="I19">IF(AND(EXACT(D19:H19,"N/A")),"N/A",AVERAGE(D19,E19,F19,G19,H19))</f>
        <v>N/A</v>
      </c>
      <c r="M19" s="421"/>
      <c r="N19" s="427" t="s">
        <v>336</v>
      </c>
      <c r="O19" s="433" t="str">
        <f t="shared" ref="O19:S19" si="2">IF(ISBLANK(O17),"N/A",IF(O17&gt;0,O17/O10,0))</f>
        <v>N/A</v>
      </c>
      <c r="P19" s="433" t="str">
        <f t="shared" si="2"/>
        <v>N/A</v>
      </c>
      <c r="Q19" s="433" t="str">
        <f t="shared" si="2"/>
        <v>N/A</v>
      </c>
      <c r="R19" s="433" t="str">
        <f t="shared" si="2"/>
        <v>N/A</v>
      </c>
      <c r="S19" s="433" t="str">
        <f t="shared" si="2"/>
        <v>N/A</v>
      </c>
      <c r="T19" s="435" t="str">
        <f>IF(SUM(O19,P19,Q19,R19,S19)&lt;&gt;0,AVERAGE(O19,P19,Q19,R19,S19),IF(SUM(O19,P19,Q19,R19,S19)=0,"N/A","valeur(s) entrée(s) incorrecte(s)"))</f>
        <v>N/A</v>
      </c>
      <c r="U19" s="436" t="str">
        <f t="shared" ref="U19:U21" si="5">IF(T19="N/A","N/A",IF(I19-T19&lt;&gt;0,ABS((I19-T19)/I19)-0.2,IF(AND(I19=0,T19=0),"N/A",IF(T19&lt;0,"N/A","N/A"))))</f>
        <v>N/A</v>
      </c>
      <c r="V19" s="437" t="str">
        <f t="shared" ref="V19:V21" si="6">IF(T19="N/A","N/A",IF((ABS((I19-T19)/I19))-0.2&gt;0,IF(I19&gt;T19,"rabais","+"),IF(I19=0,"0","ni rabais ni bonus")))</f>
        <v>N/A</v>
      </c>
      <c r="W19" s="437" t="str">
        <f t="shared" ref="W19:W21" si="7">IF(T19="N/A","N/A",IF(V19="ni rabais ni bonus",0,U19*IF(V19="+",1,-1)))</f>
        <v>N/A</v>
      </c>
      <c r="Y19" s="438" t="s">
        <v>337</v>
      </c>
      <c r="Z19" s="439"/>
      <c r="AN19" s="440" t="s">
        <v>338</v>
      </c>
      <c r="AO19" s="441"/>
    </row>
    <row r="20" ht="69.0" customHeight="1">
      <c r="C20" s="427" t="s">
        <v>339</v>
      </c>
      <c r="D20" s="433" t="str">
        <f t="shared" ref="D20:H20" si="3">IF(ISBLANK(D16),"N/A",IF(D16&gt;0,D16/D10,0))</f>
        <v>N/A</v>
      </c>
      <c r="E20" s="433" t="str">
        <f t="shared" si="3"/>
        <v>N/A</v>
      </c>
      <c r="F20" s="433" t="str">
        <f t="shared" si="3"/>
        <v>N/A</v>
      </c>
      <c r="G20" s="433" t="str">
        <f t="shared" si="3"/>
        <v>N/A</v>
      </c>
      <c r="H20" s="433" t="str">
        <f t="shared" si="3"/>
        <v>N/A</v>
      </c>
      <c r="I20" s="434" t="str">
        <f t="array" ref="I20">IF(AND(EXACT(D20:H20,"N/A")),"N/A",AVERAGE(D20,E20,F20,G20,H20))</f>
        <v>N/A</v>
      </c>
      <c r="M20" s="421"/>
      <c r="N20" s="427" t="s">
        <v>339</v>
      </c>
      <c r="O20" s="433" t="str">
        <f t="shared" ref="O20:S20" si="4">IF(ISBLANK(O16),"N/A",IF(O16&gt;0,O16/O10,0))</f>
        <v>N/A</v>
      </c>
      <c r="P20" s="433" t="str">
        <f t="shared" si="4"/>
        <v>N/A</v>
      </c>
      <c r="Q20" s="433" t="str">
        <f t="shared" si="4"/>
        <v>N/A</v>
      </c>
      <c r="R20" s="433" t="str">
        <f t="shared" si="4"/>
        <v>N/A</v>
      </c>
      <c r="S20" s="433" t="str">
        <f t="shared" si="4"/>
        <v>N/A</v>
      </c>
      <c r="T20" s="434" t="str">
        <f t="array" ref="T20">IF(AND(EXACT(O20:S20,"N/A")),"N/A",AVERAGE(O20,P20,Q20,R20,S20))</f>
        <v>N/A</v>
      </c>
      <c r="U20" s="436" t="str">
        <f t="shared" si="5"/>
        <v>N/A</v>
      </c>
      <c r="V20" s="437" t="str">
        <f t="shared" si="6"/>
        <v>N/A</v>
      </c>
      <c r="W20" s="437" t="str">
        <f t="shared" si="7"/>
        <v>N/A</v>
      </c>
      <c r="Y20" s="442" t="s">
        <v>340</v>
      </c>
      <c r="Z20" s="442" t="s">
        <v>341</v>
      </c>
      <c r="AN20" s="443" t="s">
        <v>340</v>
      </c>
      <c r="AO20" s="443" t="s">
        <v>341</v>
      </c>
    </row>
    <row r="21" ht="69.0" customHeight="1">
      <c r="B21" s="274"/>
      <c r="C21" s="427" t="s">
        <v>342</v>
      </c>
      <c r="D21" s="433" t="str">
        <f t="shared" ref="D21:H21" si="8">IF(ISBLANK(D18),"N/A",IF(D18&gt;0,D18/D9,0))</f>
        <v>N/A</v>
      </c>
      <c r="E21" s="433" t="str">
        <f t="shared" si="8"/>
        <v>N/A</v>
      </c>
      <c r="F21" s="433" t="str">
        <f t="shared" si="8"/>
        <v>N/A</v>
      </c>
      <c r="G21" s="433" t="str">
        <f t="shared" si="8"/>
        <v>N/A</v>
      </c>
      <c r="H21" s="433" t="str">
        <f t="shared" si="8"/>
        <v>N/A</v>
      </c>
      <c r="I21" s="434" t="str">
        <f t="array" ref="I21">IF(AND(EXACT(D21:H21,"N/A")),"N/A",AVERAGE(D21,E21,F21,G21,H21))</f>
        <v>N/A</v>
      </c>
      <c r="M21" s="421"/>
      <c r="N21" s="427" t="s">
        <v>342</v>
      </c>
      <c r="O21" s="433" t="str">
        <f t="shared" ref="O21:S21" si="9">IF(ISBLANK(O18),"N/A",IF(O18&gt;0,O18/O9,0))</f>
        <v>N/A</v>
      </c>
      <c r="P21" s="433" t="str">
        <f t="shared" si="9"/>
        <v>N/A</v>
      </c>
      <c r="Q21" s="433" t="str">
        <f t="shared" si="9"/>
        <v>N/A</v>
      </c>
      <c r="R21" s="433" t="str">
        <f t="shared" si="9"/>
        <v>N/A</v>
      </c>
      <c r="S21" s="433" t="str">
        <f t="shared" si="9"/>
        <v>N/A</v>
      </c>
      <c r="T21" s="435" t="str">
        <f>IF(SUM(O21,P21,Q21,R21,S21)&lt;&gt;0,AVERAGE(O21,P21,Q21,R21,S21),IF(SUM(O21,P21,Q21,R21,S21)=0,"N/A","valeur(s) entrée(s) incorrecte(s)"))</f>
        <v>N/A</v>
      </c>
      <c r="U21" s="436" t="str">
        <f t="shared" si="5"/>
        <v>N/A</v>
      </c>
      <c r="V21" s="437" t="str">
        <f t="shared" si="6"/>
        <v>N/A</v>
      </c>
      <c r="W21" s="437" t="str">
        <f t="shared" si="7"/>
        <v>N/A</v>
      </c>
      <c r="Y21" s="444" t="str">
        <f>IF(Z21&lt;0,"Rabais",IF(Z21&gt;0,"Bonus","Ni rabais ni bonus"))</f>
        <v>Bonus</v>
      </c>
      <c r="Z21" s="445" t="str">
        <f t="array" ref="Z21">IF(AND(EXACT(T19:T21,"N/A")),"N/A",MEDIAN(IF(ISNUMBER(T19:T21),W19:W21)))</f>
        <v>N/A</v>
      </c>
      <c r="AN21" s="446" t="str">
        <f>IF(AO21&lt;0,"Rabais",IF(AO21&gt;0,"Bonus","Ni rabais ni bonus"))</f>
        <v>Rabais</v>
      </c>
      <c r="AO21" s="447">
        <f>IF(AND(ISNUMBER(AO47), ISNUMBER(Z21)),AVERAGE(Z21,AO47),SUM(Z21,AO47))</f>
        <v>-0.2444444444</v>
      </c>
    </row>
    <row r="22" ht="15.75" customHeight="1">
      <c r="B22" s="274"/>
      <c r="F22" s="160"/>
    </row>
    <row r="23" ht="15.75" customHeight="1">
      <c r="B23" s="274"/>
      <c r="F23" s="160"/>
      <c r="AK23" s="404"/>
    </row>
    <row r="24" ht="15.75" customHeight="1">
      <c r="B24" s="274"/>
      <c r="F24" s="160"/>
      <c r="U24" s="133"/>
      <c r="AK24" s="404"/>
    </row>
    <row r="25" ht="15.75" customHeight="1">
      <c r="B25" s="274"/>
      <c r="F25" s="160"/>
      <c r="AK25" s="404"/>
    </row>
    <row r="26" ht="15.75" customHeight="1"/>
    <row r="27" ht="31.5" customHeight="1">
      <c r="B27" s="422" t="s">
        <v>343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</row>
    <row r="28" ht="15.75" customHeight="1">
      <c r="B28" s="448" t="s">
        <v>344</v>
      </c>
      <c r="C28" s="449" t="s">
        <v>177</v>
      </c>
      <c r="D28" s="450" t="s">
        <v>177</v>
      </c>
      <c r="E28" s="451" t="s">
        <v>177</v>
      </c>
      <c r="F28" s="449" t="s">
        <v>178</v>
      </c>
      <c r="G28" s="450" t="s">
        <v>178</v>
      </c>
      <c r="H28" s="451" t="s">
        <v>178</v>
      </c>
      <c r="I28" s="449" t="s">
        <v>179</v>
      </c>
      <c r="J28" s="450" t="s">
        <v>179</v>
      </c>
      <c r="K28" s="451" t="s">
        <v>179</v>
      </c>
      <c r="L28" s="449" t="s">
        <v>180</v>
      </c>
      <c r="M28" s="450" t="s">
        <v>180</v>
      </c>
      <c r="N28" s="451" t="s">
        <v>180</v>
      </c>
      <c r="O28" s="449" t="s">
        <v>181</v>
      </c>
      <c r="P28" s="450" t="s">
        <v>181</v>
      </c>
      <c r="Q28" s="451" t="s">
        <v>181</v>
      </c>
      <c r="R28" s="452" t="s">
        <v>345</v>
      </c>
      <c r="S28" s="274"/>
      <c r="T28" s="449" t="s">
        <v>288</v>
      </c>
      <c r="U28" s="450" t="s">
        <v>288</v>
      </c>
      <c r="V28" s="451" t="s">
        <v>288</v>
      </c>
      <c r="W28" s="449" t="s">
        <v>289</v>
      </c>
      <c r="X28" s="450" t="s">
        <v>289</v>
      </c>
      <c r="Y28" s="451" t="s">
        <v>289</v>
      </c>
      <c r="Z28" s="449" t="s">
        <v>290</v>
      </c>
      <c r="AA28" s="450" t="s">
        <v>290</v>
      </c>
      <c r="AB28" s="451" t="s">
        <v>290</v>
      </c>
      <c r="AC28" s="449" t="s">
        <v>291</v>
      </c>
      <c r="AD28" s="450" t="s">
        <v>291</v>
      </c>
      <c r="AE28" s="451" t="s">
        <v>291</v>
      </c>
      <c r="AF28" s="449" t="s">
        <v>292</v>
      </c>
      <c r="AG28" s="450" t="s">
        <v>292</v>
      </c>
      <c r="AH28" s="451" t="s">
        <v>292</v>
      </c>
      <c r="AI28" s="453" t="s">
        <v>333</v>
      </c>
      <c r="AJ28" s="454" t="s">
        <v>334</v>
      </c>
      <c r="AK28" s="455" t="s">
        <v>334</v>
      </c>
      <c r="AL28" s="432" t="s">
        <v>335</v>
      </c>
      <c r="AM28" s="456"/>
      <c r="AN28" s="456"/>
      <c r="AO28" s="456"/>
    </row>
    <row r="29" ht="15.75" customHeight="1">
      <c r="B29" s="457"/>
      <c r="C29" s="458" t="s">
        <v>327</v>
      </c>
      <c r="D29" s="319" t="s">
        <v>346</v>
      </c>
      <c r="E29" s="459" t="s">
        <v>347</v>
      </c>
      <c r="F29" s="458" t="s">
        <v>327</v>
      </c>
      <c r="G29" s="319" t="s">
        <v>346</v>
      </c>
      <c r="H29" s="459" t="s">
        <v>347</v>
      </c>
      <c r="I29" s="458" t="s">
        <v>327</v>
      </c>
      <c r="J29" s="319" t="s">
        <v>346</v>
      </c>
      <c r="K29" s="459" t="s">
        <v>347</v>
      </c>
      <c r="L29" s="458" t="s">
        <v>327</v>
      </c>
      <c r="M29" s="319" t="s">
        <v>346</v>
      </c>
      <c r="N29" s="459" t="s">
        <v>347</v>
      </c>
      <c r="O29" s="458" t="s">
        <v>327</v>
      </c>
      <c r="P29" s="319" t="s">
        <v>346</v>
      </c>
      <c r="Q29" s="459" t="s">
        <v>347</v>
      </c>
      <c r="R29" s="27"/>
      <c r="S29" s="460"/>
      <c r="T29" s="458" t="s">
        <v>327</v>
      </c>
      <c r="U29" s="319" t="s">
        <v>346</v>
      </c>
      <c r="V29" s="459" t="s">
        <v>347</v>
      </c>
      <c r="W29" s="458" t="s">
        <v>327</v>
      </c>
      <c r="X29" s="319" t="s">
        <v>346</v>
      </c>
      <c r="Y29" s="459" t="s">
        <v>347</v>
      </c>
      <c r="Z29" s="458" t="s">
        <v>327</v>
      </c>
      <c r="AA29" s="319" t="s">
        <v>346</v>
      </c>
      <c r="AB29" s="459" t="s">
        <v>347</v>
      </c>
      <c r="AC29" s="458" t="s">
        <v>327</v>
      </c>
      <c r="AD29" s="319" t="s">
        <v>346</v>
      </c>
      <c r="AE29" s="459" t="s">
        <v>347</v>
      </c>
      <c r="AF29" s="458" t="s">
        <v>327</v>
      </c>
      <c r="AG29" s="319" t="s">
        <v>346</v>
      </c>
      <c r="AH29" s="459" t="s">
        <v>347</v>
      </c>
      <c r="AI29" s="51"/>
      <c r="AJ29" s="51"/>
      <c r="AK29" s="27"/>
      <c r="AL29" s="27"/>
      <c r="AM29" s="456"/>
      <c r="AN29" s="456"/>
      <c r="AO29" s="456"/>
    </row>
    <row r="30" ht="15.75" customHeight="1">
      <c r="B30" s="359" t="s">
        <v>348</v>
      </c>
      <c r="C30" s="461"/>
      <c r="D30" s="462"/>
      <c r="E30" s="463"/>
      <c r="F30" s="464"/>
      <c r="G30" s="462"/>
      <c r="H30" s="463"/>
      <c r="I30" s="461"/>
      <c r="J30" s="462"/>
      <c r="K30" s="463"/>
      <c r="L30" s="465"/>
      <c r="M30" s="240"/>
      <c r="N30" s="466"/>
      <c r="O30" s="465"/>
      <c r="P30" s="240"/>
      <c r="Q30" s="466"/>
      <c r="R30" s="35"/>
      <c r="T30" s="465"/>
      <c r="U30" s="240"/>
      <c r="V30" s="466"/>
      <c r="W30" s="465"/>
      <c r="X30" s="240"/>
      <c r="Y30" s="466"/>
      <c r="Z30" s="465"/>
      <c r="AA30" s="240"/>
      <c r="AB30" s="466"/>
      <c r="AC30" s="465"/>
      <c r="AD30" s="240"/>
      <c r="AE30" s="466"/>
      <c r="AF30" s="465"/>
      <c r="AG30" s="240"/>
      <c r="AH30" s="466"/>
      <c r="AI30" s="467"/>
      <c r="AJ30" s="51"/>
      <c r="AK30" s="356"/>
      <c r="AL30" s="27"/>
      <c r="AM30" s="456"/>
      <c r="AN30" s="456"/>
      <c r="AO30" s="456"/>
    </row>
    <row r="31" ht="15.75" customHeight="1">
      <c r="B31" s="468" t="str">
        <f>DONNEES!$M$55</f>
        <v>Avoine</v>
      </c>
      <c r="C31" s="469">
        <f>DONNEES!$M$57</f>
        <v>6</v>
      </c>
      <c r="D31" s="470">
        <f t="shared" ref="D31:D45" si="10">IFERROR(E31/C31,)</f>
        <v>0.9166666667</v>
      </c>
      <c r="E31" s="471">
        <f>DONNEES!$N$57</f>
        <v>5.5</v>
      </c>
      <c r="F31" s="469">
        <f>DONNEES!$M$58</f>
        <v>5</v>
      </c>
      <c r="G31" s="470">
        <f t="shared" ref="G31:G45" si="11">IFERROR(H31/F31,)</f>
        <v>1.2</v>
      </c>
      <c r="H31" s="471">
        <f>DONNEES!$N$58</f>
        <v>6</v>
      </c>
      <c r="I31" s="469">
        <f>DONNEES!$M$59</f>
        <v>3</v>
      </c>
      <c r="J31" s="470">
        <f t="shared" ref="J31:J45" si="12">IFERROR(K31/I31,)</f>
        <v>1.666666667</v>
      </c>
      <c r="K31" s="471">
        <f>DONNEES!$N$59</f>
        <v>5</v>
      </c>
      <c r="L31" s="469">
        <f>DONNEES!$M$60</f>
        <v>8</v>
      </c>
      <c r="M31" s="470">
        <f t="shared" ref="M31:M45" si="13">IFERROR(N31/L31,)</f>
        <v>0.625</v>
      </c>
      <c r="N31" s="471">
        <f>DONNEES!$N$60</f>
        <v>5</v>
      </c>
      <c r="O31" s="469">
        <f>DONNEES!$M$61</f>
        <v>16</v>
      </c>
      <c r="P31" s="470">
        <f t="shared" ref="P31:P45" si="14">IFERROR(Q31/O31,)</f>
        <v>0.1875</v>
      </c>
      <c r="Q31" s="471">
        <f>DONNEES!$N$61</f>
        <v>3</v>
      </c>
      <c r="R31" s="472">
        <f t="shared" ref="R31:R47" si="15">IF(COUNTA(E31,H31,K31,N31,Q31)&gt;=5,AVERAGE(E31,H31,K31,N31,Q31),IF(COUNTA(C31:Q31)=0,"N/A","valeur(s) entrée(s) incorrecte(s)"))</f>
        <v>4.9</v>
      </c>
      <c r="S31" s="142"/>
      <c r="T31" s="469">
        <f>DONNEES!$M$62</f>
        <v>10</v>
      </c>
      <c r="U31" s="470">
        <f t="shared" ref="U31:U45" si="16">IFERROR(V31/T31,)</f>
        <v>0.25</v>
      </c>
      <c r="V31" s="471">
        <f>DONNEES!$N$62</f>
        <v>2.5</v>
      </c>
      <c r="W31" s="469">
        <f>DONNEES!$M$63</f>
        <v>0</v>
      </c>
      <c r="X31" s="470" t="str">
        <f t="shared" ref="X31:X45" si="17">IFERROR(Y31/W31,)</f>
        <v/>
      </c>
      <c r="Y31" s="471">
        <f>DONNEES!$N$63</f>
        <v>0</v>
      </c>
      <c r="Z31" s="469">
        <f>DONNEES!$M$64</f>
        <v>0</v>
      </c>
      <c r="AA31" s="470" t="str">
        <f t="shared" ref="AA31:AA45" si="18">IFERROR(AB31/Z31,)</f>
        <v/>
      </c>
      <c r="AB31" s="471">
        <f>DONNEES!$N$64</f>
        <v>0</v>
      </c>
      <c r="AC31" s="469">
        <f>DONNEES!$M$65</f>
        <v>0</v>
      </c>
      <c r="AD31" s="470" t="str">
        <f t="shared" ref="AD31:AD45" si="19">IFERROR(AE31/AC31,)</f>
        <v/>
      </c>
      <c r="AE31" s="471">
        <f>DONNEES!$N$65</f>
        <v>0</v>
      </c>
      <c r="AF31" s="469">
        <f>DONNEES!$M$66</f>
        <v>0</v>
      </c>
      <c r="AG31" s="470" t="str">
        <f t="shared" ref="AG31:AG45" si="20">IFERROR(AH31/AF31,)</f>
        <v/>
      </c>
      <c r="AH31" s="471">
        <f>DONNEES!$N$66</f>
        <v>0</v>
      </c>
      <c r="AI31" s="472">
        <f t="shared" ref="AI31:AI47" si="21">IF(COUNTA(V31,Y31,AB31,AE31,AH31)&gt;=5,AVERAGE(V31,Y31,AB31,AE31,AH31),IF(COUNTA(T31:AH31)=0,"N/A","valeur(s) entrée(s) incorrecte(s)"))</f>
        <v>0.5</v>
      </c>
      <c r="AJ31" s="473">
        <f t="shared" ref="AJ31:AJ47" si="22">IF(AI31="N/A","N/A",IF(R31-AI31&lt;&gt;0,ABS((R31-AI31)/R31)-0.2,IF(AND(R31=0,AI31=0),"N/A",IF(AI31&lt;0,"N/A","N/A"))))</f>
        <v>0.6979591837</v>
      </c>
      <c r="AK31" s="473" t="str">
        <f t="shared" ref="AK31:AK47" si="23">IF(AI31="N/A","N/A",IF((ABS((R31-AI31)/R31))-0.2&gt;0,IF(R31&gt;AI31,"rabais","+"),IF(R31=0,"0","ni rabais ni bonus")))</f>
        <v>rabais</v>
      </c>
      <c r="AL31" s="474">
        <f t="shared" ref="AL31:AL47" si="24">IF(AI31="N/A","N/A",IF(AK31="ni rabais ni bonus",0,AJ31*IF(AK31="+",1,-1)))</f>
        <v>-0.6979591837</v>
      </c>
      <c r="AM31" s="421"/>
      <c r="AN31" s="421"/>
      <c r="AO31" s="421"/>
    </row>
    <row r="32" ht="15.75" customHeight="1">
      <c r="B32" s="468" t="str">
        <f>DONNEES!O$55</f>
        <v>Blé</v>
      </c>
      <c r="C32" s="469">
        <f>DONNEES!$O$57</f>
        <v>96</v>
      </c>
      <c r="D32" s="470">
        <f t="shared" si="10"/>
        <v>0.07083333333</v>
      </c>
      <c r="E32" s="471">
        <f>DONNEES!$P$57</f>
        <v>6.8</v>
      </c>
      <c r="F32" s="469">
        <f>DONNEES!$O$58</f>
        <v>97</v>
      </c>
      <c r="G32" s="470">
        <f t="shared" si="11"/>
        <v>0.0824742268</v>
      </c>
      <c r="H32" s="471">
        <f>DONNEES!$P$58</f>
        <v>8</v>
      </c>
      <c r="I32" s="469">
        <f>DONNEES!$O$59</f>
        <v>102</v>
      </c>
      <c r="J32" s="470">
        <f t="shared" si="12"/>
        <v>0.07450980392</v>
      </c>
      <c r="K32" s="471">
        <f>DONNEES!$P$59</f>
        <v>7.6</v>
      </c>
      <c r="L32" s="469">
        <f>DONNEES!$O$60</f>
        <v>107</v>
      </c>
      <c r="M32" s="470">
        <f t="shared" si="13"/>
        <v>0.06542056075</v>
      </c>
      <c r="N32" s="471">
        <f>DONNEES!$P$60</f>
        <v>7</v>
      </c>
      <c r="O32" s="469">
        <f>DONNEES!$O$61</f>
        <v>130</v>
      </c>
      <c r="P32" s="470">
        <f t="shared" si="14"/>
        <v>0.01769230769</v>
      </c>
      <c r="Q32" s="471">
        <f>DONNEES!$P$61</f>
        <v>2.3</v>
      </c>
      <c r="R32" s="472">
        <f t="shared" si="15"/>
        <v>6.34</v>
      </c>
      <c r="S32" s="142"/>
      <c r="T32" s="469">
        <f>DONNEES!$O$62</f>
        <v>80</v>
      </c>
      <c r="U32" s="470">
        <f t="shared" si="16"/>
        <v>0.03125</v>
      </c>
      <c r="V32" s="471">
        <f>DONNEES!$P$62</f>
        <v>2.5</v>
      </c>
      <c r="W32" s="469">
        <f>DONNEES!$O$63</f>
        <v>100</v>
      </c>
      <c r="X32" s="470">
        <f t="shared" si="17"/>
        <v>0.025</v>
      </c>
      <c r="Y32" s="471">
        <f>DONNEES!$P$63</f>
        <v>2.5</v>
      </c>
      <c r="Z32" s="469">
        <f>DONNEES!$O$64</f>
        <v>100</v>
      </c>
      <c r="AA32" s="470">
        <f t="shared" si="18"/>
        <v>0.025</v>
      </c>
      <c r="AB32" s="471">
        <f>DONNEES!$P$64</f>
        <v>2.5</v>
      </c>
      <c r="AC32" s="469">
        <f>DONNEES!$O$65</f>
        <v>100</v>
      </c>
      <c r="AD32" s="470">
        <f t="shared" si="19"/>
        <v>0.025</v>
      </c>
      <c r="AE32" s="471">
        <f>DONNEES!$P$65</f>
        <v>2.5</v>
      </c>
      <c r="AF32" s="469">
        <f>DONNEES!$O$66</f>
        <v>100</v>
      </c>
      <c r="AG32" s="470">
        <f t="shared" si="20"/>
        <v>0.025</v>
      </c>
      <c r="AH32" s="471">
        <f>DONNEES!$P$66</f>
        <v>2.5</v>
      </c>
      <c r="AI32" s="472">
        <f t="shared" si="21"/>
        <v>2.5</v>
      </c>
      <c r="AJ32" s="473">
        <f t="shared" si="22"/>
        <v>0.4056782334</v>
      </c>
      <c r="AK32" s="473" t="str">
        <f t="shared" si="23"/>
        <v>rabais</v>
      </c>
      <c r="AL32" s="474">
        <f t="shared" si="24"/>
        <v>-0.4056782334</v>
      </c>
      <c r="AM32" s="421"/>
      <c r="AN32" s="421"/>
      <c r="AO32" s="421"/>
    </row>
    <row r="33" ht="15.75" customHeight="1">
      <c r="B33" s="468" t="str">
        <f>DONNEES!Q$55</f>
        <v>Colza</v>
      </c>
      <c r="C33" s="469">
        <f>DONNEES!$Q$57</f>
        <v>70</v>
      </c>
      <c r="D33" s="470">
        <f t="shared" si="10"/>
        <v>0.04285714286</v>
      </c>
      <c r="E33" s="471">
        <f>DONNEES!$R$57</f>
        <v>3</v>
      </c>
      <c r="F33" s="469">
        <f>DONNEES!$Q$58</f>
        <v>57</v>
      </c>
      <c r="G33" s="470">
        <f t="shared" si="11"/>
        <v>0.05964912281</v>
      </c>
      <c r="H33" s="471">
        <f>DONNEES!$R$58</f>
        <v>3.4</v>
      </c>
      <c r="I33" s="469">
        <f>DONNEES!$Q$59</f>
        <v>0</v>
      </c>
      <c r="J33" s="470" t="str">
        <f t="shared" si="12"/>
        <v/>
      </c>
      <c r="K33" s="471">
        <f>DONNEES!$R$59</f>
        <v>2.55</v>
      </c>
      <c r="L33" s="469">
        <f>DONNEES!$Q$60</f>
        <v>38</v>
      </c>
      <c r="M33" s="470">
        <f t="shared" si="13"/>
        <v>0.03684210526</v>
      </c>
      <c r="N33" s="471">
        <f>DONNEES!$R$60</f>
        <v>1.4</v>
      </c>
      <c r="O33" s="469">
        <f>DONNEES!$Q$61</f>
        <v>0</v>
      </c>
      <c r="P33" s="470" t="str">
        <f t="shared" si="14"/>
        <v/>
      </c>
      <c r="Q33" s="471">
        <f>DONNEES!$R$61</f>
        <v>0</v>
      </c>
      <c r="R33" s="472">
        <f t="shared" si="15"/>
        <v>2.07</v>
      </c>
      <c r="S33" s="142"/>
      <c r="T33" s="469">
        <f>DONNEES!$Q$62</f>
        <v>0</v>
      </c>
      <c r="U33" s="470" t="str">
        <f t="shared" si="16"/>
        <v/>
      </c>
      <c r="V33" s="471">
        <f>DONNEES!$R$62</f>
        <v>0</v>
      </c>
      <c r="W33" s="469">
        <f>DONNEES!$Q$63</f>
        <v>0</v>
      </c>
      <c r="X33" s="470" t="str">
        <f t="shared" si="17"/>
        <v/>
      </c>
      <c r="Y33" s="471">
        <f>DONNEES!$R$63</f>
        <v>0</v>
      </c>
      <c r="Z33" s="469">
        <f>DONNEES!$Q$64</f>
        <v>0</v>
      </c>
      <c r="AA33" s="470" t="str">
        <f t="shared" si="18"/>
        <v/>
      </c>
      <c r="AB33" s="471">
        <f>DONNEES!$R$64</f>
        <v>0</v>
      </c>
      <c r="AC33" s="469">
        <f>DONNEES!$Q$65</f>
        <v>0</v>
      </c>
      <c r="AD33" s="470" t="str">
        <f t="shared" si="19"/>
        <v/>
      </c>
      <c r="AE33" s="471">
        <f>DONNEES!$R$65</f>
        <v>0</v>
      </c>
      <c r="AF33" s="469">
        <f>DONNEES!$Q$66</f>
        <v>0</v>
      </c>
      <c r="AG33" s="470" t="str">
        <f t="shared" si="20"/>
        <v/>
      </c>
      <c r="AH33" s="471">
        <f>DONNEES!$R$66</f>
        <v>0</v>
      </c>
      <c r="AI33" s="472">
        <f t="shared" si="21"/>
        <v>0</v>
      </c>
      <c r="AJ33" s="473">
        <f t="shared" si="22"/>
        <v>0.8</v>
      </c>
      <c r="AK33" s="473" t="str">
        <f t="shared" si="23"/>
        <v>rabais</v>
      </c>
      <c r="AL33" s="474">
        <f t="shared" si="24"/>
        <v>-0.8</v>
      </c>
      <c r="AM33" s="421"/>
      <c r="AN33" s="421"/>
      <c r="AO33" s="421"/>
    </row>
    <row r="34" ht="15.75" customHeight="1">
      <c r="B34" s="468" t="str">
        <f>DONNEES!S$55</f>
        <v>Féverole</v>
      </c>
      <c r="C34" s="469">
        <f>DONNEES!$S$57</f>
        <v>1</v>
      </c>
      <c r="D34" s="470">
        <f t="shared" si="10"/>
        <v>2</v>
      </c>
      <c r="E34" s="471">
        <f>DONNEES!$T$57</f>
        <v>2</v>
      </c>
      <c r="F34" s="469">
        <f>DONNEES!$S$58</f>
        <v>0</v>
      </c>
      <c r="G34" s="470" t="str">
        <f t="shared" si="11"/>
        <v/>
      </c>
      <c r="H34" s="471">
        <f>DONNEES!$T$58</f>
        <v>2.5</v>
      </c>
      <c r="I34" s="469">
        <f>DONNEES!$S$59</f>
        <v>0</v>
      </c>
      <c r="J34" s="470" t="str">
        <f t="shared" si="12"/>
        <v/>
      </c>
      <c r="K34" s="471">
        <f>DONNEES!$T$59</f>
        <v>2.5</v>
      </c>
      <c r="L34" s="469">
        <f>DONNEES!$S$60</f>
        <v>0</v>
      </c>
      <c r="M34" s="470" t="str">
        <f t="shared" si="13"/>
        <v/>
      </c>
      <c r="N34" s="471">
        <f>DONNEES!$T$60</f>
        <v>2.5</v>
      </c>
      <c r="O34" s="469">
        <f>DONNEES!$S$61</f>
        <v>0</v>
      </c>
      <c r="P34" s="470" t="str">
        <f t="shared" si="14"/>
        <v/>
      </c>
      <c r="Q34" s="471">
        <f>DONNEES!$T$61</f>
        <v>2.5</v>
      </c>
      <c r="R34" s="472">
        <f t="shared" si="15"/>
        <v>2.4</v>
      </c>
      <c r="S34" s="142"/>
      <c r="T34" s="469">
        <f>DONNEES!$S$62</f>
        <v>3</v>
      </c>
      <c r="U34" s="470">
        <f t="shared" si="16"/>
        <v>0.6666666667</v>
      </c>
      <c r="V34" s="471">
        <f>DONNEES!$T$62</f>
        <v>2</v>
      </c>
      <c r="W34" s="469">
        <f>DONNEES!$S$63</f>
        <v>20</v>
      </c>
      <c r="X34" s="470">
        <f t="shared" si="17"/>
        <v>0.1</v>
      </c>
      <c r="Y34" s="471">
        <f>DONNEES!$T$63</f>
        <v>2</v>
      </c>
      <c r="Z34" s="469">
        <f>DONNEES!$S$64</f>
        <v>20</v>
      </c>
      <c r="AA34" s="470">
        <f t="shared" si="18"/>
        <v>0.1</v>
      </c>
      <c r="AB34" s="471">
        <f>DONNEES!$T$64</f>
        <v>2</v>
      </c>
      <c r="AC34" s="469">
        <f>DONNEES!$S$65</f>
        <v>20</v>
      </c>
      <c r="AD34" s="470">
        <f t="shared" si="19"/>
        <v>0.1</v>
      </c>
      <c r="AE34" s="471">
        <f>DONNEES!$T$65</f>
        <v>2</v>
      </c>
      <c r="AF34" s="469">
        <f>DONNEES!$S$66</f>
        <v>20</v>
      </c>
      <c r="AG34" s="470">
        <f t="shared" si="20"/>
        <v>0.1</v>
      </c>
      <c r="AH34" s="471">
        <f>DONNEES!$T$66</f>
        <v>2</v>
      </c>
      <c r="AI34" s="472">
        <f t="shared" si="21"/>
        <v>2</v>
      </c>
      <c r="AJ34" s="473">
        <f t="shared" si="22"/>
        <v>-0.03333333333</v>
      </c>
      <c r="AK34" s="473" t="str">
        <f t="shared" si="23"/>
        <v>ni rabais ni bonus</v>
      </c>
      <c r="AL34" s="474">
        <f t="shared" si="24"/>
        <v>0</v>
      </c>
      <c r="AM34" s="421"/>
      <c r="AN34" s="421"/>
      <c r="AO34" s="421"/>
    </row>
    <row r="35" ht="15.75" customHeight="1">
      <c r="B35" s="468" t="str">
        <f>DONNEES!U$55</f>
        <v>Orge hiver</v>
      </c>
      <c r="C35" s="469">
        <f>DONNEES!$U$57</f>
        <v>75</v>
      </c>
      <c r="D35" s="470">
        <f t="shared" si="10"/>
        <v>0.07333333333</v>
      </c>
      <c r="E35" s="471">
        <f>DONNEES!$V$57</f>
        <v>5.5</v>
      </c>
      <c r="F35" s="469">
        <f>DONNEES!$U$58</f>
        <v>67</v>
      </c>
      <c r="G35" s="470">
        <f t="shared" si="11"/>
        <v>0.1044776119</v>
      </c>
      <c r="H35" s="471">
        <f>DONNEES!$V$58</f>
        <v>7</v>
      </c>
      <c r="I35" s="469">
        <f>DONNEES!$U$59</f>
        <v>77</v>
      </c>
      <c r="J35" s="470">
        <f t="shared" si="12"/>
        <v>0.08571428571</v>
      </c>
      <c r="K35" s="471">
        <f>DONNEES!$V$59</f>
        <v>6.6</v>
      </c>
      <c r="L35" s="469">
        <f>DONNEES!$U$60</f>
        <v>65</v>
      </c>
      <c r="M35" s="470">
        <f t="shared" si="13"/>
        <v>0.05230769231</v>
      </c>
      <c r="N35" s="471">
        <f>DONNEES!$V$60</f>
        <v>3.4</v>
      </c>
      <c r="O35" s="469">
        <f>DONNEES!$U$61</f>
        <v>0</v>
      </c>
      <c r="P35" s="470" t="str">
        <f t="shared" si="14"/>
        <v/>
      </c>
      <c r="Q35" s="471">
        <f>DONNEES!$V$61</f>
        <v>0</v>
      </c>
      <c r="R35" s="472">
        <f t="shared" si="15"/>
        <v>4.5</v>
      </c>
      <c r="S35" s="142"/>
      <c r="T35" s="469">
        <f>DONNEES!$U$62</f>
        <v>0</v>
      </c>
      <c r="U35" s="470" t="str">
        <f t="shared" si="16"/>
        <v/>
      </c>
      <c r="V35" s="471">
        <f>DONNEES!$V$62</f>
        <v>0</v>
      </c>
      <c r="W35" s="469">
        <f>DONNEES!$U$63</f>
        <v>0</v>
      </c>
      <c r="X35" s="470" t="str">
        <f t="shared" si="17"/>
        <v/>
      </c>
      <c r="Y35" s="471">
        <f>DONNEES!$V$63</f>
        <v>0</v>
      </c>
      <c r="Z35" s="469">
        <f>DONNEES!$U$64</f>
        <v>0</v>
      </c>
      <c r="AA35" s="470" t="str">
        <f t="shared" si="18"/>
        <v/>
      </c>
      <c r="AB35" s="471">
        <f>DONNEES!$V$64</f>
        <v>0</v>
      </c>
      <c r="AC35" s="469">
        <f>DONNEES!$U$65</f>
        <v>0</v>
      </c>
      <c r="AD35" s="470" t="str">
        <f t="shared" si="19"/>
        <v/>
      </c>
      <c r="AE35" s="471">
        <f>DONNEES!$V$65</f>
        <v>0</v>
      </c>
      <c r="AF35" s="469">
        <f>DONNEES!$U$66</f>
        <v>0</v>
      </c>
      <c r="AG35" s="470" t="str">
        <f t="shared" si="20"/>
        <v/>
      </c>
      <c r="AH35" s="471">
        <f>DONNEES!$V$66</f>
        <v>0</v>
      </c>
      <c r="AI35" s="472">
        <f t="shared" si="21"/>
        <v>0</v>
      </c>
      <c r="AJ35" s="473">
        <f t="shared" si="22"/>
        <v>0.8</v>
      </c>
      <c r="AK35" s="473" t="str">
        <f t="shared" si="23"/>
        <v>rabais</v>
      </c>
      <c r="AL35" s="474">
        <f t="shared" si="24"/>
        <v>-0.8</v>
      </c>
      <c r="AM35" s="421"/>
      <c r="AN35" s="421"/>
      <c r="AO35" s="421"/>
    </row>
    <row r="36" ht="15.75" customHeight="1">
      <c r="B36" s="468" t="str">
        <f>DONNEES!W$55</f>
        <v>Orge printemps</v>
      </c>
      <c r="C36" s="469">
        <f>DONNEES!$W$57</f>
        <v>25</v>
      </c>
      <c r="D36" s="470">
        <f t="shared" si="10"/>
        <v>0.22</v>
      </c>
      <c r="E36" s="471">
        <f>DONNEES!$X$57</f>
        <v>5.5</v>
      </c>
      <c r="F36" s="469">
        <f>DONNEES!$W$58</f>
        <v>20</v>
      </c>
      <c r="G36" s="470">
        <f t="shared" si="11"/>
        <v>0.3</v>
      </c>
      <c r="H36" s="471">
        <f>DONNEES!$X$58</f>
        <v>6</v>
      </c>
      <c r="I36" s="469">
        <f>DONNEES!$W$59</f>
        <v>54</v>
      </c>
      <c r="J36" s="470">
        <f t="shared" si="12"/>
        <v>0.1203703704</v>
      </c>
      <c r="K36" s="471">
        <f>DONNEES!$X$59</f>
        <v>6.5</v>
      </c>
      <c r="L36" s="469">
        <f>DONNEES!$W$60</f>
        <v>20</v>
      </c>
      <c r="M36" s="470">
        <f t="shared" si="13"/>
        <v>0.27</v>
      </c>
      <c r="N36" s="471">
        <f>DONNEES!$X$60</f>
        <v>5.4</v>
      </c>
      <c r="O36" s="469">
        <f>DONNEES!$W$61</f>
        <v>20</v>
      </c>
      <c r="P36" s="470">
        <f t="shared" si="14"/>
        <v>0.125</v>
      </c>
      <c r="Q36" s="471">
        <f>DONNEES!$X$61</f>
        <v>2.5</v>
      </c>
      <c r="R36" s="472">
        <f t="shared" si="15"/>
        <v>5.18</v>
      </c>
      <c r="S36" s="133"/>
      <c r="T36" s="469">
        <f>DONNEES!$W$62</f>
        <v>8</v>
      </c>
      <c r="U36" s="470">
        <f t="shared" si="16"/>
        <v>0.3125</v>
      </c>
      <c r="V36" s="471">
        <f>DONNEES!$X$62</f>
        <v>2.5</v>
      </c>
      <c r="W36" s="469">
        <f>DONNEES!$W$63</f>
        <v>20</v>
      </c>
      <c r="X36" s="470">
        <f t="shared" si="17"/>
        <v>0.125</v>
      </c>
      <c r="Y36" s="471">
        <f>DONNEES!$X$63</f>
        <v>2.5</v>
      </c>
      <c r="Z36" s="469">
        <f>DONNEES!$W$64</f>
        <v>20</v>
      </c>
      <c r="AA36" s="470">
        <f t="shared" si="18"/>
        <v>0.125</v>
      </c>
      <c r="AB36" s="471">
        <f>DONNEES!$X$64</f>
        <v>2.5</v>
      </c>
      <c r="AC36" s="469">
        <f>DONNEES!$W$65</f>
        <v>20</v>
      </c>
      <c r="AD36" s="470">
        <f t="shared" si="19"/>
        <v>0.125</v>
      </c>
      <c r="AE36" s="471">
        <f>DONNEES!$X$65</f>
        <v>2.5</v>
      </c>
      <c r="AF36" s="469">
        <f>DONNEES!$W$66</f>
        <v>20</v>
      </c>
      <c r="AG36" s="470">
        <f t="shared" si="20"/>
        <v>0.125</v>
      </c>
      <c r="AH36" s="471">
        <f>DONNEES!$X$66</f>
        <v>2.5</v>
      </c>
      <c r="AI36" s="472">
        <f t="shared" si="21"/>
        <v>2.5</v>
      </c>
      <c r="AJ36" s="473">
        <f t="shared" si="22"/>
        <v>0.3173745174</v>
      </c>
      <c r="AK36" s="473" t="str">
        <f t="shared" si="23"/>
        <v>rabais</v>
      </c>
      <c r="AL36" s="474">
        <f t="shared" si="24"/>
        <v>-0.3173745174</v>
      </c>
      <c r="AM36" s="421"/>
      <c r="AN36" s="421"/>
      <c r="AO36" s="421"/>
    </row>
    <row r="37" ht="15.75" customHeight="1">
      <c r="B37" s="468" t="str">
        <f>DONNEES!Y$55</f>
        <v>Pois</v>
      </c>
      <c r="C37" s="469">
        <f>DONNEES!$Y$57</f>
        <v>12</v>
      </c>
      <c r="D37" s="470">
        <f t="shared" si="10"/>
        <v>0.3</v>
      </c>
      <c r="E37" s="471">
        <f>DONNEES!$Z$57</f>
        <v>3.6</v>
      </c>
      <c r="F37" s="469">
        <f>DONNEES!$Y$58</f>
        <v>26</v>
      </c>
      <c r="G37" s="470">
        <f t="shared" si="11"/>
        <v>0.1461538462</v>
      </c>
      <c r="H37" s="471">
        <f>DONNEES!$Z$58</f>
        <v>3.8</v>
      </c>
      <c r="I37" s="469">
        <f>DONNEES!$Y$59</f>
        <v>37</v>
      </c>
      <c r="J37" s="470">
        <f t="shared" si="12"/>
        <v>0.09189189189</v>
      </c>
      <c r="K37" s="471">
        <f>DONNEES!$Z$59</f>
        <v>3.4</v>
      </c>
      <c r="L37" s="469">
        <f>DONNEES!$Y$60</f>
        <v>28</v>
      </c>
      <c r="M37" s="470">
        <f t="shared" si="13"/>
        <v>0.1071428571</v>
      </c>
      <c r="N37" s="471">
        <f>DONNEES!$Z$60</f>
        <v>3</v>
      </c>
      <c r="O37" s="469">
        <f>DONNEES!$Y$61</f>
        <v>44</v>
      </c>
      <c r="P37" s="470">
        <f t="shared" si="14"/>
        <v>0.03409090909</v>
      </c>
      <c r="Q37" s="471">
        <f>DONNEES!$Z$61</f>
        <v>1.5</v>
      </c>
      <c r="R37" s="472">
        <f t="shared" si="15"/>
        <v>3.06</v>
      </c>
      <c r="S37" s="133"/>
      <c r="T37" s="469">
        <f>DONNEES!$Y$62</f>
        <v>0</v>
      </c>
      <c r="U37" s="470" t="str">
        <f t="shared" si="16"/>
        <v/>
      </c>
      <c r="V37" s="471">
        <f>DONNEES!$Z$62</f>
        <v>0</v>
      </c>
      <c r="W37" s="469">
        <f>DONNEES!$Y$63</f>
        <v>0</v>
      </c>
      <c r="X37" s="470" t="str">
        <f t="shared" si="17"/>
        <v/>
      </c>
      <c r="Y37" s="471">
        <f>DONNEES!$Z$63</f>
        <v>0</v>
      </c>
      <c r="Z37" s="469">
        <f>DONNEES!$Y$64</f>
        <v>0</v>
      </c>
      <c r="AA37" s="470" t="str">
        <f t="shared" si="18"/>
        <v/>
      </c>
      <c r="AB37" s="471">
        <f>DONNEES!$Z$64</f>
        <v>0</v>
      </c>
      <c r="AC37" s="469">
        <f>DONNEES!$Y$65</f>
        <v>0</v>
      </c>
      <c r="AD37" s="470" t="str">
        <f t="shared" si="19"/>
        <v/>
      </c>
      <c r="AE37" s="471">
        <f>DONNEES!$Z$65</f>
        <v>0</v>
      </c>
      <c r="AF37" s="469">
        <f>DONNEES!$Y$66</f>
        <v>0</v>
      </c>
      <c r="AG37" s="470" t="str">
        <f t="shared" si="20"/>
        <v/>
      </c>
      <c r="AH37" s="471">
        <f>DONNEES!$Z$66</f>
        <v>0</v>
      </c>
      <c r="AI37" s="472">
        <f t="shared" si="21"/>
        <v>0</v>
      </c>
      <c r="AJ37" s="473">
        <f t="shared" si="22"/>
        <v>0.8</v>
      </c>
      <c r="AK37" s="473" t="str">
        <f t="shared" si="23"/>
        <v>rabais</v>
      </c>
      <c r="AL37" s="474">
        <f t="shared" si="24"/>
        <v>-0.8</v>
      </c>
      <c r="AM37" s="421"/>
      <c r="AN37" s="421"/>
      <c r="AO37" s="421"/>
    </row>
    <row r="38" ht="15.75" customHeight="1">
      <c r="B38" s="468" t="str">
        <f>DONNEES!AA$55</f>
        <v>Lentille</v>
      </c>
      <c r="C38" s="469">
        <f>DONNEES!$AA$57</f>
        <v>0</v>
      </c>
      <c r="D38" s="470" t="str">
        <f t="shared" si="10"/>
        <v/>
      </c>
      <c r="E38" s="471">
        <f>DONNEES!$AB$57</f>
        <v>1.5</v>
      </c>
      <c r="F38" s="469">
        <f>DONNEES!$AA$58</f>
        <v>13</v>
      </c>
      <c r="G38" s="470">
        <f t="shared" si="11"/>
        <v>0.1923076923</v>
      </c>
      <c r="H38" s="471">
        <f>DONNEES!$AB$58</f>
        <v>2.5</v>
      </c>
      <c r="I38" s="469">
        <f>DONNEES!$AA$59</f>
        <v>13</v>
      </c>
      <c r="J38" s="470">
        <f t="shared" si="12"/>
        <v>0.1615384615</v>
      </c>
      <c r="K38" s="471">
        <f>DONNEES!$AB$59</f>
        <v>2.1</v>
      </c>
      <c r="L38" s="469">
        <f>DONNEES!$AA$60</f>
        <v>13</v>
      </c>
      <c r="M38" s="470">
        <f t="shared" si="13"/>
        <v>0.07692307692</v>
      </c>
      <c r="N38" s="471">
        <f>DONNEES!$AB$60</f>
        <v>1</v>
      </c>
      <c r="O38" s="469">
        <f>DONNEES!$AA$61</f>
        <v>13</v>
      </c>
      <c r="P38" s="470">
        <f t="shared" si="14"/>
        <v>0.1307692308</v>
      </c>
      <c r="Q38" s="471">
        <f>DONNEES!$AB$61</f>
        <v>1.7</v>
      </c>
      <c r="R38" s="472">
        <f t="shared" si="15"/>
        <v>1.76</v>
      </c>
      <c r="S38" s="133"/>
      <c r="T38" s="469">
        <f>DONNEES!$AA$62</f>
        <v>13</v>
      </c>
      <c r="U38" s="470">
        <f t="shared" si="16"/>
        <v>0.1153846154</v>
      </c>
      <c r="V38" s="471">
        <f>DONNEES!$AB$62</f>
        <v>1.5</v>
      </c>
      <c r="W38" s="469">
        <f>DONNEES!$AA$63</f>
        <v>13</v>
      </c>
      <c r="X38" s="470">
        <f t="shared" si="17"/>
        <v>0.1153846154</v>
      </c>
      <c r="Y38" s="471">
        <f>DONNEES!$AB$63</f>
        <v>1.5</v>
      </c>
      <c r="Z38" s="469">
        <f>DONNEES!$AA$64</f>
        <v>13</v>
      </c>
      <c r="AA38" s="470">
        <f t="shared" si="18"/>
        <v>0.1153846154</v>
      </c>
      <c r="AB38" s="471">
        <f>DONNEES!$AB$64</f>
        <v>1.5</v>
      </c>
      <c r="AC38" s="469">
        <f>DONNEES!$AA$65</f>
        <v>13</v>
      </c>
      <c r="AD38" s="470">
        <f t="shared" si="19"/>
        <v>0.1153846154</v>
      </c>
      <c r="AE38" s="471">
        <f>DONNEES!$AB$65</f>
        <v>1.5</v>
      </c>
      <c r="AF38" s="469">
        <f>DONNEES!$AA$66</f>
        <v>13</v>
      </c>
      <c r="AG38" s="470">
        <f t="shared" si="20"/>
        <v>0.1153846154</v>
      </c>
      <c r="AH38" s="471">
        <f>DONNEES!$AB$66</f>
        <v>1.5</v>
      </c>
      <c r="AI38" s="472">
        <f t="shared" si="21"/>
        <v>1.5</v>
      </c>
      <c r="AJ38" s="473">
        <f t="shared" si="22"/>
        <v>-0.05227272727</v>
      </c>
      <c r="AK38" s="473" t="str">
        <f t="shared" si="23"/>
        <v>ni rabais ni bonus</v>
      </c>
      <c r="AL38" s="474">
        <f t="shared" si="24"/>
        <v>0</v>
      </c>
      <c r="AM38" s="421"/>
      <c r="AN38" s="421"/>
      <c r="AO38" s="421"/>
    </row>
    <row r="39" ht="15.75" customHeight="1">
      <c r="B39" s="468" t="str">
        <f>DONNEES!AC$55</f>
        <v>Soja</v>
      </c>
      <c r="C39" s="469">
        <f>DONNEES!$AC$57</f>
        <v>0</v>
      </c>
      <c r="D39" s="470" t="str">
        <f t="shared" si="10"/>
        <v/>
      </c>
      <c r="E39" s="471">
        <f>DONNEES!$AD$57</f>
        <v>1.3</v>
      </c>
      <c r="F39" s="469">
        <f>DONNEES!$AC$58</f>
        <v>0</v>
      </c>
      <c r="G39" s="470" t="str">
        <f t="shared" si="11"/>
        <v/>
      </c>
      <c r="H39" s="471">
        <f>DONNEES!$AD$58</f>
        <v>1.3</v>
      </c>
      <c r="I39" s="469">
        <f>DONNEES!$AC$59</f>
        <v>9</v>
      </c>
      <c r="J39" s="470">
        <f t="shared" si="12"/>
        <v>0.1666666667</v>
      </c>
      <c r="K39" s="471">
        <f>DONNEES!$AD$59</f>
        <v>1.5</v>
      </c>
      <c r="L39" s="469">
        <f>DONNEES!$AC$60</f>
        <v>0</v>
      </c>
      <c r="M39" s="470" t="str">
        <f t="shared" si="13"/>
        <v/>
      </c>
      <c r="N39" s="471">
        <f>DONNEES!$AD$60</f>
        <v>1.3</v>
      </c>
      <c r="O39" s="469">
        <f>DONNEES!$AC$61</f>
        <v>0</v>
      </c>
      <c r="P39" s="470" t="str">
        <f t="shared" si="14"/>
        <v/>
      </c>
      <c r="Q39" s="471">
        <f>DONNEES!$AD$61</f>
        <v>1.3</v>
      </c>
      <c r="R39" s="472">
        <f t="shared" si="15"/>
        <v>1.34</v>
      </c>
      <c r="S39" s="133"/>
      <c r="T39" s="469">
        <f>DONNEES!$AC$62</f>
        <v>9</v>
      </c>
      <c r="U39" s="470">
        <f t="shared" si="16"/>
        <v>0.2222222222</v>
      </c>
      <c r="V39" s="471">
        <f>DONNEES!$AD$62</f>
        <v>2</v>
      </c>
      <c r="W39" s="469">
        <f>DONNEES!$AC$63</f>
        <v>10</v>
      </c>
      <c r="X39" s="470">
        <f t="shared" si="17"/>
        <v>0.2</v>
      </c>
      <c r="Y39" s="471">
        <f>DONNEES!$AD$63</f>
        <v>2</v>
      </c>
      <c r="Z39" s="469">
        <f>DONNEES!$AC$64</f>
        <v>10</v>
      </c>
      <c r="AA39" s="470">
        <f t="shared" si="18"/>
        <v>0.2</v>
      </c>
      <c r="AB39" s="471">
        <f>DONNEES!$AD$64</f>
        <v>2</v>
      </c>
      <c r="AC39" s="469">
        <f>DONNEES!$AC$65</f>
        <v>10</v>
      </c>
      <c r="AD39" s="470">
        <f t="shared" si="19"/>
        <v>0.2</v>
      </c>
      <c r="AE39" s="471">
        <f>DONNEES!$AD$65</f>
        <v>2</v>
      </c>
      <c r="AF39" s="469">
        <f>DONNEES!$AC$66</f>
        <v>10</v>
      </c>
      <c r="AG39" s="470">
        <f t="shared" si="20"/>
        <v>0.2</v>
      </c>
      <c r="AH39" s="471">
        <f>DONNEES!$AD$66</f>
        <v>2</v>
      </c>
      <c r="AI39" s="472">
        <f t="shared" si="21"/>
        <v>2</v>
      </c>
      <c r="AJ39" s="473">
        <f t="shared" si="22"/>
        <v>0.2925373134</v>
      </c>
      <c r="AK39" s="473" t="str">
        <f t="shared" si="23"/>
        <v>+</v>
      </c>
      <c r="AL39" s="474">
        <f t="shared" si="24"/>
        <v>0.2925373134</v>
      </c>
      <c r="AM39" s="421"/>
      <c r="AN39" s="421"/>
      <c r="AO39" s="421"/>
    </row>
    <row r="40" ht="15.75" customHeight="1">
      <c r="B40" s="468" t="str">
        <f>DONNEES!AE$55</f>
        <v>Tournesol</v>
      </c>
      <c r="C40" s="469">
        <f>DONNEES!$AE$57</f>
        <v>0</v>
      </c>
      <c r="D40" s="470" t="str">
        <f t="shared" si="10"/>
        <v/>
      </c>
      <c r="E40" s="471">
        <f>DONNEES!$AF$57</f>
        <v>2.5</v>
      </c>
      <c r="F40" s="469">
        <f>DONNEES!$AE$58</f>
        <v>0</v>
      </c>
      <c r="G40" s="470" t="str">
        <f t="shared" si="11"/>
        <v/>
      </c>
      <c r="H40" s="471">
        <f>DONNEES!$AF$58</f>
        <v>2.5</v>
      </c>
      <c r="I40" s="469">
        <f>DONNEES!$AE$59</f>
        <v>0</v>
      </c>
      <c r="J40" s="470" t="str">
        <f t="shared" si="12"/>
        <v/>
      </c>
      <c r="K40" s="471">
        <f>DONNEES!$AF$59</f>
        <v>2.5</v>
      </c>
      <c r="L40" s="469">
        <f>DONNEES!$AE$60</f>
        <v>16</v>
      </c>
      <c r="M40" s="470">
        <f t="shared" si="13"/>
        <v>0.13125</v>
      </c>
      <c r="N40" s="471">
        <f>DONNEES!$AF$60</f>
        <v>2.1</v>
      </c>
      <c r="O40" s="469">
        <f>DONNEES!$AE$61</f>
        <v>21</v>
      </c>
      <c r="P40" s="470">
        <f t="shared" si="14"/>
        <v>0.09047619048</v>
      </c>
      <c r="Q40" s="471">
        <f>DONNEES!$AF$61</f>
        <v>1.9</v>
      </c>
      <c r="R40" s="472">
        <f t="shared" si="15"/>
        <v>2.3</v>
      </c>
      <c r="S40" s="133"/>
      <c r="T40" s="469">
        <f>DONNEES!$AE$62</f>
        <v>48</v>
      </c>
      <c r="U40" s="470">
        <f t="shared" si="16"/>
        <v>0.04166666667</v>
      </c>
      <c r="V40" s="471">
        <f>DONNEES!$AF$62</f>
        <v>2</v>
      </c>
      <c r="W40" s="469">
        <f>DONNEES!$AE$63</f>
        <v>40</v>
      </c>
      <c r="X40" s="470">
        <f t="shared" si="17"/>
        <v>0.05</v>
      </c>
      <c r="Y40" s="471">
        <f>DONNEES!$AF$63</f>
        <v>2</v>
      </c>
      <c r="Z40" s="469">
        <f>DONNEES!$AE$64</f>
        <v>40</v>
      </c>
      <c r="AA40" s="470">
        <f t="shared" si="18"/>
        <v>0.05</v>
      </c>
      <c r="AB40" s="471">
        <f>DONNEES!$AF$64</f>
        <v>2</v>
      </c>
      <c r="AC40" s="469">
        <f>DONNEES!$AE$65</f>
        <v>40</v>
      </c>
      <c r="AD40" s="470">
        <f t="shared" si="19"/>
        <v>0.05</v>
      </c>
      <c r="AE40" s="471">
        <f>DONNEES!$AF$65</f>
        <v>2</v>
      </c>
      <c r="AF40" s="469">
        <f>DONNEES!$AE$66</f>
        <v>40</v>
      </c>
      <c r="AG40" s="470">
        <f t="shared" si="20"/>
        <v>0.05</v>
      </c>
      <c r="AH40" s="471">
        <f>DONNEES!$AF$66</f>
        <v>2</v>
      </c>
      <c r="AI40" s="472">
        <f t="shared" si="21"/>
        <v>2</v>
      </c>
      <c r="AJ40" s="473">
        <f t="shared" si="22"/>
        <v>-0.06956521739</v>
      </c>
      <c r="AK40" s="473" t="str">
        <f t="shared" si="23"/>
        <v>ni rabais ni bonus</v>
      </c>
      <c r="AL40" s="474">
        <f t="shared" si="24"/>
        <v>0</v>
      </c>
      <c r="AM40" s="421"/>
      <c r="AN40" s="421"/>
      <c r="AO40" s="421"/>
    </row>
    <row r="41" ht="15.75" customHeight="1">
      <c r="B41" s="468" t="str">
        <f>DONNEES!AG$55</f>
        <v>Luzerne</v>
      </c>
      <c r="C41" s="469">
        <f>DONNEES!$AG$57</f>
        <v>0</v>
      </c>
      <c r="D41" s="470" t="str">
        <f t="shared" si="10"/>
        <v/>
      </c>
      <c r="E41" s="471">
        <f>DONNEES!$AH$57</f>
        <v>4.3</v>
      </c>
      <c r="F41" s="469">
        <f>DONNEES!$AG$58</f>
        <v>0</v>
      </c>
      <c r="G41" s="470" t="str">
        <f t="shared" si="11"/>
        <v/>
      </c>
      <c r="H41" s="471">
        <f>DONNEES!$AH$58</f>
        <v>4.3</v>
      </c>
      <c r="I41" s="469">
        <f>DONNEES!$AG$59</f>
        <v>0</v>
      </c>
      <c r="J41" s="470" t="str">
        <f t="shared" si="12"/>
        <v/>
      </c>
      <c r="K41" s="471">
        <f>DONNEES!$AH$59</f>
        <v>4.3</v>
      </c>
      <c r="L41" s="469">
        <f>DONNEES!$AG$60</f>
        <v>0</v>
      </c>
      <c r="M41" s="470" t="str">
        <f t="shared" si="13"/>
        <v/>
      </c>
      <c r="N41" s="471">
        <f>DONNEES!$AH$60</f>
        <v>4.3</v>
      </c>
      <c r="O41" s="469">
        <f>DONNEES!$AG$61</f>
        <v>48</v>
      </c>
      <c r="P41" s="470">
        <f t="shared" si="14"/>
        <v>0.0625</v>
      </c>
      <c r="Q41" s="471">
        <f>DONNEES!$AH$61</f>
        <v>3</v>
      </c>
      <c r="R41" s="472">
        <f t="shared" si="15"/>
        <v>4.04</v>
      </c>
      <c r="S41" s="133"/>
      <c r="T41" s="469">
        <f>DONNEES!$AG$62</f>
        <v>97</v>
      </c>
      <c r="U41" s="470">
        <f t="shared" si="16"/>
        <v>0.0412371134</v>
      </c>
      <c r="V41" s="471">
        <f>DONNEES!$AH$62</f>
        <v>4</v>
      </c>
      <c r="W41" s="469">
        <f>DONNEES!$AG$63</f>
        <v>50</v>
      </c>
      <c r="X41" s="470">
        <f t="shared" si="17"/>
        <v>0.08</v>
      </c>
      <c r="Y41" s="471">
        <f>DONNEES!$AH$63</f>
        <v>4</v>
      </c>
      <c r="Z41" s="469">
        <f>DONNEES!$AG$64</f>
        <v>50</v>
      </c>
      <c r="AA41" s="470">
        <f t="shared" si="18"/>
        <v>0.08</v>
      </c>
      <c r="AB41" s="471">
        <f>DONNEES!$AH$64</f>
        <v>4</v>
      </c>
      <c r="AC41" s="469">
        <f>DONNEES!$AG$65</f>
        <v>50</v>
      </c>
      <c r="AD41" s="470">
        <f t="shared" si="19"/>
        <v>0.08</v>
      </c>
      <c r="AE41" s="471">
        <f>DONNEES!$AH$65</f>
        <v>4</v>
      </c>
      <c r="AF41" s="469">
        <f>DONNEES!$AG$66</f>
        <v>50</v>
      </c>
      <c r="AG41" s="470">
        <f t="shared" si="20"/>
        <v>0.08</v>
      </c>
      <c r="AH41" s="471">
        <f>DONNEES!$AH$66</f>
        <v>4</v>
      </c>
      <c r="AI41" s="472">
        <f t="shared" si="21"/>
        <v>4</v>
      </c>
      <c r="AJ41" s="473">
        <f t="shared" si="22"/>
        <v>-0.1900990099</v>
      </c>
      <c r="AK41" s="473" t="str">
        <f t="shared" si="23"/>
        <v>ni rabais ni bonus</v>
      </c>
      <c r="AL41" s="474">
        <f t="shared" si="24"/>
        <v>0</v>
      </c>
      <c r="AM41" s="421"/>
      <c r="AN41" s="421"/>
      <c r="AO41" s="421"/>
    </row>
    <row r="42" ht="15.75" customHeight="1">
      <c r="B42" s="468" t="str">
        <f>DONNEES!AI$55</f>
        <v>Triticale</v>
      </c>
      <c r="C42" s="469">
        <f>DONNEES!$AI$57</f>
        <v>0</v>
      </c>
      <c r="D42" s="470" t="str">
        <f t="shared" si="10"/>
        <v/>
      </c>
      <c r="E42" s="471">
        <f>DONNEES!$AJ$57</f>
        <v>0</v>
      </c>
      <c r="F42" s="469">
        <f>DONNEES!$AI$58</f>
        <v>0</v>
      </c>
      <c r="G42" s="470" t="str">
        <f t="shared" si="11"/>
        <v/>
      </c>
      <c r="H42" s="471">
        <f>DONNEES!$AJ$58</f>
        <v>0</v>
      </c>
      <c r="I42" s="469">
        <f>DONNEES!$AI$59</f>
        <v>0</v>
      </c>
      <c r="J42" s="470" t="str">
        <f t="shared" si="12"/>
        <v/>
      </c>
      <c r="K42" s="471">
        <f>DONNEES!$AJ$59</f>
        <v>0</v>
      </c>
      <c r="L42" s="469">
        <f>DONNEES!$AI$60</f>
        <v>0</v>
      </c>
      <c r="M42" s="470" t="str">
        <f t="shared" si="13"/>
        <v/>
      </c>
      <c r="N42" s="471">
        <f>DONNEES!$AJ$60</f>
        <v>0</v>
      </c>
      <c r="O42" s="469">
        <f>DONNEES!$AI$61</f>
        <v>3</v>
      </c>
      <c r="P42" s="470">
        <f t="shared" si="14"/>
        <v>1</v>
      </c>
      <c r="Q42" s="471">
        <f>DONNEES!$AJ$61</f>
        <v>3</v>
      </c>
      <c r="R42" s="472">
        <f t="shared" si="15"/>
        <v>0.6</v>
      </c>
      <c r="S42" s="133"/>
      <c r="T42" s="469">
        <f>DONNEES!$AI$62</f>
        <v>16</v>
      </c>
      <c r="U42" s="470">
        <f t="shared" si="16"/>
        <v>0.1875</v>
      </c>
      <c r="V42" s="471">
        <f>DONNEES!$AJ$62</f>
        <v>3</v>
      </c>
      <c r="W42" s="469">
        <f>DONNEES!$AI$63</f>
        <v>0</v>
      </c>
      <c r="X42" s="470" t="str">
        <f t="shared" si="17"/>
        <v/>
      </c>
      <c r="Y42" s="471">
        <f>DONNEES!$AJ$63</f>
        <v>0</v>
      </c>
      <c r="Z42" s="469">
        <f>DONNEES!$AI$64</f>
        <v>0</v>
      </c>
      <c r="AA42" s="470" t="str">
        <f t="shared" si="18"/>
        <v/>
      </c>
      <c r="AB42" s="471">
        <f>DONNEES!$AJ$64</f>
        <v>0</v>
      </c>
      <c r="AC42" s="469">
        <f>DONNEES!$AI$65</f>
        <v>0</v>
      </c>
      <c r="AD42" s="470" t="str">
        <f t="shared" si="19"/>
        <v/>
      </c>
      <c r="AE42" s="471">
        <f>DONNEES!$AJ$65</f>
        <v>0</v>
      </c>
      <c r="AF42" s="469">
        <f>DONNEES!$AI$66</f>
        <v>0</v>
      </c>
      <c r="AG42" s="470" t="str">
        <f t="shared" si="20"/>
        <v/>
      </c>
      <c r="AH42" s="471">
        <f>DONNEES!$AJ$66</f>
        <v>0</v>
      </c>
      <c r="AI42" s="472">
        <f t="shared" si="21"/>
        <v>0.6</v>
      </c>
      <c r="AJ42" s="473" t="str">
        <f t="shared" si="22"/>
        <v>N/A</v>
      </c>
      <c r="AK42" s="473" t="str">
        <f t="shared" si="23"/>
        <v>ni rabais ni bonus</v>
      </c>
      <c r="AL42" s="474">
        <f t="shared" si="24"/>
        <v>0</v>
      </c>
      <c r="AM42" s="421"/>
      <c r="AN42" s="421"/>
      <c r="AO42" s="421"/>
    </row>
    <row r="43" ht="15.75" customHeight="1">
      <c r="B43" s="468" t="str">
        <f>DONNEES!AK$55</f>
        <v>Epeautre</v>
      </c>
      <c r="C43" s="469">
        <f>DONNEES!$AK$57</f>
        <v>0</v>
      </c>
      <c r="D43" s="470" t="str">
        <f t="shared" si="10"/>
        <v/>
      </c>
      <c r="E43" s="471">
        <f>DONNEES!$AL$57</f>
        <v>4.5</v>
      </c>
      <c r="F43" s="469">
        <f>DONNEES!$AK$58</f>
        <v>0</v>
      </c>
      <c r="G43" s="470" t="str">
        <f t="shared" si="11"/>
        <v/>
      </c>
      <c r="H43" s="471">
        <f>DONNEES!$AL$58</f>
        <v>4.5</v>
      </c>
      <c r="I43" s="469">
        <f>DONNEES!$AK$59</f>
        <v>0</v>
      </c>
      <c r="J43" s="470" t="str">
        <f t="shared" si="12"/>
        <v/>
      </c>
      <c r="K43" s="471">
        <f>DONNEES!$AL$59</f>
        <v>4.5</v>
      </c>
      <c r="L43" s="469">
        <f>DONNEES!$AK$60</f>
        <v>0</v>
      </c>
      <c r="M43" s="470" t="str">
        <f t="shared" si="13"/>
        <v/>
      </c>
      <c r="N43" s="471">
        <f>DONNEES!$AL$60</f>
        <v>4.5</v>
      </c>
      <c r="O43" s="469">
        <f>DONNEES!$AK$61</f>
        <v>0</v>
      </c>
      <c r="P43" s="470" t="str">
        <f t="shared" si="14"/>
        <v/>
      </c>
      <c r="Q43" s="471">
        <f>DONNEES!$AL$61</f>
        <v>4.5</v>
      </c>
      <c r="R43" s="472">
        <f t="shared" si="15"/>
        <v>4.5</v>
      </c>
      <c r="S43" s="133"/>
      <c r="T43" s="469">
        <f>DONNEES!$AK$62</f>
        <v>0</v>
      </c>
      <c r="U43" s="470" t="str">
        <f t="shared" si="16"/>
        <v/>
      </c>
      <c r="V43" s="471">
        <f>DONNEES!$AL$62</f>
        <v>4.5</v>
      </c>
      <c r="W43" s="469">
        <f>DONNEES!$AK$63</f>
        <v>22</v>
      </c>
      <c r="X43" s="470">
        <f t="shared" si="17"/>
        <v>0.09090909091</v>
      </c>
      <c r="Y43" s="471">
        <f>DONNEES!$AL$63</f>
        <v>2</v>
      </c>
      <c r="Z43" s="469">
        <f>DONNEES!$AK$64</f>
        <v>22</v>
      </c>
      <c r="AA43" s="470">
        <f t="shared" si="18"/>
        <v>0.09090909091</v>
      </c>
      <c r="AB43" s="471">
        <f>DONNEES!$AL64</f>
        <v>2</v>
      </c>
      <c r="AC43" s="469">
        <f>DONNEES!$AK$65</f>
        <v>22</v>
      </c>
      <c r="AD43" s="470">
        <f t="shared" si="19"/>
        <v>0.09090909091</v>
      </c>
      <c r="AE43" s="471">
        <f>DONNEES!$AL$65</f>
        <v>2</v>
      </c>
      <c r="AF43" s="469">
        <f>DONNEES!$AK$66</f>
        <v>22</v>
      </c>
      <c r="AG43" s="470">
        <f t="shared" si="20"/>
        <v>0.09090909091</v>
      </c>
      <c r="AH43" s="471">
        <f>DONNEES!$AL$66</f>
        <v>2</v>
      </c>
      <c r="AI43" s="472">
        <f t="shared" si="21"/>
        <v>2.5</v>
      </c>
      <c r="AJ43" s="473">
        <f t="shared" si="22"/>
        <v>0.2444444444</v>
      </c>
      <c r="AK43" s="473" t="str">
        <f t="shared" si="23"/>
        <v>rabais</v>
      </c>
      <c r="AL43" s="474">
        <f t="shared" si="24"/>
        <v>-0.2444444444</v>
      </c>
      <c r="AM43" s="421"/>
      <c r="AN43" s="421"/>
      <c r="AO43" s="421"/>
    </row>
    <row r="44" ht="15.75" customHeight="1">
      <c r="B44" s="468" t="str">
        <f>DONNEES!AM$55</f>
        <v/>
      </c>
      <c r="C44" s="469" t="str">
        <f>DONNEES!$AM$57</f>
        <v/>
      </c>
      <c r="D44" s="470" t="str">
        <f t="shared" si="10"/>
        <v/>
      </c>
      <c r="E44" s="471" t="str">
        <f>DONNEES!$AN$57</f>
        <v/>
      </c>
      <c r="F44" s="469" t="str">
        <f>DONNEES!$AM$58</f>
        <v/>
      </c>
      <c r="G44" s="470" t="str">
        <f t="shared" si="11"/>
        <v/>
      </c>
      <c r="H44" s="471" t="str">
        <f>DONNEES!$AN$58</f>
        <v/>
      </c>
      <c r="I44" s="469" t="str">
        <f>DONNEES!$AM$59</f>
        <v/>
      </c>
      <c r="J44" s="470" t="str">
        <f t="shared" si="12"/>
        <v/>
      </c>
      <c r="K44" s="471" t="str">
        <f>DONNEES!$AN$59</f>
        <v/>
      </c>
      <c r="L44" s="469" t="str">
        <f>DONNEES!$AM$60</f>
        <v/>
      </c>
      <c r="M44" s="470" t="str">
        <f t="shared" si="13"/>
        <v/>
      </c>
      <c r="N44" s="471" t="str">
        <f>DONNEES!$AN$60</f>
        <v/>
      </c>
      <c r="O44" s="469" t="str">
        <f>DONNEES!$AM$61</f>
        <v/>
      </c>
      <c r="P44" s="470" t="str">
        <f t="shared" si="14"/>
        <v/>
      </c>
      <c r="Q44" s="471" t="str">
        <f>DONNEES!$AN$61</f>
        <v/>
      </c>
      <c r="R44" s="472" t="str">
        <f t="shared" si="15"/>
        <v>N/A</v>
      </c>
      <c r="S44" s="133"/>
      <c r="T44" s="469" t="str">
        <f>DONNEES!$AM$62</f>
        <v/>
      </c>
      <c r="U44" s="470" t="str">
        <f t="shared" si="16"/>
        <v/>
      </c>
      <c r="V44" s="471" t="str">
        <f>DONNEES!$AN$62</f>
        <v/>
      </c>
      <c r="W44" s="469" t="str">
        <f>DONNEES!$AM$63</f>
        <v/>
      </c>
      <c r="X44" s="470" t="str">
        <f t="shared" si="17"/>
        <v/>
      </c>
      <c r="Y44" s="471" t="str">
        <f>DONNEES!$AN$63</f>
        <v/>
      </c>
      <c r="Z44" s="469" t="str">
        <f>DONNEES!$AM$64</f>
        <v/>
      </c>
      <c r="AA44" s="470" t="str">
        <f t="shared" si="18"/>
        <v/>
      </c>
      <c r="AB44" s="471" t="str">
        <f>DONNEES!$AN$64</f>
        <v/>
      </c>
      <c r="AC44" s="469" t="str">
        <f>DONNEES!$AM$65</f>
        <v/>
      </c>
      <c r="AD44" s="470" t="str">
        <f t="shared" si="19"/>
        <v/>
      </c>
      <c r="AE44" s="471" t="str">
        <f>DONNEES!$AN$65</f>
        <v/>
      </c>
      <c r="AF44" s="469" t="str">
        <f>DONNEES!$AM$66</f>
        <v/>
      </c>
      <c r="AG44" s="470" t="str">
        <f t="shared" si="20"/>
        <v/>
      </c>
      <c r="AH44" s="471" t="str">
        <f>DONNEES!$AN$66</f>
        <v/>
      </c>
      <c r="AI44" s="472" t="str">
        <f t="shared" si="21"/>
        <v>N/A</v>
      </c>
      <c r="AJ44" s="473" t="str">
        <f t="shared" si="22"/>
        <v>N/A</v>
      </c>
      <c r="AK44" s="473" t="str">
        <f t="shared" si="23"/>
        <v>N/A</v>
      </c>
      <c r="AL44" s="474" t="str">
        <f t="shared" si="24"/>
        <v>N/A</v>
      </c>
      <c r="AM44" s="421"/>
      <c r="AN44" s="421"/>
      <c r="AO44" s="421"/>
    </row>
    <row r="45" ht="15.75" customHeight="1">
      <c r="B45" s="468" t="str">
        <f>DONNEES!AO$55</f>
        <v/>
      </c>
      <c r="C45" s="469" t="str">
        <f>DONNEES!$AO$57</f>
        <v/>
      </c>
      <c r="D45" s="470" t="str">
        <f t="shared" si="10"/>
        <v/>
      </c>
      <c r="E45" s="471" t="str">
        <f>DONNEES!$AP$57</f>
        <v/>
      </c>
      <c r="F45" s="469" t="str">
        <f>DONNEES!$AO$58</f>
        <v/>
      </c>
      <c r="G45" s="470" t="str">
        <f t="shared" si="11"/>
        <v/>
      </c>
      <c r="H45" s="471" t="str">
        <f>DONNEES!$AP$58</f>
        <v/>
      </c>
      <c r="I45" s="469" t="str">
        <f>DONNEES!$AO$59</f>
        <v/>
      </c>
      <c r="J45" s="470" t="str">
        <f t="shared" si="12"/>
        <v/>
      </c>
      <c r="K45" s="471" t="str">
        <f>DONNEES!$AP$59</f>
        <v/>
      </c>
      <c r="L45" s="469" t="str">
        <f>DONNEES!$AO$60</f>
        <v/>
      </c>
      <c r="M45" s="470" t="str">
        <f t="shared" si="13"/>
        <v/>
      </c>
      <c r="N45" s="471" t="str">
        <f>DONNEES!$AP$60</f>
        <v/>
      </c>
      <c r="O45" s="469" t="str">
        <f>DONNEES!$AO$61</f>
        <v/>
      </c>
      <c r="P45" s="470" t="str">
        <f t="shared" si="14"/>
        <v/>
      </c>
      <c r="Q45" s="471" t="str">
        <f>DONNEES!$AP$61</f>
        <v/>
      </c>
      <c r="R45" s="472" t="str">
        <f t="shared" si="15"/>
        <v>N/A</v>
      </c>
      <c r="S45" s="133"/>
      <c r="T45" s="469" t="str">
        <f>DONNEES!$AO$62</f>
        <v/>
      </c>
      <c r="U45" s="470" t="str">
        <f t="shared" si="16"/>
        <v/>
      </c>
      <c r="V45" s="471" t="str">
        <f>DONNEES!$AP$62</f>
        <v/>
      </c>
      <c r="W45" s="469" t="str">
        <f>DONNEES!$AO$63</f>
        <v/>
      </c>
      <c r="X45" s="470" t="str">
        <f t="shared" si="17"/>
        <v/>
      </c>
      <c r="Y45" s="471" t="str">
        <f>DONNEES!$AP$63</f>
        <v/>
      </c>
      <c r="Z45" s="469" t="str">
        <f>DONNEES!$AO$64</f>
        <v/>
      </c>
      <c r="AA45" s="470" t="str">
        <f t="shared" si="18"/>
        <v/>
      </c>
      <c r="AB45" s="471" t="str">
        <f>DONNEES!$AP$64</f>
        <v/>
      </c>
      <c r="AC45" s="469" t="str">
        <f>DONNEES!$AO$65</f>
        <v/>
      </c>
      <c r="AD45" s="470" t="str">
        <f t="shared" si="19"/>
        <v/>
      </c>
      <c r="AE45" s="471" t="str">
        <f>DONNEES!$AP$65</f>
        <v/>
      </c>
      <c r="AF45" s="469" t="str">
        <f>DONNEES!$AO$66</f>
        <v/>
      </c>
      <c r="AG45" s="470" t="str">
        <f t="shared" si="20"/>
        <v/>
      </c>
      <c r="AH45" s="471" t="str">
        <f>DONNEES!$AP$66</f>
        <v/>
      </c>
      <c r="AI45" s="472" t="str">
        <f t="shared" si="21"/>
        <v>N/A</v>
      </c>
      <c r="AJ45" s="473" t="str">
        <f t="shared" si="22"/>
        <v>N/A</v>
      </c>
      <c r="AK45" s="473" t="str">
        <f t="shared" si="23"/>
        <v>N/A</v>
      </c>
      <c r="AL45" s="474" t="str">
        <f t="shared" si="24"/>
        <v>N/A</v>
      </c>
      <c r="AM45" s="421"/>
      <c r="AN45" s="475" t="s">
        <v>349</v>
      </c>
      <c r="AO45" s="476"/>
    </row>
    <row r="46" ht="15.75" customHeight="1">
      <c r="B46" s="468"/>
      <c r="C46" s="477"/>
      <c r="D46" s="470"/>
      <c r="E46" s="471"/>
      <c r="F46" s="478"/>
      <c r="G46" s="479"/>
      <c r="H46" s="480"/>
      <c r="I46" s="478"/>
      <c r="J46" s="479"/>
      <c r="K46" s="480"/>
      <c r="L46" s="478"/>
      <c r="M46" s="479"/>
      <c r="N46" s="471"/>
      <c r="O46" s="478"/>
      <c r="P46" s="479"/>
      <c r="Q46" s="480"/>
      <c r="R46" s="472" t="str">
        <f t="shared" si="15"/>
        <v>N/A</v>
      </c>
      <c r="S46" s="133"/>
      <c r="T46" s="477"/>
      <c r="U46" s="470"/>
      <c r="V46" s="471"/>
      <c r="W46" s="478"/>
      <c r="X46" s="479"/>
      <c r="Y46" s="480"/>
      <c r="Z46" s="478"/>
      <c r="AA46" s="479"/>
      <c r="AB46" s="480"/>
      <c r="AC46" s="478"/>
      <c r="AD46" s="479"/>
      <c r="AE46" s="471"/>
      <c r="AF46" s="478"/>
      <c r="AG46" s="479"/>
      <c r="AH46" s="480"/>
      <c r="AI46" s="472" t="str">
        <f t="shared" si="21"/>
        <v>N/A</v>
      </c>
      <c r="AJ46" s="473" t="str">
        <f t="shared" si="22"/>
        <v>N/A</v>
      </c>
      <c r="AK46" s="473" t="str">
        <f t="shared" si="23"/>
        <v>N/A</v>
      </c>
      <c r="AL46" s="474" t="str">
        <f t="shared" si="24"/>
        <v>N/A</v>
      </c>
      <c r="AM46" s="421"/>
      <c r="AN46" s="442" t="s">
        <v>340</v>
      </c>
      <c r="AO46" s="481" t="s">
        <v>341</v>
      </c>
    </row>
    <row r="47" ht="43.5" customHeight="1">
      <c r="B47" s="468"/>
      <c r="C47" s="482"/>
      <c r="D47" s="483"/>
      <c r="E47" s="484"/>
      <c r="F47" s="485"/>
      <c r="G47" s="486"/>
      <c r="H47" s="487"/>
      <c r="I47" s="485"/>
      <c r="J47" s="486"/>
      <c r="K47" s="487"/>
      <c r="L47" s="485"/>
      <c r="M47" s="486"/>
      <c r="N47" s="484"/>
      <c r="O47" s="485"/>
      <c r="P47" s="486"/>
      <c r="Q47" s="487"/>
      <c r="R47" s="472" t="str">
        <f t="shared" si="15"/>
        <v>N/A</v>
      </c>
      <c r="S47" s="133"/>
      <c r="T47" s="482"/>
      <c r="U47" s="483"/>
      <c r="V47" s="484"/>
      <c r="W47" s="485"/>
      <c r="X47" s="486"/>
      <c r="Y47" s="487"/>
      <c r="Z47" s="485"/>
      <c r="AA47" s="486"/>
      <c r="AB47" s="487"/>
      <c r="AC47" s="485"/>
      <c r="AD47" s="486"/>
      <c r="AE47" s="484"/>
      <c r="AF47" s="485"/>
      <c r="AG47" s="486"/>
      <c r="AH47" s="487"/>
      <c r="AI47" s="472" t="str">
        <f t="shared" si="21"/>
        <v>N/A</v>
      </c>
      <c r="AJ47" s="473" t="str">
        <f t="shared" si="22"/>
        <v>N/A</v>
      </c>
      <c r="AK47" s="473" t="str">
        <f t="shared" si="23"/>
        <v>N/A</v>
      </c>
      <c r="AL47" s="474" t="str">
        <f t="shared" si="24"/>
        <v>N/A</v>
      </c>
      <c r="AM47" s="421"/>
      <c r="AN47" s="444" t="str">
        <f>IF(AO47&lt;0,"Rabais",IF(AO47&gt;0,"Bonus","Ni rabais ni bonus"))</f>
        <v>Rabais</v>
      </c>
      <c r="AO47" s="445">
        <f t="array" ref="AO47">IF(AND(EXACT(AL31:AL47,"N/A")),"N/A",MEDIAN(IF(ISNUMBER(AI31:AI47),AL31:AL47)))</f>
        <v>-0.2444444444</v>
      </c>
      <c r="AP47" s="421"/>
    </row>
    <row r="48" ht="15.75" customHeight="1">
      <c r="R48" s="372"/>
      <c r="AM48" s="421"/>
      <c r="AN48" s="421"/>
      <c r="AO48" s="421"/>
      <c r="AP48" s="421"/>
    </row>
    <row r="49" ht="15.0" customHeight="1">
      <c r="AI49" s="404"/>
      <c r="AM49" s="421"/>
      <c r="AN49" s="421"/>
      <c r="AO49" s="421"/>
      <c r="AP49" s="421"/>
    </row>
    <row r="50" ht="15.75" customHeight="1">
      <c r="B50" s="145" t="s">
        <v>350</v>
      </c>
    </row>
    <row r="51" ht="15.0" customHeight="1"/>
    <row r="52" ht="15.75" customHeight="1">
      <c r="B52" s="423" t="s">
        <v>351</v>
      </c>
      <c r="C52" s="424"/>
      <c r="D52" s="424"/>
      <c r="E52" s="424"/>
    </row>
    <row r="53" ht="75.0" customHeight="1">
      <c r="B53" s="427" t="s">
        <v>307</v>
      </c>
      <c r="C53" s="428" t="s">
        <v>352</v>
      </c>
      <c r="D53" s="428" t="s">
        <v>353</v>
      </c>
      <c r="E53" s="428" t="s">
        <v>354</v>
      </c>
      <c r="I53" s="488" t="s">
        <v>340</v>
      </c>
      <c r="J53" s="489" t="s">
        <v>341</v>
      </c>
    </row>
    <row r="54" ht="15.75" customHeight="1">
      <c r="B54" s="166" t="s">
        <v>181</v>
      </c>
      <c r="C54" s="490">
        <f>DONNEES!E61</f>
        <v>15</v>
      </c>
      <c r="D54" s="490">
        <f>DONNEES!F61</f>
        <v>0</v>
      </c>
      <c r="E54" s="490">
        <f>DONNEES!G61</f>
        <v>0</v>
      </c>
      <c r="I54" s="491" t="str">
        <f>IF(OR(C58-C54&lt;0,D58-D54&lt;0,E58-E54&lt;0),"Rabais",IF(AND(C58=C54, D58=D54, E58=E54),"Ni rabais ni bonus", "Bonus"))</f>
        <v>Ni rabais ni bonus</v>
      </c>
      <c r="J54" s="492">
        <f>SUM(IF(OR(C58-C54&lt;0,D58-D54&lt;0,E58-E54&lt;0),-0.3,),IF(OR(C58-C54&gt;0,D58-D54&gt;0,E58-E54&gt;0),0.1))</f>
        <v>0</v>
      </c>
    </row>
    <row r="55" ht="15.75" customHeight="1"/>
    <row r="56" ht="15.75" customHeight="1">
      <c r="B56" s="423" t="s">
        <v>355</v>
      </c>
      <c r="C56" s="424"/>
      <c r="D56" s="424"/>
      <c r="E56" s="424"/>
      <c r="I56" s="120"/>
    </row>
    <row r="57" ht="75.75" customHeight="1">
      <c r="B57" s="427" t="s">
        <v>307</v>
      </c>
      <c r="C57" s="428" t="s">
        <v>352</v>
      </c>
      <c r="D57" s="428" t="s">
        <v>353</v>
      </c>
      <c r="E57" s="428" t="s">
        <v>354</v>
      </c>
      <c r="K57" s="141"/>
    </row>
    <row r="58" ht="15.75" customHeight="1">
      <c r="B58" s="166" t="s">
        <v>292</v>
      </c>
      <c r="C58" s="479">
        <f>DONNEES!E66</f>
        <v>15</v>
      </c>
      <c r="D58" s="479">
        <f>DONNEES!F66</f>
        <v>0</v>
      </c>
      <c r="E58" s="479">
        <f>DONNEES!G66</f>
        <v>0</v>
      </c>
    </row>
    <row r="59" ht="15.75" customHeight="1"/>
    <row r="60" ht="15.75" customHeight="1">
      <c r="O60" s="493" t="s">
        <v>341</v>
      </c>
    </row>
    <row r="61" ht="14.25" customHeight="1">
      <c r="B61" s="494" t="s">
        <v>356</v>
      </c>
      <c r="L61" s="495"/>
      <c r="O61" s="496"/>
    </row>
    <row r="62" ht="14.25" customHeight="1">
      <c r="L62" s="495"/>
      <c r="M62" s="113" t="s">
        <v>357</v>
      </c>
      <c r="O62" s="497"/>
    </row>
    <row r="63" ht="15.75" customHeight="1"/>
    <row r="64" ht="15.75" customHeight="1">
      <c r="B64" s="113" t="s">
        <v>358</v>
      </c>
      <c r="M64" s="498" t="str">
        <f>IF(DONNEES!L81="Oui","O","N")</f>
        <v>N</v>
      </c>
      <c r="O64" s="492">
        <f>IF(M64="O",-0.2,0)</f>
        <v>0</v>
      </c>
    </row>
    <row r="65" ht="15.75" customHeight="1"/>
    <row r="66" ht="15.75" customHeight="1">
      <c r="B66" s="113" t="s">
        <v>359</v>
      </c>
      <c r="M66" s="498" t="str">
        <f>IF(DONNEES!N81="Oui","O","N")</f>
        <v>N</v>
      </c>
      <c r="O66" s="492">
        <f>IF(M66="O",-0.2,0)</f>
        <v>0</v>
      </c>
    </row>
    <row r="67" ht="15.75" customHeight="1"/>
    <row r="68" ht="15.75" customHeight="1"/>
    <row r="69" ht="15.75" customHeight="1"/>
    <row r="70" ht="15.75" customHeight="1"/>
    <row r="71" ht="15.75" customHeight="1">
      <c r="B71" s="499" t="s">
        <v>360</v>
      </c>
    </row>
    <row r="72" ht="15.75" customHeight="1"/>
    <row r="73" ht="15.75" customHeight="1"/>
    <row r="74" ht="81.0" customHeight="1">
      <c r="C74" s="500" t="s">
        <v>361</v>
      </c>
      <c r="D74" s="500" t="s">
        <v>341</v>
      </c>
    </row>
    <row r="75" ht="15.75" customHeight="1">
      <c r="C75" s="501" t="str">
        <f>IF(D75&gt;0, "Bonus", IF(D75&lt;0,"Rabais","Ni rabais ni bonus"))</f>
        <v>Rabais</v>
      </c>
      <c r="D75" s="502">
        <f>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</f>
        <v>-0.2444444444</v>
      </c>
    </row>
    <row r="76" ht="15.75" customHeight="1"/>
  </sheetData>
  <mergeCells count="16">
    <mergeCell ref="AI28:AI30"/>
    <mergeCell ref="AJ28:AJ30"/>
    <mergeCell ref="B50:L51"/>
    <mergeCell ref="O60:O62"/>
    <mergeCell ref="B61:K62"/>
    <mergeCell ref="B71:Q72"/>
    <mergeCell ref="AK28:AK30"/>
    <mergeCell ref="AL28:AL30"/>
    <mergeCell ref="AN45:AO45"/>
    <mergeCell ref="B1:K2"/>
    <mergeCell ref="B5:X5"/>
    <mergeCell ref="B13:X13"/>
    <mergeCell ref="Y19:Z19"/>
    <mergeCell ref="AN19:AO19"/>
    <mergeCell ref="B27:X27"/>
    <mergeCell ref="R28:R30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2018-08-24T08:28:57Z</dcterms:created>
  <dc:creator>Mathilde Scheuer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</Properties>
</file>