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zeauguillaume\Downloads\"/>
    </mc:Choice>
  </mc:AlternateContent>
  <xr:revisionPtr revIDLastSave="0" documentId="13_ncr:1_{8764BFB6-156F-475D-B7A2-3FF4029DB2C3}" xr6:coauthVersionLast="47" xr6:coauthVersionMax="47" xr10:uidLastSave="{00000000-0000-0000-0000-000000000000}"/>
  <bookViews>
    <workbookView xWindow="-120" yWindow="-1632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FR4" i="2"/>
  <c r="BQ4" i="2"/>
  <c r="EC4" i="2"/>
  <c r="BR4" i="2"/>
  <c r="GL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EX7" i="2"/>
  <c r="EA7" i="2"/>
  <c r="HI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G14" i="2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HG18" i="2"/>
  <c r="FS18" i="2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W22" i="2"/>
  <c r="EA22" i="2"/>
  <c r="EB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FS28" i="2"/>
  <c r="EC28" i="2"/>
  <c r="HG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HH33" i="2"/>
  <c r="EB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HI38" i="2"/>
  <c r="EA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HI50" i="2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V57" i="2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HH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FS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EW113" i="2"/>
  <c r="HG113" i="2"/>
  <c r="FS113" i="2"/>
  <c r="EX113" i="2"/>
  <c r="HI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HH120" i="2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FS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EX124" i="2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X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HH130" i="2"/>
  <c r="EB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G140" i="2"/>
  <c r="FR140" i="2"/>
  <c r="HH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A144" i="2"/>
  <c r="EB144" i="2"/>
  <c r="HG144" i="2"/>
  <c r="FR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B145" i="2"/>
  <c r="EA145" i="2"/>
  <c r="HH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I146" i="2"/>
  <c r="FS146" i="2"/>
  <c r="HG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C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HG154" i="2"/>
  <c r="AB154" i="2"/>
  <c r="HH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HG155" i="2"/>
  <c r="AC154" i="2"/>
  <c r="EW155" i="2"/>
  <c r="EA155" i="2"/>
  <c r="DI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AB156" i="2"/>
  <c r="FS156" i="2"/>
  <c r="EB156" i="2"/>
  <c r="EX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CN156" i="2"/>
  <c r="EA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W158" i="2"/>
  <c r="ED157" i="2"/>
  <c r="EC158" i="2"/>
  <c r="EV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C160" i="2"/>
  <c r="FS160" i="2"/>
  <c r="DG160" i="2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ED160" i="2"/>
  <c r="EB161" i="2"/>
  <c r="EX161" i="2"/>
  <c r="AB161" i="2"/>
  <c r="EA161" i="2"/>
  <c r="FS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EW162" i="2"/>
  <c r="EY161" i="2"/>
  <c r="DI161" i="2"/>
  <c r="EC162" i="2"/>
  <c r="EB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D162" i="2"/>
  <c r="HI163" i="2"/>
  <c r="EV163" i="2"/>
  <c r="FS163" i="2"/>
  <c r="EC163" i="2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DI163" i="2" l="1"/>
  <c r="EX164" i="2"/>
  <c r="DH164" i="2"/>
  <c r="FR164" i="2"/>
  <c r="HH164" i="2"/>
  <c r="HG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EA167" i="2"/>
  <c r="EB167" i="2"/>
  <c r="HI167" i="2"/>
  <c r="FR167" i="2"/>
  <c r="DG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G168" i="2"/>
  <c r="DI167" i="2"/>
  <c r="HI168" i="2"/>
  <c r="EW168" i="2"/>
  <c r="HH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EA169" i="2"/>
  <c r="FS169" i="2"/>
  <c r="HH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HG172" i="2"/>
  <c r="EV172" i="2"/>
  <c r="EA172" i="2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FS175" i="2"/>
  <c r="EA175" i="2"/>
  <c r="EW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HG178" i="2"/>
  <c r="EB178" i="2"/>
  <c r="ED177" i="2"/>
  <c r="EA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H179" i="2"/>
  <c r="EV179" i="2"/>
  <c r="HI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FS183" i="2" l="1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HG186" i="2"/>
  <c r="ED185" i="2"/>
  <c r="FR186" i="2"/>
  <c r="EB186" i="2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EV189" i="2"/>
  <c r="HH189" i="2"/>
  <c r="AA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EY189" i="2" s="1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W190" i="2" l="1"/>
  <c r="EB190" i="2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Y192" i="2" s="1"/>
  <c r="EA192" i="2"/>
  <c r="EB192" i="2"/>
  <c r="EW192" i="2"/>
  <c r="HI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A193" i="2"/>
  <c r="EB193" i="2"/>
  <c r="DI192" i="2"/>
  <c r="EX193" i="2"/>
  <c r="HI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A194" i="2"/>
  <c r="CN193" i="2"/>
  <c r="HG194" i="2"/>
  <c r="FQ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HG195" i="2"/>
  <c r="ED194" i="2"/>
  <c r="EY194" i="2"/>
  <c r="HI195" i="2"/>
  <c r="AA195" i="2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EY196" i="2"/>
  <c r="AA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Y198" i="2" s="1"/>
  <c r="EW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HG199" i="2"/>
  <c r="EB199" i="2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A201" i="2" l="1"/>
  <c r="ED200" i="2"/>
  <c r="DI200" i="2"/>
  <c r="FS201" i="2"/>
  <c r="HH201" i="2"/>
  <c r="EB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Y201" i="2"/>
  <c r="HH202" i="2"/>
  <c r="FZ6" i="2"/>
  <c r="FR202" i="2"/>
  <c r="HI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EI195" i="2" a="1"/>
  <c r="EI195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FD82" i="2" a="1"/>
  <c r="FD82" i="2" s="1"/>
  <c r="HJ202" i="2"/>
  <c r="AX200" i="2"/>
  <c r="BC151" i="2" l="1" a="1"/>
  <c r="BC151" i="2" s="1"/>
  <c r="DN66" i="2" a="1"/>
  <c r="DN66" i="2" s="1"/>
  <c r="CS24" i="2" a="1"/>
  <c r="CS24" i="2" s="1"/>
  <c r="BC32" i="2" a="1"/>
  <c r="BC32" i="2" s="1"/>
  <c r="BC192" i="2" a="1"/>
  <c r="BC192" i="2" s="1"/>
  <c r="BC117" i="2" a="1"/>
  <c r="BC117" i="2" s="1"/>
  <c r="BC18" i="2" a="1"/>
  <c r="BC18" i="2" s="1"/>
  <c r="BC55" i="2" a="1"/>
  <c r="BC55" i="2" s="1"/>
  <c r="BC181" i="2" a="1"/>
  <c r="BC181" i="2" s="1"/>
  <c r="BC164" i="2" a="1"/>
  <c r="BC164" i="2" s="1"/>
  <c r="BC38" i="2" a="1"/>
  <c r="BC38" i="2" s="1"/>
  <c r="BC130" i="2" a="1"/>
  <c r="BC130" i="2" s="1"/>
  <c r="BC65" i="2" a="1"/>
  <c r="BC65" i="2" s="1"/>
  <c r="BC83" i="2" a="1"/>
  <c r="BC83" i="2" s="1"/>
  <c r="BC47" i="2" a="1"/>
  <c r="BC47" i="2" s="1"/>
  <c r="AH151" i="2" a="1"/>
  <c r="AH151" i="2" s="1"/>
  <c r="BC34" i="2" a="1"/>
  <c r="BC34" i="2" s="1"/>
  <c r="BC114" i="2" a="1"/>
  <c r="BC114" i="2" s="1"/>
  <c r="BC126" i="2" a="1"/>
  <c r="BC126" i="2" s="1"/>
  <c r="BC82" i="2" a="1"/>
  <c r="BC82" i="2" s="1"/>
  <c r="BC58" i="2" a="1"/>
  <c r="BC58" i="2" s="1"/>
  <c r="CS38" i="2" a="1"/>
  <c r="CS38" i="2" s="1"/>
  <c r="CS77" i="2" a="1"/>
  <c r="CS77" i="2" s="1"/>
  <c r="AH19" i="2" a="1"/>
  <c r="AH19" i="2" s="1"/>
  <c r="AH90" i="2" a="1"/>
  <c r="AH90" i="2" s="1"/>
  <c r="BP203" i="2"/>
  <c r="DN16" i="2" a="1"/>
  <c r="DN16" i="2" s="1"/>
  <c r="FY173" i="2" a="1"/>
  <c r="FY173" i="2" s="1"/>
  <c r="DN43" i="2" a="1"/>
  <c r="DN43" i="2" s="1"/>
  <c r="FY188" i="2" a="1"/>
  <c r="FY188" i="2" s="1"/>
  <c r="DN49" i="2" a="1"/>
  <c r="DN49" i="2" s="1"/>
  <c r="DN186" i="2" a="1"/>
  <c r="DN186" i="2" s="1"/>
  <c r="FY28" i="2" a="1"/>
  <c r="FY28" i="2" s="1"/>
  <c r="FY121" i="2" a="1"/>
  <c r="FY121" i="2" s="1"/>
  <c r="FY35" i="2" a="1"/>
  <c r="FY35" i="2" s="1"/>
  <c r="DN190" i="2" a="1"/>
  <c r="DN190" i="2" s="1"/>
  <c r="DN170" i="2" a="1"/>
  <c r="DN170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DN132" i="2" a="1"/>
  <c r="DN132" i="2" s="1"/>
  <c r="DN188" i="2" a="1"/>
  <c r="DN188" i="2" s="1"/>
  <c r="FY115" i="2" a="1"/>
  <c r="FY115" i="2" s="1"/>
  <c r="FY133" i="2" a="1"/>
  <c r="FY133" i="2" s="1"/>
  <c r="DN162" i="2" a="1"/>
  <c r="DN162" i="2" s="1"/>
  <c r="DN177" i="2" a="1"/>
  <c r="DN177" i="2" s="1"/>
  <c r="FY164" i="2" a="1"/>
  <c r="FY164" i="2" s="1"/>
  <c r="FY29" i="2" a="1"/>
  <c r="FY29" i="2" s="1"/>
  <c r="DN135" i="2" a="1"/>
  <c r="DN135" i="2" s="1"/>
  <c r="CS129" i="2" a="1"/>
  <c r="CS129" i="2" s="1"/>
  <c r="FY124" i="2" a="1"/>
  <c r="FY124" i="2" s="1"/>
  <c r="BX107" i="2" a="1"/>
  <c r="BX107" i="2" s="1"/>
  <c r="DN65" i="2" a="1"/>
  <c r="DN65" i="2" s="1"/>
  <c r="CS114" i="2" a="1"/>
  <c r="CS114" i="2" s="1"/>
  <c r="CS120" i="2" a="1"/>
  <c r="CS120" i="2" s="1"/>
  <c r="FY80" i="2" a="1"/>
  <c r="FY80" i="2" s="1"/>
  <c r="AH163" i="2" a="1"/>
  <c r="AH163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41" i="2" a="1"/>
  <c r="DN41" i="2" s="1"/>
  <c r="FY126" i="2" a="1"/>
  <c r="FY126" i="2" s="1"/>
  <c r="DN46" i="2" a="1"/>
  <c r="DN46" i="2" s="1"/>
  <c r="FY140" i="2" a="1"/>
  <c r="FY140" i="2" s="1"/>
  <c r="FY58" i="2" a="1"/>
  <c r="FY58" i="2" s="1"/>
  <c r="FY47" i="2" a="1"/>
  <c r="FY47" i="2" s="1"/>
  <c r="DN176" i="2" a="1"/>
  <c r="DN176" i="2" s="1"/>
  <c r="DN153" i="2" a="1"/>
  <c r="DN153" i="2" s="1"/>
  <c r="FY24" i="2" a="1"/>
  <c r="FY24" i="2" s="1"/>
  <c r="FY167" i="2" a="1"/>
  <c r="FY167" i="2" s="1"/>
  <c r="FY174" i="2" a="1"/>
  <c r="FY174" i="2" s="1"/>
  <c r="DN38" i="2" a="1"/>
  <c r="DN38" i="2" s="1"/>
  <c r="DN70" i="2" a="1"/>
  <c r="DN70" i="2" s="1"/>
  <c r="CS56" i="2" a="1"/>
  <c r="CS56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30" i="2" a="1"/>
  <c r="DN30" i="2" s="1"/>
  <c r="DN86" i="2" a="1"/>
  <c r="DN86" i="2" s="1"/>
  <c r="FY34" i="2" a="1"/>
  <c r="FY34" i="2" s="1"/>
  <c r="DN114" i="2" a="1"/>
  <c r="DN114" i="2" s="1"/>
  <c r="FY79" i="2" a="1"/>
  <c r="FY79" i="2" s="1"/>
  <c r="DN103" i="2" a="1"/>
  <c r="DN103" i="2" s="1"/>
  <c r="FY143" i="2" a="1"/>
  <c r="FY143" i="2" s="1"/>
  <c r="DN164" i="2" a="1"/>
  <c r="DN164" i="2" s="1"/>
  <c r="DN137" i="2" a="1"/>
  <c r="DN137" i="2" s="1"/>
  <c r="FY78" i="2" a="1"/>
  <c r="FY78" i="2" s="1"/>
  <c r="CS105" i="2" a="1"/>
  <c r="CS105" i="2" s="1"/>
  <c r="FY110" i="2" a="1"/>
  <c r="FY110" i="2" s="1"/>
  <c r="DN133" i="2" a="1"/>
  <c r="DN133" i="2" s="1"/>
  <c r="DN45" i="2" a="1"/>
  <c r="DN45" i="2" s="1"/>
  <c r="DN55" i="2" a="1"/>
  <c r="DN55" i="2" s="1"/>
  <c r="DN80" i="2" a="1"/>
  <c r="DN80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67" i="2" a="1"/>
  <c r="DN167" i="2" s="1"/>
  <c r="DN29" i="2" a="1"/>
  <c r="DN29" i="2" s="1"/>
  <c r="FY109" i="2" a="1"/>
  <c r="FY109" i="2" s="1"/>
  <c r="FY86" i="2" a="1"/>
  <c r="FY86" i="2" s="1"/>
  <c r="FY159" i="2" a="1"/>
  <c r="FY159" i="2" s="1"/>
  <c r="DN115" i="2" a="1"/>
  <c r="DN115" i="2" s="1"/>
  <c r="FY149" i="2" a="1"/>
  <c r="FY149" i="2" s="1"/>
  <c r="FY191" i="2" a="1"/>
  <c r="FY191" i="2" s="1"/>
  <c r="DN187" i="2" a="1"/>
  <c r="DN187" i="2" s="1"/>
  <c r="CS137" i="2" a="1"/>
  <c r="CS137" i="2" s="1"/>
  <c r="FY165" i="2" a="1"/>
  <c r="FY165" i="2" s="1"/>
  <c r="CS72" i="2" a="1"/>
  <c r="CS72" i="2" s="1"/>
  <c r="CS134" i="2" a="1"/>
  <c r="CS134" i="2" s="1"/>
  <c r="DN110" i="2" a="1"/>
  <c r="DN110" i="2" s="1"/>
  <c r="CS185" i="2" a="1"/>
  <c r="CS185" i="2" s="1"/>
  <c r="FY196" i="2" a="1"/>
  <c r="FY196" i="2" s="1"/>
  <c r="AH166" i="2" a="1"/>
  <c r="AH16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EY203" i="2" s="1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6" i="2" l="1"/>
  <c r="CY200" i="2"/>
  <c r="CY103" i="2"/>
  <c r="CY134" i="2"/>
  <c r="CY138" i="2"/>
  <c r="CY196" i="2"/>
  <c r="CY175" i="2"/>
  <c r="CY80" i="2"/>
  <c r="CY33" i="2"/>
  <c r="CY24" i="2"/>
  <c r="CY43" i="2"/>
  <c r="CY168" i="2"/>
  <c r="CY157" i="2"/>
  <c r="CY56" i="2"/>
  <c r="CY77" i="2"/>
  <c r="CY37" i="2"/>
  <c r="CY201" i="2"/>
  <c r="CY83" i="2"/>
  <c r="CY9" i="2"/>
  <c r="CY113" i="2"/>
  <c r="CY172" i="2"/>
  <c r="CY93" i="2"/>
  <c r="CY42" i="2"/>
  <c r="CY132" i="2"/>
  <c r="CY174" i="2"/>
  <c r="CY102" i="2"/>
  <c r="CY116" i="2"/>
  <c r="CY59" i="2"/>
  <c r="CY96" i="2"/>
  <c r="CY82" i="2"/>
  <c r="CY111" i="2"/>
  <c r="CY66" i="2"/>
  <c r="CY112" i="2"/>
  <c r="CY192" i="2"/>
  <c r="CY39" i="2"/>
  <c r="CY25" i="2"/>
  <c r="CY73" i="2"/>
  <c r="CY117" i="2"/>
  <c r="CY29" i="2"/>
  <c r="CY28" i="2"/>
  <c r="CY166" i="2"/>
  <c r="CY182" i="2"/>
  <c r="CY203" i="2"/>
  <c r="CY190" i="2"/>
  <c r="CY162" i="2"/>
  <c r="CY16" i="2"/>
  <c r="CY67" i="2"/>
  <c r="CY35" i="2"/>
  <c r="CY199" i="2"/>
  <c r="CY131" i="2"/>
  <c r="CY104" i="2"/>
  <c r="CY20" i="2"/>
  <c r="CY150" i="2"/>
  <c r="CY15" i="2"/>
  <c r="CY194" i="2"/>
  <c r="CY119" i="2"/>
  <c r="CY158" i="2"/>
  <c r="CY109" i="2"/>
  <c r="CY145" i="2"/>
  <c r="CY198" i="2"/>
  <c r="CY3" i="2"/>
  <c r="C10" i="4" s="1"/>
  <c r="E10" i="4" s="1"/>
  <c r="F10" i="4" s="1"/>
  <c r="G10" i="4" s="1"/>
  <c r="L10" i="4" s="1"/>
  <c r="CY141" i="2"/>
  <c r="CY19" i="2"/>
  <c r="CY95" i="2"/>
  <c r="CY151" i="2"/>
  <c r="CY161" i="2"/>
  <c r="CY62" i="2"/>
  <c r="CY92" i="2"/>
  <c r="CY41" i="2"/>
  <c r="CY110" i="2"/>
  <c r="CY143" i="2"/>
  <c r="CY127" i="2"/>
  <c r="CY101" i="2"/>
  <c r="CY123" i="2"/>
  <c r="CY6" i="2"/>
  <c r="CY125" i="2"/>
  <c r="CY90" i="2"/>
  <c r="CY34" i="2"/>
  <c r="CY27" i="2"/>
  <c r="CY142" i="2"/>
  <c r="CY23" i="2"/>
  <c r="CY167" i="2"/>
  <c r="CY49" i="2"/>
  <c r="CY137" i="2"/>
  <c r="CY165" i="2"/>
  <c r="CY52" i="2"/>
  <c r="CY7" i="2"/>
  <c r="CY191" i="2"/>
  <c r="CY193" i="2"/>
  <c r="CY14" i="2"/>
  <c r="CY164" i="2"/>
  <c r="CY176" i="2"/>
  <c r="CY78" i="2"/>
  <c r="CY169" i="2"/>
  <c r="CY108" i="2"/>
  <c r="CY121" i="2"/>
  <c r="CY10" i="2"/>
  <c r="CY181" i="2"/>
  <c r="CY155" i="2"/>
  <c r="CY76" i="2"/>
  <c r="CY118" i="2"/>
  <c r="CY195" i="2"/>
  <c r="CY30" i="2"/>
  <c r="CY183" i="2"/>
  <c r="CY64" i="2"/>
  <c r="CY152" i="2"/>
  <c r="CY130" i="2"/>
  <c r="CY72" i="2"/>
  <c r="CY105" i="2"/>
  <c r="CY32" i="2"/>
  <c r="CY84" i="2"/>
  <c r="CY13" i="2"/>
  <c r="CY11" i="2"/>
  <c r="CY51" i="2"/>
  <c r="CY188" i="2"/>
  <c r="CY139" i="2"/>
  <c r="CY122" i="2"/>
  <c r="CY71" i="2"/>
  <c r="CY88" i="2"/>
  <c r="CY48" i="2"/>
  <c r="CY47" i="2"/>
  <c r="CY8" i="2"/>
  <c r="CY60" i="2"/>
  <c r="CY180" i="2"/>
  <c r="CY187" i="2"/>
  <c r="CY128" i="2"/>
  <c r="CY5" i="2"/>
  <c r="CY106" i="2"/>
  <c r="CY100" i="2"/>
  <c r="CY75" i="2"/>
  <c r="CY153" i="2"/>
  <c r="CY115" i="2"/>
  <c r="CY63" i="2"/>
  <c r="CY154" i="2"/>
  <c r="CY185" i="2"/>
  <c r="CY18" i="2"/>
  <c r="CY85" i="2"/>
  <c r="CY44" i="2"/>
  <c r="CY148" i="2"/>
  <c r="CY140" i="2"/>
  <c r="CY135" i="2"/>
  <c r="CY136" i="2"/>
  <c r="CY87" i="2"/>
  <c r="CY156" i="2"/>
  <c r="CY186" i="2"/>
  <c r="CY98" i="2"/>
  <c r="CY65" i="2"/>
  <c r="CY120" i="2"/>
  <c r="CY86" i="2"/>
  <c r="CY146" i="2"/>
  <c r="CY189" i="2"/>
  <c r="CY70" i="2"/>
  <c r="CY163" i="2"/>
  <c r="CY126" i="2"/>
  <c r="CY159" i="2"/>
  <c r="CY97" i="2"/>
  <c r="CY177" i="2"/>
  <c r="CY147" i="2"/>
  <c r="CY57" i="2"/>
  <c r="CY89" i="2"/>
  <c r="CY133" i="2"/>
  <c r="CY45" i="2"/>
  <c r="CY36" i="2"/>
  <c r="CY129" i="2"/>
  <c r="CY17" i="2"/>
  <c r="CY171" i="2"/>
  <c r="CY40" i="2"/>
  <c r="CY178" i="2"/>
  <c r="CY58" i="2"/>
  <c r="CY114" i="2"/>
  <c r="CY170" i="2"/>
  <c r="CY22" i="2"/>
  <c r="CY61" i="2"/>
  <c r="CY38" i="2"/>
  <c r="CY31" i="2"/>
  <c r="CY173" i="2"/>
  <c r="CY21" i="2"/>
  <c r="CY94" i="2"/>
  <c r="CY184" i="2"/>
  <c r="CY12" i="2"/>
  <c r="CY124" i="2"/>
  <c r="CY179" i="2"/>
  <c r="CY160" i="2"/>
  <c r="CY69" i="2"/>
  <c r="CY4" i="2"/>
  <c r="CY74" i="2"/>
  <c r="CY53" i="2"/>
  <c r="CY50" i="2"/>
  <c r="CY79" i="2"/>
  <c r="CY149" i="2"/>
  <c r="CY54" i="2"/>
  <c r="CY91" i="2"/>
  <c r="CY197" i="2"/>
  <c r="CY99" i="2"/>
  <c r="CY46" i="2"/>
  <c r="CY202" i="2"/>
  <c r="CY107" i="2"/>
  <c r="CY81" i="2"/>
  <c r="CY68" i="2"/>
  <c r="CY55" i="2"/>
  <c r="CY144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CD167" i="2" l="1"/>
  <c r="CD73" i="2"/>
  <c r="CD136" i="2"/>
  <c r="CD84" i="2"/>
  <c r="CD182" i="2"/>
  <c r="CD147" i="2"/>
  <c r="CD102" i="2"/>
  <c r="CD116" i="2"/>
  <c r="CD164" i="2"/>
  <c r="CD67" i="2"/>
  <c r="CD6" i="2"/>
  <c r="CD120" i="2"/>
  <c r="CD192" i="2"/>
  <c r="CD96" i="2"/>
  <c r="CD137" i="2"/>
  <c r="CD66" i="2"/>
  <c r="CD83" i="2"/>
  <c r="CD189" i="2"/>
  <c r="CD128" i="2"/>
  <c r="CD31" i="2"/>
  <c r="CD176" i="2"/>
  <c r="CD195" i="2"/>
  <c r="CD125" i="2"/>
  <c r="CD23" i="2"/>
  <c r="CD174" i="2"/>
  <c r="CD141" i="2"/>
  <c r="CD191" i="2"/>
  <c r="CD34" i="2"/>
  <c r="CD95" i="2"/>
  <c r="CD151" i="2"/>
  <c r="CD158" i="2"/>
  <c r="CD111" i="2"/>
  <c r="CD37" i="2"/>
  <c r="CD22" i="2"/>
  <c r="CD196" i="2"/>
  <c r="CD178" i="2"/>
  <c r="CD180" i="2"/>
  <c r="CD162" i="2"/>
  <c r="CD155" i="2"/>
  <c r="CD163" i="2"/>
  <c r="CD190" i="2"/>
  <c r="CD29" i="2"/>
  <c r="CD170" i="2"/>
  <c r="CD154" i="2"/>
  <c r="CD44" i="2"/>
  <c r="CD71" i="2"/>
  <c r="CD70" i="2"/>
  <c r="CD181" i="2"/>
  <c r="CD193" i="2"/>
  <c r="CD68" i="2"/>
  <c r="CD156" i="2"/>
  <c r="CD160" i="2"/>
  <c r="CD63" i="2"/>
  <c r="CD90" i="2"/>
  <c r="CD50" i="2"/>
  <c r="CD47" i="2"/>
  <c r="CD60" i="2"/>
  <c r="CD112" i="2"/>
  <c r="CD146" i="2"/>
  <c r="CD173" i="2"/>
  <c r="CD108" i="2"/>
  <c r="CD13" i="2"/>
  <c r="CD169" i="2"/>
  <c r="CD35" i="2"/>
  <c r="CD76" i="2"/>
  <c r="CD177" i="2"/>
  <c r="CD82" i="2"/>
  <c r="CD92" i="2"/>
  <c r="CD74" i="2"/>
  <c r="CD148" i="2"/>
  <c r="CD143" i="2"/>
  <c r="CD139" i="2"/>
  <c r="CD20" i="2"/>
  <c r="CD149" i="2"/>
  <c r="CD200" i="2"/>
  <c r="CD121" i="2"/>
  <c r="CD52" i="2"/>
  <c r="CD86" i="2"/>
  <c r="CD80" i="2"/>
  <c r="CD186" i="2"/>
  <c r="CD115" i="2"/>
  <c r="CD85" i="2"/>
  <c r="CD117" i="2"/>
  <c r="CD14" i="2"/>
  <c r="CD144" i="2"/>
  <c r="CD21" i="2"/>
  <c r="CD107" i="2"/>
  <c r="CD39" i="2"/>
  <c r="CD49" i="2"/>
  <c r="CD30" i="2"/>
  <c r="CD40" i="2"/>
  <c r="CD203" i="2"/>
  <c r="CD113" i="2"/>
  <c r="CD11" i="2"/>
  <c r="CD36" i="2"/>
  <c r="CD104" i="2"/>
  <c r="CD38" i="2"/>
  <c r="CD130" i="2"/>
  <c r="CD16" i="2"/>
  <c r="CD123" i="2"/>
  <c r="CD201" i="2"/>
  <c r="CD109" i="2"/>
  <c r="CD87" i="2"/>
  <c r="CD69" i="2"/>
  <c r="CD33" i="2"/>
  <c r="CD175" i="2"/>
  <c r="CD5" i="2"/>
  <c r="CD122" i="2"/>
  <c r="CD129" i="2"/>
  <c r="CD98" i="2"/>
  <c r="CD8" i="2"/>
  <c r="CD27" i="2"/>
  <c r="CD48" i="2"/>
  <c r="CD78" i="2"/>
  <c r="CD42" i="2"/>
  <c r="CD56" i="2"/>
  <c r="CD187" i="2"/>
  <c r="CD165" i="2"/>
  <c r="CD75" i="2"/>
  <c r="CD7" i="2"/>
  <c r="CD197" i="2"/>
  <c r="CD105" i="2"/>
  <c r="CD10" i="2"/>
  <c r="CD64" i="2"/>
  <c r="CD15" i="2"/>
  <c r="CD18" i="2"/>
  <c r="CD198" i="2"/>
  <c r="CD72" i="2"/>
  <c r="CD12" i="2"/>
  <c r="CD131" i="2"/>
  <c r="CD54" i="2"/>
  <c r="CD168" i="2"/>
  <c r="CD89" i="2"/>
  <c r="CD100" i="2"/>
  <c r="CD81" i="2"/>
  <c r="CD99" i="2"/>
  <c r="CD45" i="2"/>
  <c r="CD61" i="2"/>
  <c r="CD26" i="2"/>
  <c r="CD97" i="2"/>
  <c r="CD124" i="2"/>
  <c r="CD183" i="2"/>
  <c r="CD161" i="2"/>
  <c r="CD65" i="2"/>
  <c r="CD62" i="2"/>
  <c r="CD101" i="2"/>
  <c r="CD24" i="2"/>
  <c r="CD135" i="2"/>
  <c r="CD127" i="2"/>
  <c r="CD77" i="2"/>
  <c r="CD46" i="2"/>
  <c r="CD88" i="2"/>
  <c r="CD28" i="2"/>
  <c r="CD110" i="2"/>
  <c r="CD172" i="2"/>
  <c r="CD55" i="2"/>
  <c r="CD157" i="2"/>
  <c r="CD199" i="2"/>
  <c r="CD93" i="2"/>
  <c r="CD171" i="2"/>
  <c r="CD9" i="2"/>
  <c r="CD25" i="2"/>
  <c r="CD150" i="2"/>
  <c r="CD185" i="2"/>
  <c r="CD3" i="2"/>
  <c r="C9" i="4" s="1"/>
  <c r="E9" i="4" s="1"/>
  <c r="F9" i="4" s="1"/>
  <c r="G9" i="4" s="1"/>
  <c r="L9" i="4" s="1"/>
  <c r="CD53" i="2"/>
  <c r="CD4" i="2"/>
  <c r="CD133" i="2"/>
  <c r="CD202" i="2"/>
  <c r="CD94" i="2"/>
  <c r="CD118" i="2"/>
  <c r="CD166" i="2"/>
  <c r="CD153" i="2"/>
  <c r="CD106" i="2"/>
  <c r="CD188" i="2"/>
  <c r="CD19" i="2"/>
  <c r="CD184" i="2"/>
  <c r="CD119" i="2"/>
  <c r="CD59" i="2"/>
  <c r="CD126" i="2"/>
  <c r="CD142" i="2"/>
  <c r="CD152" i="2"/>
  <c r="CD159" i="2"/>
  <c r="CD57" i="2"/>
  <c r="CD138" i="2"/>
  <c r="CD51" i="2"/>
  <c r="CD134" i="2"/>
  <c r="CD140" i="2"/>
  <c r="CD79" i="2"/>
  <c r="CD179" i="2"/>
  <c r="CD114" i="2"/>
  <c r="CD58" i="2"/>
  <c r="CD43" i="2"/>
  <c r="CD103" i="2"/>
  <c r="CD145" i="2"/>
  <c r="CD91" i="2"/>
  <c r="CD41" i="2"/>
  <c r="CD132" i="2"/>
  <c r="CD32" i="2"/>
  <c r="CD17" i="2"/>
  <c r="CD194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52" i="2" l="1"/>
  <c r="BI47" i="2"/>
  <c r="BI117" i="2"/>
  <c r="BI26" i="2"/>
  <c r="BI79" i="2"/>
  <c r="BI129" i="2"/>
  <c r="BI149" i="2"/>
  <c r="BI94" i="2"/>
  <c r="BI130" i="2"/>
  <c r="BI48" i="2"/>
  <c r="BI39" i="2"/>
  <c r="BI4" i="2"/>
  <c r="BI52" i="2"/>
  <c r="BI10" i="2"/>
  <c r="BI68" i="2"/>
  <c r="BI179" i="2"/>
  <c r="BI16" i="2"/>
  <c r="BI96" i="2"/>
  <c r="BI21" i="2"/>
  <c r="BI61" i="2"/>
  <c r="BI132" i="2"/>
  <c r="BI137" i="2"/>
  <c r="BI193" i="2"/>
  <c r="BI164" i="2"/>
  <c r="BI33" i="2"/>
  <c r="BI106" i="2"/>
  <c r="BI97" i="2"/>
  <c r="BI17" i="2"/>
  <c r="BI41" i="2"/>
  <c r="BI20" i="2"/>
  <c r="BI135" i="2"/>
  <c r="BI189" i="2"/>
  <c r="BI98" i="2"/>
  <c r="BI29" i="2"/>
  <c r="BI172" i="2"/>
  <c r="BI157" i="2"/>
  <c r="BI196" i="2"/>
  <c r="BI30" i="2"/>
  <c r="BI168" i="2"/>
  <c r="BI84" i="2"/>
  <c r="BI44" i="2"/>
  <c r="BI11" i="2"/>
  <c r="BI201" i="2"/>
  <c r="BI86" i="2"/>
  <c r="BI191" i="2"/>
  <c r="BI113" i="2"/>
  <c r="BI105" i="2"/>
  <c r="BI7" i="2"/>
  <c r="BI58" i="2"/>
  <c r="BI159" i="2"/>
  <c r="BI199" i="2"/>
  <c r="BI74" i="2"/>
  <c r="BI12" i="2"/>
  <c r="BI144" i="2"/>
  <c r="BI112" i="2"/>
  <c r="BI76" i="2"/>
  <c r="BI146" i="2"/>
  <c r="BI77" i="2"/>
  <c r="BI64" i="2"/>
  <c r="BI120" i="2"/>
  <c r="BI162" i="2"/>
  <c r="BI114" i="2"/>
  <c r="BI100" i="2"/>
  <c r="BI192" i="2"/>
  <c r="BI131" i="2"/>
  <c r="BI69" i="2"/>
  <c r="BI177" i="2"/>
  <c r="BI56" i="2"/>
  <c r="BI103" i="2"/>
  <c r="BI90" i="2"/>
  <c r="BI82" i="2"/>
  <c r="BI141" i="2"/>
  <c r="BI136" i="2"/>
  <c r="BI62" i="2"/>
  <c r="BI99" i="2"/>
  <c r="BI154" i="2"/>
  <c r="BI87" i="2"/>
  <c r="BI125" i="2"/>
  <c r="BI50" i="2"/>
  <c r="BI88" i="2"/>
  <c r="BI151" i="2"/>
  <c r="BI63" i="2"/>
  <c r="BI186" i="2"/>
  <c r="BI53" i="2"/>
  <c r="BI147" i="2"/>
  <c r="BI36" i="2"/>
  <c r="BI134" i="2"/>
  <c r="BI161" i="2"/>
  <c r="BI95" i="2"/>
  <c r="BI167" i="2"/>
  <c r="BI37" i="2"/>
  <c r="BI163" i="2"/>
  <c r="BI23" i="2"/>
  <c r="BI59" i="2"/>
  <c r="BI57" i="2"/>
  <c r="BI116" i="2"/>
  <c r="BI34" i="2"/>
  <c r="BI109" i="2"/>
  <c r="BI73" i="2"/>
  <c r="BI170" i="2"/>
  <c r="BI123" i="2"/>
  <c r="BI35" i="2"/>
  <c r="BI9" i="2"/>
  <c r="BI72" i="2"/>
  <c r="BI181" i="2"/>
  <c r="BI15" i="2"/>
  <c r="BI38" i="2"/>
  <c r="BI128" i="2"/>
  <c r="BI85" i="2"/>
  <c r="BI5" i="2"/>
  <c r="BI71" i="2"/>
  <c r="BI176" i="2"/>
  <c r="BI175" i="2"/>
  <c r="BI127" i="2"/>
  <c r="BI27" i="2"/>
  <c r="BI45" i="2"/>
  <c r="BI115" i="2"/>
  <c r="BI32" i="2"/>
  <c r="BI158" i="2"/>
  <c r="BI160" i="2"/>
  <c r="BI18" i="2"/>
  <c r="BI178" i="2"/>
  <c r="BI200" i="2"/>
  <c r="BI124" i="2"/>
  <c r="BI133" i="2"/>
  <c r="BI55" i="2"/>
  <c r="BI150" i="2"/>
  <c r="BI143" i="2"/>
  <c r="BI183" i="2"/>
  <c r="BI111" i="2"/>
  <c r="BI51" i="2"/>
  <c r="BI54" i="2"/>
  <c r="BI70" i="2"/>
  <c r="BI42" i="2"/>
  <c r="BI198" i="2"/>
  <c r="BI166" i="2"/>
  <c r="BI108" i="2"/>
  <c r="BI140" i="2"/>
  <c r="BI43" i="2"/>
  <c r="BI155" i="2"/>
  <c r="BI65" i="2"/>
  <c r="BI139" i="2"/>
  <c r="BI22" i="2"/>
  <c r="BI122" i="2"/>
  <c r="BI121" i="2"/>
  <c r="BI46" i="2"/>
  <c r="BI107" i="2"/>
  <c r="BI92" i="2"/>
  <c r="BI142" i="2"/>
  <c r="BI3" i="2"/>
  <c r="C8" i="4" s="1"/>
  <c r="E8" i="4" s="1"/>
  <c r="F8" i="4" s="1"/>
  <c r="G8" i="4" s="1"/>
  <c r="L8" i="4" s="1"/>
  <c r="BI180" i="2"/>
  <c r="BI40" i="2"/>
  <c r="BI93" i="2"/>
  <c r="BI156" i="2"/>
  <c r="BI197" i="2"/>
  <c r="BI66" i="2"/>
  <c r="BI14" i="2"/>
  <c r="BI110" i="2"/>
  <c r="BI148" i="2"/>
  <c r="BI126" i="2"/>
  <c r="BI101" i="2"/>
  <c r="BI67" i="2"/>
  <c r="BI104" i="2"/>
  <c r="BI145" i="2"/>
  <c r="BI190" i="2"/>
  <c r="BI202" i="2"/>
  <c r="BI25" i="2"/>
  <c r="BI182" i="2"/>
  <c r="BI195" i="2"/>
  <c r="BI171" i="2"/>
  <c r="BI91" i="2"/>
  <c r="BI169" i="2"/>
  <c r="BI118" i="2"/>
  <c r="BI203" i="2"/>
  <c r="BI31" i="2"/>
  <c r="BI6" i="2"/>
  <c r="BI24" i="2"/>
  <c r="BI75" i="2"/>
  <c r="BI28" i="2"/>
  <c r="BI187" i="2"/>
  <c r="BI19" i="2"/>
  <c r="BI188" i="2"/>
  <c r="BI13" i="2"/>
  <c r="BI8" i="2"/>
  <c r="BI185" i="2"/>
  <c r="BI165" i="2"/>
  <c r="BI174" i="2"/>
  <c r="BI173" i="2"/>
  <c r="BI49" i="2"/>
  <c r="BI83" i="2"/>
  <c r="BI78" i="2"/>
  <c r="BI194" i="2"/>
  <c r="BI153" i="2"/>
  <c r="BI81" i="2"/>
  <c r="BI119" i="2"/>
  <c r="BI102" i="2"/>
  <c r="BI138" i="2"/>
  <c r="BI184" i="2"/>
  <c r="BI60" i="2"/>
  <c r="BI89" i="2"/>
  <c r="BI8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<sst xmlns="http://schemas.openxmlformats.org/spreadsheetml/2006/main" count="1174" uniqueCount="326">
  <si>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</si>
  <si>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</si>
  <si>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</si>
  <si>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</si>
  <si>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</si>
  <si>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</si>
  <si>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</si>
  <si>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</si>
  <si>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</si>
  <si>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</si>
  <si>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</si>
  <si>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</si>
  <si>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</si>
  <si>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</si>
  <si>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</si>
  <si>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</si>
  <si>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Douglas</t>
  </si>
  <si>
    <t>NB : La durée de révolution doit être identique à la dernière année indiquée dans la table de production renseignée en dessous</t>
  </si>
  <si>
    <t>Essence 2</t>
  </si>
  <si>
    <t>Mélèze d'Europe</t>
  </si>
  <si>
    <t>Essence 3</t>
  </si>
  <si>
    <t>Chêne pubescent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</si>
  <si>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</si>
  <si>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</si>
  <si>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</si>
  <si>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</si>
  <si>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</si>
  <si>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</si>
  <si>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</si>
  <si>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</si>
  <si>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</si>
  <si>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</si>
  <si>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</si>
  <si>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</si>
  <si>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</si>
  <si>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</si>
  <si>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</si>
  <si>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</si>
  <si>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</si>
  <si>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</si>
  <si>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</si>
  <si>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</si>
  <si>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</si>
  <si>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</si>
  <si>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</si>
  <si>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</si>
  <si>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</si>
  <si>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</si>
  <si>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</si>
  <si>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</si>
  <si>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</si>
  <si>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</si>
  <si>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</si>
  <si>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</si>
  <si>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</si>
  <si>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</si>
  <si>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na</t>
  </si>
  <si>
    <t>CR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</si>
  <si>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</si>
  <si>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</si>
  <si>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</si>
  <si>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</si>
  <si>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</si>
  <si>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</si>
  <si>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</si>
  <si>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</si>
  <si>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</si>
  <si>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</si>
  <si>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</si>
  <si>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</si>
  <si>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</si>
  <si>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</si>
  <si>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Epicéa de Sitka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</si>
  <si>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</si>
  <si>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</si>
  <si>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</si>
  <si>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</si>
  <si>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</si>
  <si>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</si>
  <si>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</si>
  <si>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</si>
  <si>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</si>
  <si>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</si>
  <si>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</si>
  <si>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</si>
  <si>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</si>
  <si>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</si>
  <si>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</si>
  <si>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</si>
  <si>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</si>
  <si>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</si>
  <si>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</si>
  <si>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</si>
  <si>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</si>
  <si>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</si>
  <si>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</si>
  <si>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</si>
  <si>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</si>
  <si>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</si>
  <si>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</si>
  <si>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</si>
  <si>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</si>
  <si>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</si>
  <si>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</si>
  <si>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</si>
  <si>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</si>
  <si>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</si>
  <si>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</si>
  <si>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</si>
  <si>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</si>
  <si>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</si>
  <si>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</si>
  <si>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</si>
  <si>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</si>
  <si>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</si>
  <si>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</si>
  <si>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</si>
  <si>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</si>
  <si>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</si>
  <si>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</si>
  <si>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</si>
  <si>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</si>
  <si>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</si>
  <si>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</si>
  <si>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</si>
  <si>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</si>
  <si>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</si>
  <si>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</si>
  <si>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</si>
  <si>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</si>
  <si>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</si>
  <si>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</si>
  <si>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</si>
  <si>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</si>
  <si>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</si>
  <si>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</si>
  <si>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</si>
  <si>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</si>
  <si>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</si>
  <si>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</si>
  <si>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</si>
  <si>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</si>
  <si>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</si>
  <si>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</si>
  <si>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</si>
  <si>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</si>
  <si>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</si>
  <si>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</si>
  <si>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</si>
  <si>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</si>
  <si>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</si>
  <si>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</si>
  <si>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</si>
  <si>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</si>
  <si>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</si>
  <si>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</si>
  <si>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</si>
  <si>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</si>
  <si>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</si>
  <si>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</si>
  <si>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</si>
  <si>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</si>
  <si>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Epicéa commun</t>
  </si>
  <si>
    <t>Picea abies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</si>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</sst>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54" xfId="0" applyFont="1" applyFill="1" applyBorder="1" applyAlignment="1" applyProtection="1">
      <alignment horizontal="center"/>
      <protection locked="0" hidden="1"/>
    </xf>
    <xf numFmtId="0" fontId="9" fillId="21" borderId="54" xfId="0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/>
      <protection locked="0" hidden="1"/>
    </xf>
    <xf numFmtId="9" fontId="9" fillId="21" borderId="54" xfId="1" applyFont="1" applyFill="1" applyBorder="1" applyAlignment="1" applyProtection="1">
      <alignment horizontal="center" vertical="center"/>
      <protection locked="0" hidden="1"/>
    </xf>
    <xf numFmtId="0" fontId="9" fillId="21" borderId="54" xfId="0" applyFont="1" applyFill="1" applyBorder="1" applyAlignment="1" applyProtection="1">
      <alignment horizontal="center" vertical="center"/>
      <protection locked="0" hidden="1"/>
    </xf>
    <xf numFmtId="9" fontId="9" fillId="21" borderId="54" xfId="1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 vertical="center"/>
      <protection locked="0"/>
    </xf>
    <xf numFmtId="0" fontId="9" fillId="21" borderId="54" xfId="0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1.8440967493960854</c:v>
                </c:pt>
                <c:pt idx="2">
                  <c:v>2.3397767225383261</c:v>
                </c:pt>
                <c:pt idx="3">
                  <c:v>2.9692251378239298</c:v>
                </c:pt>
                <c:pt idx="4">
                  <c:v>3.7686778222565338</c:v>
                </c:pt>
                <c:pt idx="5">
                  <c:v>4.7842208479495723</c:v>
                </c:pt>
                <c:pt idx="6">
                  <c:v>6.0744769252219095</c:v>
                </c:pt>
                <c:pt idx="7">
                  <c:v>7.7140266387541381</c:v>
                </c:pt>
                <c:pt idx="8">
                  <c:v>9.7977660906100486</c:v>
                </c:pt>
                <c:pt idx="9">
                  <c:v>12.446457940375948</c:v>
                </c:pt>
                <c:pt idx="10">
                  <c:v>15.813803535000055</c:v>
                </c:pt>
                <c:pt idx="11">
                  <c:v>20.095454017876332</c:v>
                </c:pt>
                <c:pt idx="12">
                  <c:v>25.540493384302135</c:v>
                </c:pt>
                <c:pt idx="13">
                  <c:v>32.466073285357531</c:v>
                </c:pt>
                <c:pt idx="14">
                  <c:v>41.27606675520061</c:v>
                </c:pt>
                <c:pt idx="15">
                  <c:v>52.484847160414972</c:v>
                </c:pt>
                <c:pt idx="16">
                  <c:v>66.747603863638901</c:v>
                </c:pt>
                <c:pt idx="17">
                  <c:v>84.898995645097301</c:v>
                </c:pt>
                <c:pt idx="18">
                  <c:v>108.00244019278658</c:v>
                </c:pt>
                <c:pt idx="19">
                  <c:v>137.41297279060404</c:v>
                </c:pt>
                <c:pt idx="20">
                  <c:v>174.8574178159995</c:v>
                </c:pt>
                <c:pt idx="21">
                  <c:v>222.53665149290282</c:v>
                </c:pt>
                <c:pt idx="22">
                  <c:v>168.75667061619112</c:v>
                </c:pt>
                <c:pt idx="23">
                  <c:v>188.97408626306841</c:v>
                </c:pt>
                <c:pt idx="24">
                  <c:v>209.14106954499564</c:v>
                </c:pt>
                <c:pt idx="25">
                  <c:v>229.26316865848699</c:v>
                </c:pt>
                <c:pt idx="26">
                  <c:v>249.34487716008638</c:v>
                </c:pt>
                <c:pt idx="27">
                  <c:v>269.38990512338603</c:v>
                </c:pt>
                <c:pt idx="28">
                  <c:v>289.40136514946477</c:v>
                </c:pt>
                <c:pt idx="29">
                  <c:v>242.80327727023788</c:v>
                </c:pt>
                <c:pt idx="30">
                  <c:v>264.55540625187342</c:v>
                </c:pt>
                <c:pt idx="31">
                  <c:v>286.26720910143626</c:v>
                </c:pt>
                <c:pt idx="32">
                  <c:v>307.94217323717993</c:v>
                </c:pt>
                <c:pt idx="33">
                  <c:v>329.58325501039627</c:v>
                </c:pt>
                <c:pt idx="34">
                  <c:v>351.19299087374617</c:v>
                </c:pt>
                <c:pt idx="35">
                  <c:v>372.77357972834852</c:v>
                </c:pt>
                <c:pt idx="36">
                  <c:v>310.3705645962005</c:v>
                </c:pt>
                <c:pt idx="37">
                  <c:v>332.16291001549854</c:v>
                </c:pt>
                <c:pt idx="38">
                  <c:v>353.92374107920108</c:v>
                </c:pt>
                <c:pt idx="39">
                  <c:v>375.65526675033772</c:v>
                </c:pt>
                <c:pt idx="40">
                  <c:v>397.35941965516275</c:v>
                </c:pt>
                <c:pt idx="41">
                  <c:v>419.03790416885477</c:v>
                </c:pt>
                <c:pt idx="42">
                  <c:v>440.69223402870369</c:v>
                </c:pt>
                <c:pt idx="43">
                  <c:v>365.57312204300916</c:v>
                </c:pt>
                <c:pt idx="44">
                  <c:v>386.44458202636088</c:v>
                </c:pt>
                <c:pt idx="45">
                  <c:v>407.29156713376284</c:v>
                </c:pt>
                <c:pt idx="46">
                  <c:v>428.11550550227395</c:v>
                </c:pt>
                <c:pt idx="47">
                  <c:v>448.91767507952301</c:v>
                </c:pt>
                <c:pt idx="48">
                  <c:v>469.69922578809798</c:v>
                </c:pt>
                <c:pt idx="49">
                  <c:v>490.46119756343541</c:v>
                </c:pt>
                <c:pt idx="50">
                  <c:v>402.35883668560945</c:v>
                </c:pt>
                <c:pt idx="51">
                  <c:v>421.65245364552817</c:v>
                </c:pt>
                <c:pt idx="52">
                  <c:v>440.92706835035824</c:v>
                </c:pt>
                <c:pt idx="53">
                  <c:v>460.18362785912086</c:v>
                </c:pt>
                <c:pt idx="54">
                  <c:v>479.42299355003178</c:v>
                </c:pt>
                <c:pt idx="55">
                  <c:v>498.64595206966368</c:v>
                </c:pt>
                <c:pt idx="56">
                  <c:v>517.85322450630554</c:v>
                </c:pt>
                <c:pt idx="57">
                  <c:v>445.53319473983169</c:v>
                </c:pt>
                <c:pt idx="58">
                  <c:v>463.13961636412455</c:v>
                </c:pt>
                <c:pt idx="59">
                  <c:v>480.73176524290034</c:v>
                </c:pt>
                <c:pt idx="60">
                  <c:v>498.31023693169203</c:v>
                </c:pt>
                <c:pt idx="61">
                  <c:v>515.87558156393754</c:v>
                </c:pt>
                <c:pt idx="62">
                  <c:v>533.42830877562312</c:v>
                </c:pt>
                <c:pt idx="63">
                  <c:v>550.96889194826019</c:v>
                </c:pt>
                <c:pt idx="64">
                  <c:v>472.35430760583853</c:v>
                </c:pt>
                <c:pt idx="65">
                  <c:v>488.11156591254894</c:v>
                </c:pt>
                <c:pt idx="66">
                  <c:v>503.85803335416534</c:v>
                </c:pt>
                <c:pt idx="67">
                  <c:v>519.59409451524732</c:v>
                </c:pt>
                <c:pt idx="68">
                  <c:v>535.32010879645838</c:v>
                </c:pt>
                <c:pt idx="69">
                  <c:v>551.03641277035774</c:v>
                </c:pt>
                <c:pt idx="70">
                  <c:v>566.74332225455589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2.9770808019599735</c:v>
                </c:pt>
                <c:pt idx="2">
                  <c:v>3.4373570828714688</c:v>
                </c:pt>
                <c:pt idx="3">
                  <c:v>3.969049858352836</c:v>
                </c:pt>
                <c:pt idx="4">
                  <c:v>4.5832774414983648</c:v>
                </c:pt>
                <c:pt idx="5">
                  <c:v>5.2928945237969822</c:v>
                </c:pt>
                <c:pt idx="6">
                  <c:v>6.1127641431566362</c:v>
                </c:pt>
                <c:pt idx="7">
                  <c:v>7.0600723651439914</c:v>
                </c:pt>
                <c:pt idx="8">
                  <c:v>8.1546924022830094</c:v>
                </c:pt>
                <c:pt idx="9">
                  <c:v>9.4196059574262012</c:v>
                </c:pt>
                <c:pt idx="10">
                  <c:v>10.881390806178834</c:v>
                </c:pt>
                <c:pt idx="11">
                  <c:v>12.570785056701292</c:v>
                </c:pt>
                <c:pt idx="12">
                  <c:v>14.523340173738314</c:v>
                </c:pt>
                <c:pt idx="13">
                  <c:v>16.780176763115087</c:v>
                </c:pt>
                <c:pt idx="14">
                  <c:v>19.388859324553817</c:v>
                </c:pt>
                <c:pt idx="15">
                  <c:v>22.40440874242114</c:v>
                </c:pt>
                <c:pt idx="16">
                  <c:v>25.890474251448747</c:v>
                </c:pt>
                <c:pt idx="17">
                  <c:v>29.92069005192911</c:v>
                </c:pt>
                <c:pt idx="18">
                  <c:v>34.580245730952278</c:v>
                </c:pt>
                <c:pt idx="19">
                  <c:v>39.967704259345972</c:v>
                </c:pt>
                <c:pt idx="20">
                  <c:v>46.197106678273713</c:v>
                </c:pt>
                <c:pt idx="21">
                  <c:v>53.400408781022065</c:v>
                </c:pt>
                <c:pt idx="22">
                  <c:v>61.730302268911977</c:v>
                </c:pt>
                <c:pt idx="23">
                  <c:v>71.363481171441208</c:v>
                </c:pt>
                <c:pt idx="24">
                  <c:v>82.504423950448952</c:v>
                </c:pt>
                <c:pt idx="25">
                  <c:v>95.389772865783996</c:v>
                </c:pt>
                <c:pt idx="26">
                  <c:v>110.29340510848425</c:v>
                </c:pt>
                <c:pt idx="27">
                  <c:v>127.53230518830827</c:v>
                </c:pt>
                <c:pt idx="28">
                  <c:v>147.47336542186929</c:v>
                </c:pt>
                <c:pt idx="29">
                  <c:v>170.54126148381732</c:v>
                </c:pt>
                <c:pt idx="30">
                  <c:v>197.22757329492163</c:v>
                </c:pt>
                <c:pt idx="31">
                  <c:v>208.92142876180176</c:v>
                </c:pt>
                <c:pt idx="32">
                  <c:v>220.60017986363141</c:v>
                </c:pt>
                <c:pt idx="33">
                  <c:v>232.264739416477</c:v>
                </c:pt>
                <c:pt idx="34">
                  <c:v>243.91592098733301</c:v>
                </c:pt>
                <c:pt idx="35">
                  <c:v>255.55445401337798</c:v>
                </c:pt>
                <c:pt idx="36">
                  <c:v>267.18099601974819</c:v>
                </c:pt>
                <c:pt idx="37">
                  <c:v>278.79614259728777</c:v>
                </c:pt>
                <c:pt idx="38">
                  <c:v>290.4004356291054</c:v>
                </c:pt>
                <c:pt idx="39">
                  <c:v>301.99437013242931</c:v>
                </c:pt>
                <c:pt idx="40">
                  <c:v>313.57839999414279</c:v>
                </c:pt>
                <c:pt idx="41">
                  <c:v>325.15294281399184</c:v>
                </c:pt>
                <c:pt idx="42">
                  <c:v>336.71838402176826</c:v>
                </c:pt>
                <c:pt idx="43">
                  <c:v>348.27508039901596</c:v>
                </c:pt>
                <c:pt idx="44">
                  <c:v>359.82336310869147</c:v>
                </c:pt>
                <c:pt idx="45">
                  <c:v>234.70281254814427</c:v>
                </c:pt>
                <c:pt idx="46">
                  <c:v>249.59893217379951</c:v>
                </c:pt>
                <c:pt idx="47">
                  <c:v>264.47489375819822</c:v>
                </c:pt>
                <c:pt idx="48">
                  <c:v>279.33199093869058</c:v>
                </c:pt>
                <c:pt idx="49">
                  <c:v>294.17136845681017</c:v>
                </c:pt>
                <c:pt idx="50">
                  <c:v>308.99404610191897</c:v>
                </c:pt>
                <c:pt idx="51">
                  <c:v>323.80093781674623</c:v>
                </c:pt>
                <c:pt idx="52">
                  <c:v>255.78698052992738</c:v>
                </c:pt>
                <c:pt idx="53">
                  <c:v>269.71503855690486</c:v>
                </c:pt>
                <c:pt idx="54">
                  <c:v>283.62691234584025</c:v>
                </c:pt>
                <c:pt idx="55">
                  <c:v>297.52350768668458</c:v>
                </c:pt>
                <c:pt idx="56">
                  <c:v>311.40563882069802</c:v>
                </c:pt>
                <c:pt idx="57">
                  <c:v>325.27404144854546</c:v>
                </c:pt>
                <c:pt idx="58">
                  <c:v>339.12938340274769</c:v>
                </c:pt>
                <c:pt idx="59">
                  <c:v>352.97227348409729</c:v>
                </c:pt>
                <c:pt idx="60">
                  <c:v>281.39125702931875</c:v>
                </c:pt>
                <c:pt idx="61">
                  <c:v>294.31014596253618</c:v>
                </c:pt>
                <c:pt idx="62">
                  <c:v>307.2163841165638</c:v>
                </c:pt>
                <c:pt idx="63">
                  <c:v>320.11057795832443</c:v>
                </c:pt>
                <c:pt idx="64">
                  <c:v>332.99328109429655</c:v>
                </c:pt>
                <c:pt idx="65">
                  <c:v>345.86500078813629</c:v>
                </c:pt>
                <c:pt idx="66">
                  <c:v>358.72620345698607</c:v>
                </c:pt>
                <c:pt idx="67">
                  <c:v>371.57731933813437</c:v>
                </c:pt>
                <c:pt idx="68">
                  <c:v>314.62020332185165</c:v>
                </c:pt>
                <c:pt idx="69">
                  <c:v>326.95889671398453</c:v>
                </c:pt>
                <c:pt idx="70">
                  <c:v>339.28731000411216</c:v>
                </c:pt>
                <c:pt idx="71">
                  <c:v>351.60586945648743</c:v>
                </c:pt>
                <c:pt idx="72">
                  <c:v>363.9149690215898</c:v>
                </c:pt>
                <c:pt idx="73">
                  <c:v>376.21497381909467</c:v>
                </c:pt>
                <c:pt idx="74">
                  <c:v>388.50622314145625</c:v>
                </c:pt>
                <c:pt idx="75">
                  <c:v>400.78903305747446</c:v>
                </c:pt>
                <c:pt idx="76">
                  <c:v>345.86384431093734</c:v>
                </c:pt>
                <c:pt idx="77">
                  <c:v>357.77573460306729</c:v>
                </c:pt>
                <c:pt idx="78">
                  <c:v>369.67894674632447</c:v>
                </c:pt>
                <c:pt idx="79">
                  <c:v>381.57379960604271</c:v>
                </c:pt>
                <c:pt idx="80">
                  <c:v>393.46059054098606</c:v>
                </c:pt>
                <c:pt idx="81">
                  <c:v>405.33959747363838</c:v>
                </c:pt>
                <c:pt idx="82">
                  <c:v>417.21108070510104</c:v>
                </c:pt>
                <c:pt idx="83">
                  <c:v>429.07528451262601</c:v>
                </c:pt>
                <c:pt idx="84">
                  <c:v>440.93243856122854</c:v>
                </c:pt>
                <c:pt idx="85">
                  <c:v>376.60167716610619</c:v>
                </c:pt>
                <c:pt idx="86">
                  <c:v>387.96577939828467</c:v>
                </c:pt>
                <c:pt idx="87">
                  <c:v>399.32265618290847</c:v>
                </c:pt>
                <c:pt idx="88">
                  <c:v>410.67254202116061</c:v>
                </c:pt>
                <c:pt idx="89">
                  <c:v>422.01565739214857</c:v>
                </c:pt>
                <c:pt idx="90">
                  <c:v>433.35220995374738</c:v>
                </c:pt>
                <c:pt idx="91">
                  <c:v>444.6823956112226</c:v>
                </c:pt>
                <c:pt idx="92">
                  <c:v>456.00639947125768</c:v>
                </c:pt>
                <c:pt idx="93">
                  <c:v>467.32439669627183</c:v>
                </c:pt>
                <c:pt idx="94">
                  <c:v>413.86099161777793</c:v>
                </c:pt>
                <c:pt idx="95">
                  <c:v>425.19717647466877</c:v>
                </c:pt>
                <c:pt idx="96">
                  <c:v>436.52686044713772</c:v>
                </c:pt>
                <c:pt idx="97">
                  <c:v>447.85023606285631</c:v>
                </c:pt>
                <c:pt idx="98">
                  <c:v>459.16748531856956</c:v>
                </c:pt>
                <c:pt idx="99">
                  <c:v>470.47878050700183</c:v>
                </c:pt>
                <c:pt idx="100">
                  <c:v>481.78428496010048</c:v>
                </c:pt>
                <c:pt idx="101">
                  <c:v>493.08415371888253</c:v>
                </c:pt>
                <c:pt idx="102">
                  <c:v>504.37853413868493</c:v>
                </c:pt>
                <c:pt idx="103">
                  <c:v>515.6675664373829</c:v>
                </c:pt>
                <c:pt idx="104">
                  <c:v>441.67788304694392</c:v>
                </c:pt>
                <c:pt idx="105">
                  <c:v>452.64938831122686</c:v>
                </c:pt>
                <c:pt idx="106">
                  <c:v>463.61520902016565</c:v>
                </c:pt>
                <c:pt idx="107">
                  <c:v>474.57549859599521</c:v>
                </c:pt>
                <c:pt idx="108">
                  <c:v>485.53040279578119</c:v>
                </c:pt>
                <c:pt idx="109">
                  <c:v>496.48006026237272</c:v>
                </c:pt>
                <c:pt idx="110">
                  <c:v>507.42460302422029</c:v>
                </c:pt>
                <c:pt idx="111">
                  <c:v>518.36415694983214</c:v>
                </c:pt>
                <c:pt idx="112">
                  <c:v>529.29884216187008</c:v>
                </c:pt>
                <c:pt idx="113">
                  <c:v>540.22877341525339</c:v>
                </c:pt>
                <c:pt idx="114">
                  <c:v>483.77843347470525</c:v>
                </c:pt>
                <c:pt idx="115">
                  <c:v>495.18106269086019</c:v>
                </c:pt>
                <c:pt idx="116">
                  <c:v>506.57812932992596</c:v>
                </c:pt>
                <c:pt idx="117">
                  <c:v>517.96977617364007</c:v>
                </c:pt>
                <c:pt idx="118">
                  <c:v>529.35613921155607</c:v>
                </c:pt>
                <c:pt idx="119">
                  <c:v>540.73734810639564</c:v>
                </c:pt>
                <c:pt idx="120">
                  <c:v>552.11352661818967</c:v>
                </c:pt>
                <c:pt idx="121">
                  <c:v>563.48479299165012</c:v>
                </c:pt>
                <c:pt idx="122">
                  <c:v>574.85126031065295</c:v>
                </c:pt>
                <c:pt idx="123">
                  <c:v>586.21303682323253</c:v>
                </c:pt>
                <c:pt idx="124">
                  <c:v>597.57022624007823</c:v>
                </c:pt>
                <c:pt idx="125">
                  <c:v>608.92292800916312</c:v>
                </c:pt>
                <c:pt idx="126">
                  <c:v>516.97691743661551</c:v>
                </c:pt>
                <c:pt idx="127">
                  <c:v>528.23080123722991</c:v>
                </c:pt>
                <c:pt idx="128">
                  <c:v>539.47963831715936</c:v>
                </c:pt>
                <c:pt idx="129">
                  <c:v>550.7235487287619</c:v>
                </c:pt>
                <c:pt idx="130">
                  <c:v>561.96264722308808</c:v>
                </c:pt>
                <c:pt idx="131">
                  <c:v>573.19704358756508</c:v>
                </c:pt>
                <c:pt idx="132">
                  <c:v>584.42684295583661</c:v>
                </c:pt>
                <c:pt idx="133">
                  <c:v>595.65214609255543</c:v>
                </c:pt>
                <c:pt idx="134">
                  <c:v>606.87304965559781</c:v>
                </c:pt>
                <c:pt idx="135">
                  <c:v>618.08964643788192</c:v>
                </c:pt>
                <c:pt idx="136">
                  <c:v>629.30202559072757</c:v>
                </c:pt>
                <c:pt idx="137">
                  <c:v>640.51027283047199</c:v>
                </c:pt>
                <c:pt idx="138">
                  <c:v>541.94116393966794</c:v>
                </c:pt>
                <c:pt idx="139">
                  <c:v>552.88748579227229</c:v>
                </c:pt>
                <c:pt idx="140">
                  <c:v>563.82926666737285</c:v>
                </c:pt>
                <c:pt idx="141">
                  <c:v>574.76660709862961</c:v>
                </c:pt>
                <c:pt idx="142">
                  <c:v>585.69960348209554</c:v>
                </c:pt>
                <c:pt idx="143">
                  <c:v>596.6283483221988</c:v>
                </c:pt>
                <c:pt idx="144">
                  <c:v>607.55293045876988</c:v>
                </c:pt>
                <c:pt idx="145">
                  <c:v>618.47343527689191</c:v>
                </c:pt>
                <c:pt idx="146">
                  <c:v>629.38994490116841</c:v>
                </c:pt>
                <c:pt idx="147">
                  <c:v>640.30253837581188</c:v>
                </c:pt>
                <c:pt idx="148">
                  <c:v>651.21129183182666</c:v>
                </c:pt>
                <c:pt idx="149">
                  <c:v>662.11627864240563</c:v>
                </c:pt>
                <c:pt idx="150">
                  <c:v>410.25891232631693</c:v>
                </c:pt>
                <c:pt idx="151">
                  <c:v>416.93235115607769</c:v>
                </c:pt>
                <c:pt idx="152">
                  <c:v>423.60348761898211</c:v>
                </c:pt>
                <c:pt idx="153">
                  <c:v>430.27236311544448</c:v>
                </c:pt>
                <c:pt idx="154">
                  <c:v>282.60235881259825</c:v>
                </c:pt>
                <c:pt idx="155">
                  <c:v>286.67220565892609</c:v>
                </c:pt>
                <c:pt idx="156">
                  <c:v>290.74075975339895</c:v>
                </c:pt>
                <c:pt idx="157">
                  <c:v>294.80804177163026</c:v>
                </c:pt>
                <c:pt idx="158">
                  <c:v>197.61056174383398</c:v>
                </c:pt>
                <c:pt idx="159">
                  <c:v>200.15752525879137</c:v>
                </c:pt>
                <c:pt idx="160">
                  <c:v>202.70373739936451</c:v>
                </c:pt>
                <c:pt idx="161">
                  <c:v>205.24920896259434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I6" sqref="I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65" t="s">
        <v>0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35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35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35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35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35">
      <c r="B18" s="265" t="s">
        <v>1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35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35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35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35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35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35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35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35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35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35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35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35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35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7" zoomScale="90" zoomScaleNormal="90" workbookViewId="0">
      <selection activeCell="C28" sqref="C28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6" t="s">
        <v>2</v>
      </c>
      <c r="D1" s="266"/>
      <c r="E1" s="26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1" t="s">
        <v>4</v>
      </c>
      <c r="C3" s="272"/>
      <c r="D3" s="272"/>
      <c r="E3" s="272"/>
      <c r="F3" s="273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6" t="s">
        <v>7</v>
      </c>
      <c r="B5" s="276"/>
      <c r="C5" s="24">
        <v>2</v>
      </c>
      <c r="D5" s="277" t="s">
        <v>8</v>
      </c>
      <c r="E5" s="278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5" t="s">
        <v>9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16</v>
      </c>
      <c r="C9" s="32">
        <v>0.49299999999999999</v>
      </c>
      <c r="D9" s="33">
        <f t="shared" ref="D9:D18" si="0">C9*$C$5</f>
        <v>0.98599999999999999</v>
      </c>
      <c r="E9" s="34">
        <v>70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">
        <v>19</v>
      </c>
      <c r="C10" s="32">
        <v>0.40300000000000002</v>
      </c>
      <c r="D10" s="33">
        <f t="shared" si="0"/>
        <v>0.80600000000000005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 t="s">
        <v>21</v>
      </c>
      <c r="C11" s="32">
        <v>0.10299999999999999</v>
      </c>
      <c r="D11" s="33">
        <f t="shared" si="0"/>
        <v>0.20599999999999999</v>
      </c>
      <c r="E11" s="34">
        <v>161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22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23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24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25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26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27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28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29</v>
      </c>
      <c r="C19" s="37">
        <f>SUM(C9:C18)</f>
        <v>0.999</v>
      </c>
      <c r="D19" s="38">
        <f>SUM(D9:D18)</f>
        <v>1.998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4" t="s">
        <v>30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31</v>
      </c>
      <c r="B24" s="42" t="s">
        <v>32</v>
      </c>
      <c r="C24" s="43">
        <v>0</v>
      </c>
      <c r="D24" s="44" t="s">
        <v>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34</v>
      </c>
      <c r="B25" s="42" t="s">
        <v>35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36</v>
      </c>
      <c r="B26" s="42" t="s">
        <v>37</v>
      </c>
      <c r="C26" s="43">
        <v>0.05</v>
      </c>
      <c r="D26" s="44" t="s">
        <v>38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39</v>
      </c>
      <c r="B27" s="42" t="s">
        <v>40</v>
      </c>
      <c r="C27" s="43">
        <v>0</v>
      </c>
      <c r="D27" s="44" t="s">
        <v>41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5" t="s">
        <v>42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Douglas</v>
      </c>
      <c r="D32" s="229" t="s">
        <v>43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44</v>
      </c>
      <c r="C34" s="267" t="s">
        <v>45</v>
      </c>
      <c r="D34" s="267"/>
      <c r="E34" s="268" t="s">
        <v>46</v>
      </c>
      <c r="F34" s="269"/>
      <c r="G34" s="269"/>
      <c r="H34" s="270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47</v>
      </c>
      <c r="B35" s="36" t="s">
        <v>48</v>
      </c>
      <c r="C35" s="48" t="s">
        <v>49</v>
      </c>
      <c r="D35" s="48" t="s">
        <v>50</v>
      </c>
      <c r="E35" s="36" t="s">
        <v>51</v>
      </c>
      <c r="F35" s="36" t="s">
        <v>52</v>
      </c>
      <c r="G35" s="36" t="s">
        <v>53</v>
      </c>
      <c r="H35" s="36" t="s">
        <v>54</v>
      </c>
      <c r="I35" s="48" t="s">
        <v>55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21</v>
      </c>
      <c r="B36" s="60">
        <v>180.06153846153845</v>
      </c>
      <c r="C36" s="60">
        <v>1</v>
      </c>
      <c r="D36" s="60">
        <v>61.169230769230765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8.5743589743589741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28</v>
      </c>
      <c r="B37" s="60">
        <v>235.7076923076923</v>
      </c>
      <c r="C37" s="60">
        <v>2</v>
      </c>
      <c r="D37" s="60">
        <v>56.91538461538461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16.687912087912089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30</v>
      </c>
      <c r="B38" s="60">
        <v>214.99230769230769</v>
      </c>
      <c r="C38" s="60" t="s">
        <v>56</v>
      </c>
      <c r="D38" s="60">
        <v>0</v>
      </c>
      <c r="E38" s="51">
        <v>0</v>
      </c>
      <c r="F38" s="51">
        <v>0</v>
      </c>
      <c r="G38" s="51">
        <v>0</v>
      </c>
      <c r="H38" s="51">
        <v>0</v>
      </c>
      <c r="I38" s="53">
        <f t="shared" si="1"/>
        <v>18.099999999999994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35</v>
      </c>
      <c r="B39" s="60">
        <v>305.49230769230769</v>
      </c>
      <c r="C39" s="60">
        <v>3</v>
      </c>
      <c r="D39" s="60">
        <v>70.5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18.100000000000001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42</v>
      </c>
      <c r="B40" s="60">
        <v>362.59999999999997</v>
      </c>
      <c r="C40" s="60">
        <v>4</v>
      </c>
      <c r="D40" s="60">
        <v>80.669230769230765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18.229670329670324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49</v>
      </c>
      <c r="B41" s="60">
        <v>404.56923076923078</v>
      </c>
      <c r="C41" s="60">
        <v>5</v>
      </c>
      <c r="D41" s="60">
        <v>90.453846153846158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17.519780219780223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56</v>
      </c>
      <c r="B42" s="60">
        <v>427.7076923076923</v>
      </c>
      <c r="C42" s="60">
        <v>6</v>
      </c>
      <c r="D42" s="60">
        <v>75.869230769230768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16.227472527472521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63</v>
      </c>
      <c r="B43" s="60">
        <v>455.71538461538466</v>
      </c>
      <c r="C43" s="60">
        <v>7</v>
      </c>
      <c r="D43" s="60">
        <v>79.723076923076917</v>
      </c>
      <c r="E43" s="51">
        <v>0.7</v>
      </c>
      <c r="F43" s="51">
        <v>0.16800000000000001</v>
      </c>
      <c r="G43" s="51">
        <v>0.13200000000000001</v>
      </c>
      <c r="H43" s="51">
        <v>0</v>
      </c>
      <c r="I43" s="49">
        <f t="shared" si="1"/>
        <v>14.839560439560453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70</v>
      </c>
      <c r="B44" s="60">
        <v>469.06923076923073</v>
      </c>
      <c r="C44" s="60">
        <v>8</v>
      </c>
      <c r="D44" s="60">
        <v>469.06923076923073</v>
      </c>
      <c r="E44" s="51">
        <v>0.7</v>
      </c>
      <c r="F44" s="51">
        <v>0.16800000000000001</v>
      </c>
      <c r="G44" s="51">
        <v>0.13200000000000001</v>
      </c>
      <c r="H44" s="51">
        <v>0</v>
      </c>
      <c r="I44" s="49">
        <f t="shared" si="1"/>
        <v>13.296703296703283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Mélèze d'Europe</v>
      </c>
      <c r="D58" s="229" t="s">
        <v>43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44</v>
      </c>
      <c r="C60" s="267" t="s">
        <v>45</v>
      </c>
      <c r="D60" s="267"/>
      <c r="E60" s="268" t="s">
        <v>46</v>
      </c>
      <c r="F60" s="269"/>
      <c r="G60" s="269"/>
      <c r="H60" s="270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47</v>
      </c>
      <c r="B61" s="36" t="s">
        <v>48</v>
      </c>
      <c r="C61" s="48" t="s">
        <v>49</v>
      </c>
      <c r="D61" s="48" t="s">
        <v>50</v>
      </c>
      <c r="E61" s="36" t="s">
        <v>51</v>
      </c>
      <c r="F61" s="36" t="s">
        <v>52</v>
      </c>
      <c r="G61" s="36" t="s">
        <v>53</v>
      </c>
      <c r="H61" s="36" t="s">
        <v>54</v>
      </c>
      <c r="I61" s="48" t="s">
        <v>55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57">
        <v>18</v>
      </c>
      <c r="B62" s="258">
        <v>112</v>
      </c>
      <c r="C62" s="258">
        <v>1</v>
      </c>
      <c r="D62" s="258">
        <v>20</v>
      </c>
      <c r="E62" s="259">
        <v>0</v>
      </c>
      <c r="F62" s="259">
        <v>0.7</v>
      </c>
      <c r="G62" s="259">
        <v>0</v>
      </c>
      <c r="H62" s="259">
        <v>0.3</v>
      </c>
      <c r="I62" s="53">
        <f>IFERROR(B62/A62,"")</f>
        <v>6.2222222222222223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57">
        <v>21</v>
      </c>
      <c r="B63" s="258">
        <v>146</v>
      </c>
      <c r="C63" s="258">
        <v>2</v>
      </c>
      <c r="D63" s="258">
        <v>26</v>
      </c>
      <c r="E63" s="259">
        <v>0</v>
      </c>
      <c r="F63" s="259">
        <v>0.8</v>
      </c>
      <c r="G63" s="259">
        <v>0</v>
      </c>
      <c r="H63" s="259">
        <v>0.2</v>
      </c>
      <c r="I63" s="49">
        <f>IF(A63&lt;&gt;0,(B63-(B62-D62))/(A63-A62),"")</f>
        <v>18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57">
        <v>24</v>
      </c>
      <c r="B64" s="258">
        <v>168</v>
      </c>
      <c r="C64" s="258">
        <v>3</v>
      </c>
      <c r="D64" s="258">
        <v>29</v>
      </c>
      <c r="E64" s="259">
        <v>0</v>
      </c>
      <c r="F64" s="259">
        <v>0.8</v>
      </c>
      <c r="G64" s="259">
        <v>0</v>
      </c>
      <c r="H64" s="259">
        <v>0.2</v>
      </c>
      <c r="I64" s="49">
        <f>IF(A64&lt;&gt;0,(B64-(B63-D63))/(A64-A63),"")</f>
        <v>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57">
        <v>30</v>
      </c>
      <c r="B65" s="258">
        <v>224</v>
      </c>
      <c r="C65" s="258">
        <v>4</v>
      </c>
      <c r="D65" s="258">
        <v>53</v>
      </c>
      <c r="E65" s="259">
        <v>0</v>
      </c>
      <c r="F65" s="259">
        <v>0.8</v>
      </c>
      <c r="G65" s="259">
        <v>0</v>
      </c>
      <c r="H65" s="259">
        <v>0.2</v>
      </c>
      <c r="I65" s="49">
        <f>IF(A65&lt;&gt;0,(B65-(B64-D64))/(A65-A64),"")</f>
        <v>14.166666666666666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57">
        <v>36</v>
      </c>
      <c r="B66" s="258">
        <v>248</v>
      </c>
      <c r="C66" s="258">
        <v>5</v>
      </c>
      <c r="D66" s="258">
        <v>62</v>
      </c>
      <c r="E66" s="259">
        <v>0.3</v>
      </c>
      <c r="F66" s="259">
        <v>0.6</v>
      </c>
      <c r="G66" s="259">
        <v>0</v>
      </c>
      <c r="H66" s="259">
        <v>0.1</v>
      </c>
      <c r="I66" s="49">
        <f t="shared" ref="I66:I81" si="2">IF(A66&lt;&gt;0,(B66-(B65-D65))/(A66-A65),"")</f>
        <v>12.833333333333334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57">
        <v>42</v>
      </c>
      <c r="B67" s="258">
        <v>255</v>
      </c>
      <c r="C67" s="258">
        <v>6</v>
      </c>
      <c r="D67" s="258">
        <v>67</v>
      </c>
      <c r="E67" s="260">
        <v>0.3</v>
      </c>
      <c r="F67" s="260">
        <v>0.6</v>
      </c>
      <c r="G67" s="260">
        <v>0</v>
      </c>
      <c r="H67" s="260">
        <v>0.1</v>
      </c>
      <c r="I67" s="49">
        <f t="shared" si="2"/>
        <v>11.5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57">
        <v>48</v>
      </c>
      <c r="B68" s="258">
        <v>252</v>
      </c>
      <c r="C68" s="258">
        <v>7</v>
      </c>
      <c r="D68" s="258">
        <v>65</v>
      </c>
      <c r="E68" s="260">
        <v>0.4</v>
      </c>
      <c r="F68" s="260">
        <v>0.6</v>
      </c>
      <c r="G68" s="260">
        <v>0</v>
      </c>
      <c r="H68" s="260">
        <v>0</v>
      </c>
      <c r="I68" s="49">
        <f t="shared" si="2"/>
        <v>10.666666666666666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60</v>
      </c>
      <c r="B69" s="261">
        <v>304</v>
      </c>
      <c r="C69" s="261" t="s">
        <v>57</v>
      </c>
      <c r="D69" s="261">
        <v>304</v>
      </c>
      <c r="E69" s="260">
        <v>0.4</v>
      </c>
      <c r="F69" s="260">
        <v>0.6</v>
      </c>
      <c r="G69" s="260">
        <v>0</v>
      </c>
      <c r="H69" s="260">
        <v>0</v>
      </c>
      <c r="I69" s="49">
        <f t="shared" si="2"/>
        <v>9.75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/>
      <c r="B70" s="261"/>
      <c r="C70" s="261"/>
      <c r="D70" s="261"/>
      <c r="E70" s="260"/>
      <c r="F70" s="260"/>
      <c r="G70" s="260"/>
      <c r="H70" s="260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 t="str">
        <f>IF(B11="","",B11)</f>
        <v>Chêne pubescent</v>
      </c>
      <c r="D84" s="229" t="s">
        <v>43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44</v>
      </c>
      <c r="C86" s="267" t="s">
        <v>45</v>
      </c>
      <c r="D86" s="267"/>
      <c r="E86" s="268" t="s">
        <v>46</v>
      </c>
      <c r="F86" s="269"/>
      <c r="G86" s="269"/>
      <c r="H86" s="27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47</v>
      </c>
      <c r="B87" s="36" t="s">
        <v>48</v>
      </c>
      <c r="C87" s="48" t="s">
        <v>49</v>
      </c>
      <c r="D87" s="48" t="s">
        <v>50</v>
      </c>
      <c r="E87" s="36" t="s">
        <v>51</v>
      </c>
      <c r="F87" s="36" t="s">
        <v>52</v>
      </c>
      <c r="G87" s="36" t="s">
        <v>53</v>
      </c>
      <c r="H87" s="36" t="s">
        <v>54</v>
      </c>
      <c r="I87" s="48" t="s">
        <v>55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57">
        <v>30</v>
      </c>
      <c r="B88" s="258">
        <v>87.705128205128204</v>
      </c>
      <c r="C88" s="258" t="s">
        <v>56</v>
      </c>
      <c r="D88" s="258">
        <v>0</v>
      </c>
      <c r="E88" s="259">
        <v>0</v>
      </c>
      <c r="F88" s="259">
        <v>0</v>
      </c>
      <c r="G88" s="259">
        <v>0</v>
      </c>
      <c r="H88" s="262">
        <v>0</v>
      </c>
      <c r="I88" s="53">
        <f>IFERROR(B88/A88,"")</f>
        <v>2.9235042735042733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57">
        <v>44</v>
      </c>
      <c r="B89" s="258">
        <v>162.42307692307691</v>
      </c>
      <c r="C89" s="258">
        <v>1</v>
      </c>
      <c r="D89" s="258">
        <v>64.416666666666657</v>
      </c>
      <c r="E89" s="259">
        <v>0</v>
      </c>
      <c r="F89" s="259">
        <v>0</v>
      </c>
      <c r="G89" s="259">
        <v>0</v>
      </c>
      <c r="H89" s="262">
        <v>1</v>
      </c>
      <c r="I89" s="53">
        <f t="shared" ref="I89:I107" si="3">IF(A89&lt;&gt;0,(B89-(B88-D88))/(A89-A88),"")</f>
        <v>5.3369963369963358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57">
        <v>51</v>
      </c>
      <c r="B90" s="258">
        <v>145.78846153846152</v>
      </c>
      <c r="C90" s="258">
        <v>2</v>
      </c>
      <c r="D90" s="258">
        <v>37.685897435897431</v>
      </c>
      <c r="E90" s="262">
        <v>0</v>
      </c>
      <c r="F90" s="262">
        <v>0</v>
      </c>
      <c r="G90" s="262">
        <v>0</v>
      </c>
      <c r="H90" s="262">
        <v>1</v>
      </c>
      <c r="I90" s="53">
        <f t="shared" si="3"/>
        <v>6.826007326007324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57">
        <v>59</v>
      </c>
      <c r="B91" s="258">
        <v>159.25641025641025</v>
      </c>
      <c r="C91" s="258">
        <v>3</v>
      </c>
      <c r="D91" s="258">
        <v>38.942307692307693</v>
      </c>
      <c r="E91" s="262">
        <v>0</v>
      </c>
      <c r="F91" s="262">
        <v>0</v>
      </c>
      <c r="G91" s="262">
        <v>0</v>
      </c>
      <c r="H91" s="262">
        <v>1</v>
      </c>
      <c r="I91" s="53">
        <f t="shared" si="3"/>
        <v>6.3942307692307701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57">
        <v>67</v>
      </c>
      <c r="B92" s="258">
        <v>167.85897435897436</v>
      </c>
      <c r="C92" s="258">
        <v>4</v>
      </c>
      <c r="D92" s="258">
        <v>31.993589743589741</v>
      </c>
      <c r="E92" s="262">
        <v>0</v>
      </c>
      <c r="F92" s="262">
        <v>0</v>
      </c>
      <c r="G92" s="262">
        <v>0</v>
      </c>
      <c r="H92" s="262">
        <v>1</v>
      </c>
      <c r="I92" s="53">
        <f t="shared" si="3"/>
        <v>5.9431089743589762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57">
        <v>75</v>
      </c>
      <c r="B93" s="258">
        <v>181.38461538461536</v>
      </c>
      <c r="C93" s="258">
        <v>5</v>
      </c>
      <c r="D93" s="258">
        <v>30.916666666666664</v>
      </c>
      <c r="E93" s="263">
        <v>0.7</v>
      </c>
      <c r="F93" s="263">
        <v>0</v>
      </c>
      <c r="G93" s="263">
        <v>0</v>
      </c>
      <c r="H93" s="263">
        <v>0.3</v>
      </c>
      <c r="I93" s="53">
        <f t="shared" si="3"/>
        <v>5.6899038461538431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57">
        <v>84</v>
      </c>
      <c r="B94" s="258">
        <v>200.00641025641025</v>
      </c>
      <c r="C94" s="258">
        <v>6</v>
      </c>
      <c r="D94" s="258">
        <v>35.083333333333329</v>
      </c>
      <c r="E94" s="263">
        <v>0.7</v>
      </c>
      <c r="F94" s="263">
        <v>0</v>
      </c>
      <c r="G94" s="263">
        <v>0</v>
      </c>
      <c r="H94" s="263">
        <v>0.3</v>
      </c>
      <c r="I94" s="53">
        <f t="shared" si="3"/>
        <v>5.5042735042735051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93</v>
      </c>
      <c r="B95" s="60">
        <v>212.26923076923075</v>
      </c>
      <c r="C95" s="60">
        <v>7</v>
      </c>
      <c r="D95" s="60">
        <v>30.083333333333332</v>
      </c>
      <c r="E95" s="87">
        <v>0.7</v>
      </c>
      <c r="F95" s="87">
        <v>0</v>
      </c>
      <c r="G95" s="87">
        <v>0</v>
      </c>
      <c r="H95" s="87">
        <v>0.3</v>
      </c>
      <c r="I95" s="53">
        <f t="shared" si="3"/>
        <v>5.2606837606837598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103</v>
      </c>
      <c r="B96" s="60">
        <v>234.76923076923077</v>
      </c>
      <c r="C96" s="60">
        <v>8</v>
      </c>
      <c r="D96" s="60">
        <v>39.512820512820511</v>
      </c>
      <c r="E96" s="87">
        <v>0.7</v>
      </c>
      <c r="F96" s="87">
        <v>0</v>
      </c>
      <c r="G96" s="87">
        <v>0</v>
      </c>
      <c r="H96" s="87">
        <v>0.3</v>
      </c>
      <c r="I96" s="53">
        <f t="shared" si="3"/>
        <v>5.2583333333333373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113</v>
      </c>
      <c r="B97" s="60">
        <v>246.21794871794873</v>
      </c>
      <c r="C97" s="60">
        <v>9</v>
      </c>
      <c r="D97" s="60">
        <v>31.602564102564099</v>
      </c>
      <c r="E97" s="87">
        <v>0.7</v>
      </c>
      <c r="F97" s="87">
        <v>0</v>
      </c>
      <c r="G97" s="87">
        <v>0</v>
      </c>
      <c r="H97" s="87">
        <v>0.3</v>
      </c>
      <c r="I97" s="53">
        <f t="shared" si="3"/>
        <v>5.0961538461538449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125</v>
      </c>
      <c r="B98" s="60">
        <v>278.29487179487177</v>
      </c>
      <c r="C98" s="60">
        <v>10</v>
      </c>
      <c r="D98" s="60">
        <v>48.160256410256409</v>
      </c>
      <c r="E98" s="87">
        <v>0.7</v>
      </c>
      <c r="F98" s="87">
        <v>0</v>
      </c>
      <c r="G98" s="87">
        <v>0</v>
      </c>
      <c r="H98" s="87">
        <v>0.3</v>
      </c>
      <c r="I98" s="53">
        <f t="shared" si="3"/>
        <v>5.3066239316239274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137</v>
      </c>
      <c r="B99" s="60">
        <v>293.07051282051282</v>
      </c>
      <c r="C99" s="60">
        <v>11</v>
      </c>
      <c r="D99" s="60">
        <v>51.160256410256409</v>
      </c>
      <c r="E99" s="87">
        <v>0.7</v>
      </c>
      <c r="F99" s="87">
        <v>0</v>
      </c>
      <c r="G99" s="87">
        <v>0</v>
      </c>
      <c r="H99" s="87">
        <v>0.3</v>
      </c>
      <c r="I99" s="53">
        <f t="shared" si="3"/>
        <v>5.2446581196581219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149</v>
      </c>
      <c r="B100" s="60">
        <v>303.18589743589746</v>
      </c>
      <c r="C100" s="60">
        <v>12</v>
      </c>
      <c r="D100" s="60">
        <v>120.50641025641026</v>
      </c>
      <c r="E100" s="65">
        <v>0.9</v>
      </c>
      <c r="F100" s="65">
        <v>0</v>
      </c>
      <c r="G100" s="65">
        <v>0</v>
      </c>
      <c r="H100" s="65">
        <v>0.1</v>
      </c>
      <c r="I100" s="53">
        <f t="shared" si="3"/>
        <v>5.1063034188034209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153</v>
      </c>
      <c r="B101" s="60">
        <v>195.05769230769226</v>
      </c>
      <c r="C101" s="60">
        <v>13</v>
      </c>
      <c r="D101" s="60">
        <v>70.115384615384613</v>
      </c>
      <c r="E101" s="65">
        <v>0.9</v>
      </c>
      <c r="F101" s="65">
        <v>0</v>
      </c>
      <c r="G101" s="65">
        <v>0</v>
      </c>
      <c r="H101" s="65">
        <v>0.1</v>
      </c>
      <c r="I101" s="53">
        <f t="shared" si="3"/>
        <v>3.0945512820512704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157</v>
      </c>
      <c r="B102" s="50">
        <v>132.42948717948718</v>
      </c>
      <c r="C102" s="60">
        <v>14</v>
      </c>
      <c r="D102" s="50">
        <v>45.71153846153846</v>
      </c>
      <c r="E102" s="54">
        <v>0.9</v>
      </c>
      <c r="F102" s="54">
        <v>0</v>
      </c>
      <c r="G102" s="54">
        <v>0</v>
      </c>
      <c r="H102" s="54">
        <v>0.1</v>
      </c>
      <c r="I102" s="53">
        <f t="shared" si="3"/>
        <v>1.8717948717948829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>
        <v>161</v>
      </c>
      <c r="B103" s="50">
        <v>91.365384615384613</v>
      </c>
      <c r="C103" s="60">
        <v>15</v>
      </c>
      <c r="D103" s="50">
        <v>91.365384615384613</v>
      </c>
      <c r="E103" s="54">
        <v>0.9</v>
      </c>
      <c r="F103" s="54">
        <v>0</v>
      </c>
      <c r="G103" s="54">
        <v>0</v>
      </c>
      <c r="H103" s="54">
        <v>0.1</v>
      </c>
      <c r="I103" s="53">
        <f t="shared" si="3"/>
        <v>1.1618589743589709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22</v>
      </c>
      <c r="B110" s="52" t="str">
        <f>IF(B12="","",B12)</f>
        <v/>
      </c>
      <c r="D110" s="229" t="s">
        <v>43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44</v>
      </c>
      <c r="C112" s="267" t="s">
        <v>45</v>
      </c>
      <c r="D112" s="267"/>
      <c r="E112" s="268" t="s">
        <v>46</v>
      </c>
      <c r="F112" s="269"/>
      <c r="G112" s="269"/>
      <c r="H112" s="27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47</v>
      </c>
      <c r="B113" s="36" t="s">
        <v>48</v>
      </c>
      <c r="C113" s="48" t="s">
        <v>49</v>
      </c>
      <c r="D113" s="48" t="s">
        <v>50</v>
      </c>
      <c r="E113" s="36" t="s">
        <v>51</v>
      </c>
      <c r="F113" s="36" t="s">
        <v>52</v>
      </c>
      <c r="G113" s="36" t="s">
        <v>53</v>
      </c>
      <c r="H113" s="36" t="s">
        <v>54</v>
      </c>
      <c r="I113" s="48" t="s">
        <v>55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57"/>
      <c r="B114" s="258"/>
      <c r="C114" s="257"/>
      <c r="D114" s="258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57"/>
      <c r="B115" s="258"/>
      <c r="C115" s="257"/>
      <c r="D115" s="258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57"/>
      <c r="B116" s="258"/>
      <c r="C116" s="257"/>
      <c r="D116" s="258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57"/>
      <c r="B117" s="258"/>
      <c r="C117" s="257"/>
      <c r="D117" s="258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57"/>
      <c r="B118" s="258"/>
      <c r="C118" s="257"/>
      <c r="D118" s="258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57"/>
      <c r="B119" s="258"/>
      <c r="C119" s="257"/>
      <c r="D119" s="258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58"/>
      <c r="B120" s="258"/>
      <c r="C120" s="258"/>
      <c r="D120" s="258"/>
      <c r="E120" s="263"/>
      <c r="F120" s="263"/>
      <c r="G120" s="263"/>
      <c r="H120" s="263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4"/>
      <c r="B121" s="264"/>
      <c r="C121" s="264"/>
      <c r="D121" s="264"/>
      <c r="E121" s="263"/>
      <c r="F121" s="263"/>
      <c r="G121" s="263"/>
      <c r="H121" s="263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4"/>
      <c r="B122" s="264"/>
      <c r="C122" s="264"/>
      <c r="D122" s="264"/>
      <c r="E122" s="263"/>
      <c r="F122" s="263"/>
      <c r="G122" s="263"/>
      <c r="H122" s="263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23</v>
      </c>
      <c r="B136" s="52" t="str">
        <f>IF(B13="","",B13)</f>
        <v/>
      </c>
      <c r="D136" s="229" t="s">
        <v>43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44</v>
      </c>
      <c r="C138" s="267" t="s">
        <v>45</v>
      </c>
      <c r="D138" s="267"/>
      <c r="E138" s="268" t="s">
        <v>46</v>
      </c>
      <c r="F138" s="269"/>
      <c r="G138" s="269"/>
      <c r="H138" s="27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47</v>
      </c>
      <c r="B139" s="36" t="s">
        <v>48</v>
      </c>
      <c r="C139" s="48" t="s">
        <v>49</v>
      </c>
      <c r="D139" s="48" t="s">
        <v>50</v>
      </c>
      <c r="E139" s="36" t="s">
        <v>51</v>
      </c>
      <c r="F139" s="36" t="s">
        <v>52</v>
      </c>
      <c r="G139" s="36" t="s">
        <v>53</v>
      </c>
      <c r="H139" s="36" t="s">
        <v>54</v>
      </c>
      <c r="I139" s="48" t="s">
        <v>55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257"/>
      <c r="B140" s="258"/>
      <c r="C140" s="257"/>
      <c r="D140" s="258"/>
      <c r="E140" s="259"/>
      <c r="F140" s="259"/>
      <c r="G140" s="259"/>
      <c r="H140" s="259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257"/>
      <c r="B141" s="258"/>
      <c r="C141" s="257"/>
      <c r="D141" s="258"/>
      <c r="E141" s="259"/>
      <c r="F141" s="259"/>
      <c r="G141" s="259"/>
      <c r="H141" s="259"/>
      <c r="I141" s="57" t="str">
        <f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257"/>
      <c r="B142" s="258"/>
      <c r="C142" s="257"/>
      <c r="D142" s="258"/>
      <c r="E142" s="259"/>
      <c r="F142" s="259"/>
      <c r="G142" s="259"/>
      <c r="H142" s="259"/>
      <c r="I142" s="57" t="str">
        <f>IF(A142&lt;&gt;0,(B142-(B141-D141))/(A142-A141),"")</f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257"/>
      <c r="B143" s="258"/>
      <c r="C143" s="257"/>
      <c r="D143" s="258"/>
      <c r="E143" s="259"/>
      <c r="F143" s="259"/>
      <c r="G143" s="259"/>
      <c r="H143" s="259"/>
      <c r="I143" s="57" t="str">
        <f t="shared" ref="I143:I159" si="5">IF(A143&lt;&gt;0,(B143-(B142-D142))/(A143-A142),"")</f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257"/>
      <c r="B144" s="258"/>
      <c r="C144" s="257"/>
      <c r="D144" s="258"/>
      <c r="E144" s="259"/>
      <c r="F144" s="259"/>
      <c r="G144" s="259"/>
      <c r="H144" s="259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24</v>
      </c>
      <c r="B162" s="52" t="str">
        <f>IF(B14="","",B14)</f>
        <v/>
      </c>
      <c r="D162" s="229" t="s">
        <v>43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44</v>
      </c>
      <c r="C164" s="267" t="s">
        <v>45</v>
      </c>
      <c r="D164" s="267"/>
      <c r="E164" s="268" t="s">
        <v>46</v>
      </c>
      <c r="F164" s="269"/>
      <c r="G164" s="269"/>
      <c r="H164" s="27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47</v>
      </c>
      <c r="B165" s="36" t="s">
        <v>48</v>
      </c>
      <c r="C165" s="48" t="s">
        <v>49</v>
      </c>
      <c r="D165" s="48" t="s">
        <v>50</v>
      </c>
      <c r="E165" s="36" t="s">
        <v>51</v>
      </c>
      <c r="F165" s="36" t="s">
        <v>52</v>
      </c>
      <c r="G165" s="36" t="s">
        <v>53</v>
      </c>
      <c r="H165" s="36" t="s">
        <v>54</v>
      </c>
      <c r="I165" s="48" t="s">
        <v>55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25</v>
      </c>
      <c r="B188" s="52" t="str">
        <f>IF(B15="","",B15)</f>
        <v/>
      </c>
      <c r="D188" s="229" t="s">
        <v>43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44</v>
      </c>
      <c r="C190" s="267" t="s">
        <v>45</v>
      </c>
      <c r="D190" s="267"/>
      <c r="E190" s="268" t="s">
        <v>46</v>
      </c>
      <c r="F190" s="269"/>
      <c r="G190" s="269"/>
      <c r="H190" s="27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47</v>
      </c>
      <c r="B191" s="36" t="s">
        <v>48</v>
      </c>
      <c r="C191" s="48" t="s">
        <v>49</v>
      </c>
      <c r="D191" s="48" t="s">
        <v>50</v>
      </c>
      <c r="E191" s="36" t="s">
        <v>51</v>
      </c>
      <c r="F191" s="36" t="s">
        <v>52</v>
      </c>
      <c r="G191" s="36" t="s">
        <v>53</v>
      </c>
      <c r="H191" s="36" t="s">
        <v>54</v>
      </c>
      <c r="I191" s="48" t="s">
        <v>55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26</v>
      </c>
      <c r="B214" s="52" t="str">
        <f>IF(B16="","",B16)</f>
        <v/>
      </c>
      <c r="D214" s="229" t="s">
        <v>43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44</v>
      </c>
      <c r="C216" s="267" t="s">
        <v>45</v>
      </c>
      <c r="D216" s="267"/>
      <c r="E216" s="268" t="s">
        <v>46</v>
      </c>
      <c r="F216" s="269"/>
      <c r="G216" s="269"/>
      <c r="H216" s="27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47</v>
      </c>
      <c r="B217" s="36" t="s">
        <v>48</v>
      </c>
      <c r="C217" s="48" t="s">
        <v>49</v>
      </c>
      <c r="D217" s="48" t="s">
        <v>50</v>
      </c>
      <c r="E217" s="36" t="s">
        <v>51</v>
      </c>
      <c r="F217" s="36" t="s">
        <v>52</v>
      </c>
      <c r="G217" s="36" t="s">
        <v>53</v>
      </c>
      <c r="H217" s="36" t="s">
        <v>54</v>
      </c>
      <c r="I217" s="48" t="s">
        <v>55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27</v>
      </c>
      <c r="B240" s="52" t="str">
        <f>IF(B17="","",B17)</f>
        <v/>
      </c>
      <c r="D240" s="229" t="s">
        <v>43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44</v>
      </c>
      <c r="C242" s="267" t="s">
        <v>45</v>
      </c>
      <c r="D242" s="267"/>
      <c r="E242" s="268" t="s">
        <v>46</v>
      </c>
      <c r="F242" s="269"/>
      <c r="G242" s="269"/>
      <c r="H242" s="27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47</v>
      </c>
      <c r="B243" s="36" t="s">
        <v>48</v>
      </c>
      <c r="C243" s="48" t="s">
        <v>49</v>
      </c>
      <c r="D243" s="48" t="s">
        <v>50</v>
      </c>
      <c r="E243" s="36" t="s">
        <v>51</v>
      </c>
      <c r="F243" s="36" t="s">
        <v>52</v>
      </c>
      <c r="G243" s="36" t="s">
        <v>53</v>
      </c>
      <c r="H243" s="36" t="s">
        <v>54</v>
      </c>
      <c r="I243" s="48" t="s">
        <v>55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28</v>
      </c>
      <c r="B266" s="52" t="str">
        <f>IF(B18="","",B18)</f>
        <v/>
      </c>
      <c r="D266" s="229" t="s">
        <v>43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44</v>
      </c>
      <c r="C268" s="267" t="s">
        <v>45</v>
      </c>
      <c r="D268" s="267"/>
      <c r="E268" s="268" t="s">
        <v>46</v>
      </c>
      <c r="F268" s="269"/>
      <c r="G268" s="269"/>
      <c r="H268" s="27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47</v>
      </c>
      <c r="B269" s="36" t="s">
        <v>48</v>
      </c>
      <c r="C269" s="48" t="s">
        <v>49</v>
      </c>
      <c r="D269" s="48" t="s">
        <v>50</v>
      </c>
      <c r="E269" s="36" t="s">
        <v>51</v>
      </c>
      <c r="F269" s="36" t="s">
        <v>52</v>
      </c>
      <c r="G269" s="36" t="s">
        <v>53</v>
      </c>
      <c r="H269" s="36" t="s">
        <v>54</v>
      </c>
      <c r="I269" s="48" t="s">
        <v>55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Normal="100" workbookViewId="0">
      <selection activeCell="F10" sqref="F10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0" t="s">
        <v>58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59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60</v>
      </c>
      <c r="C7" s="100" t="s">
        <v>61</v>
      </c>
      <c r="D7" s="215"/>
      <c r="E7" s="101"/>
      <c r="F7" s="26" t="s">
        <v>60</v>
      </c>
      <c r="G7" s="100" t="s">
        <v>62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63</v>
      </c>
      <c r="D8" s="23"/>
      <c r="E8" s="105">
        <v>4</v>
      </c>
      <c r="F8" s="61">
        <v>1</v>
      </c>
      <c r="G8" s="102" t="s">
        <v>64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65</v>
      </c>
      <c r="D9" s="23"/>
      <c r="E9" s="105">
        <v>5</v>
      </c>
      <c r="F9" s="61">
        <v>0</v>
      </c>
      <c r="G9" s="103" t="s">
        <v>66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68</v>
      </c>
      <c r="D13" s="216"/>
      <c r="E13" s="99"/>
      <c r="F13" s="107"/>
      <c r="G13" s="98" t="s">
        <v>69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70</v>
      </c>
      <c r="D14" s="216"/>
      <c r="E14" s="99"/>
      <c r="F14" s="107"/>
      <c r="G14" s="98" t="s">
        <v>71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60</v>
      </c>
      <c r="C15" s="4"/>
      <c r="D15" s="23"/>
      <c r="E15" s="4"/>
      <c r="F15" s="4"/>
      <c r="G15" s="2" t="s">
        <v>72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73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74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75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6" t="s">
        <v>76</v>
      </c>
      <c r="C1" s="287"/>
      <c r="D1" s="287"/>
      <c r="E1" s="287"/>
      <c r="F1" s="287"/>
      <c r="G1" s="287"/>
      <c r="H1" s="288"/>
      <c r="I1" s="283" t="str">
        <f>IF('Données projet'!$B$9="","",'Données projet'!$B$9)</f>
        <v>Douglas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5"/>
      <c r="AD1" s="284" t="str">
        <f>IF('Données projet'!$B$10="","",'Données projet'!$B$10)</f>
        <v>Mélèze d'Europe</v>
      </c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5"/>
      <c r="AY1" s="283" t="str">
        <f>IF('Données projet'!$B$11="","",'Données projet'!$B$11)</f>
        <v>Chêne pubescent</v>
      </c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5"/>
      <c r="BT1" s="283" t="str">
        <f>IF('Données projet'!$B$12="","",'Données projet'!$B$12)</f>
        <v/>
      </c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5"/>
      <c r="CO1" s="283" t="str">
        <f>IF('Données projet'!$B$13="","",'Données projet'!$B$13)</f>
        <v/>
      </c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5"/>
      <c r="DJ1" s="283" t="str">
        <f>IF('Données projet'!$B$14="","",'Données projet'!$B$14)</f>
        <v/>
      </c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5"/>
      <c r="EE1" s="283" t="str">
        <f>IF('Données projet'!$B$15="","",'Données projet'!$B$15)</f>
        <v/>
      </c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5"/>
      <c r="EZ1" s="283" t="str">
        <f>IF('Données projet'!$B$16="","",'Données projet'!$B$16)</f>
        <v/>
      </c>
      <c r="FA1" s="284"/>
      <c r="FB1" s="284"/>
      <c r="FC1" s="284"/>
      <c r="FD1" s="284"/>
      <c r="FE1" s="284"/>
      <c r="FF1" s="284"/>
      <c r="FG1" s="284"/>
      <c r="FH1" s="284"/>
      <c r="FI1" s="284"/>
      <c r="FJ1" s="284"/>
      <c r="FK1" s="284"/>
      <c r="FL1" s="284"/>
      <c r="FM1" s="284"/>
      <c r="FN1" s="284"/>
      <c r="FO1" s="284"/>
      <c r="FP1" s="284"/>
      <c r="FQ1" s="284"/>
      <c r="FR1" s="284"/>
      <c r="FS1" s="284"/>
      <c r="FT1" s="285"/>
      <c r="FU1" s="283" t="str">
        <f>IF('Données projet'!$B$17="","",'Données projet'!$B$17)</f>
        <v/>
      </c>
      <c r="FV1" s="284"/>
      <c r="FW1" s="284"/>
      <c r="FX1" s="284"/>
      <c r="FY1" s="284"/>
      <c r="FZ1" s="284"/>
      <c r="GA1" s="284"/>
      <c r="GB1" s="284"/>
      <c r="GC1" s="284"/>
      <c r="GD1" s="284"/>
      <c r="GE1" s="284"/>
      <c r="GF1" s="284"/>
      <c r="GG1" s="284"/>
      <c r="GH1" s="284"/>
      <c r="GI1" s="284"/>
      <c r="GJ1" s="284"/>
      <c r="GK1" s="284"/>
      <c r="GL1" s="284"/>
      <c r="GM1" s="284"/>
      <c r="GN1" s="284"/>
      <c r="GO1" s="285"/>
      <c r="GP1" s="283" t="str">
        <f>IF('Données projet'!$B$18="","",'Données projet'!$B$18)</f>
        <v/>
      </c>
      <c r="GQ1" s="284"/>
      <c r="GR1" s="284"/>
      <c r="GS1" s="284"/>
      <c r="GT1" s="284"/>
      <c r="GU1" s="284"/>
      <c r="GV1" s="284"/>
      <c r="GW1" s="284"/>
      <c r="GX1" s="284"/>
      <c r="GY1" s="284"/>
      <c r="GZ1" s="284"/>
      <c r="HA1" s="284"/>
      <c r="HB1" s="284"/>
      <c r="HC1" s="284"/>
      <c r="HD1" s="284"/>
      <c r="HE1" s="284"/>
      <c r="HF1" s="284"/>
      <c r="HG1" s="284"/>
      <c r="HH1" s="284"/>
      <c r="HI1" s="284"/>
      <c r="HJ1" s="285"/>
    </row>
    <row r="2" spans="1:218" ht="58.5" thickBot="1" x14ac:dyDescent="0.4">
      <c r="A2" s="71" t="s">
        <v>77</v>
      </c>
      <c r="B2" s="72" t="s">
        <v>78</v>
      </c>
      <c r="C2" s="5" t="s">
        <v>79</v>
      </c>
      <c r="D2" s="5" t="s">
        <v>80</v>
      </c>
      <c r="E2" s="5" t="s">
        <v>81</v>
      </c>
      <c r="F2" s="5" t="s">
        <v>82</v>
      </c>
      <c r="G2" s="5" t="s">
        <v>83</v>
      </c>
      <c r="H2" s="66" t="s">
        <v>84</v>
      </c>
      <c r="I2" s="68" t="s">
        <v>81</v>
      </c>
      <c r="J2" s="69" t="s">
        <v>82</v>
      </c>
      <c r="K2" s="6" t="s">
        <v>85</v>
      </c>
      <c r="L2" s="6" t="s">
        <v>86</v>
      </c>
      <c r="M2" s="6" t="s">
        <v>86</v>
      </c>
      <c r="N2" s="6" t="s">
        <v>87</v>
      </c>
      <c r="O2" s="6" t="s">
        <v>88</v>
      </c>
      <c r="P2" s="6" t="s">
        <v>89</v>
      </c>
      <c r="Q2" s="6" t="s">
        <v>83</v>
      </c>
      <c r="R2" s="6" t="s">
        <v>90</v>
      </c>
      <c r="S2" s="6" t="s">
        <v>91</v>
      </c>
      <c r="T2" s="6" t="s">
        <v>92</v>
      </c>
      <c r="U2" s="7" t="s">
        <v>93</v>
      </c>
      <c r="V2" s="8" t="s">
        <v>94</v>
      </c>
      <c r="W2" s="7" t="s">
        <v>51</v>
      </c>
      <c r="X2" s="7" t="s">
        <v>52</v>
      </c>
      <c r="Y2" s="7" t="s">
        <v>95</v>
      </c>
      <c r="Z2" s="8" t="s">
        <v>96</v>
      </c>
      <c r="AA2" s="8" t="s">
        <v>97</v>
      </c>
      <c r="AB2" s="8" t="s">
        <v>98</v>
      </c>
      <c r="AC2" s="9" t="s">
        <v>99</v>
      </c>
      <c r="AD2" s="69" t="s">
        <v>81</v>
      </c>
      <c r="AE2" s="69" t="s">
        <v>82</v>
      </c>
      <c r="AF2" s="6" t="s">
        <v>85</v>
      </c>
      <c r="AG2" s="6" t="s">
        <v>86</v>
      </c>
      <c r="AH2" s="6" t="s">
        <v>86</v>
      </c>
      <c r="AI2" s="6" t="s">
        <v>87</v>
      </c>
      <c r="AJ2" s="6" t="s">
        <v>88</v>
      </c>
      <c r="AK2" s="6" t="s">
        <v>89</v>
      </c>
      <c r="AL2" s="6" t="s">
        <v>83</v>
      </c>
      <c r="AM2" s="6" t="s">
        <v>90</v>
      </c>
      <c r="AN2" s="6" t="s">
        <v>91</v>
      </c>
      <c r="AO2" s="6" t="s">
        <v>92</v>
      </c>
      <c r="AP2" s="7" t="s">
        <v>93</v>
      </c>
      <c r="AQ2" s="8" t="s">
        <v>94</v>
      </c>
      <c r="AR2" s="7" t="s">
        <v>51</v>
      </c>
      <c r="AS2" s="7" t="s">
        <v>52</v>
      </c>
      <c r="AT2" s="8" t="s">
        <v>100</v>
      </c>
      <c r="AU2" s="8" t="s">
        <v>96</v>
      </c>
      <c r="AV2" s="8" t="s">
        <v>97</v>
      </c>
      <c r="AW2" s="8" t="s">
        <v>98</v>
      </c>
      <c r="AX2" s="8" t="s">
        <v>99</v>
      </c>
      <c r="AY2" s="68" t="s">
        <v>81</v>
      </c>
      <c r="AZ2" s="69" t="s">
        <v>82</v>
      </c>
      <c r="BA2" s="6" t="s">
        <v>85</v>
      </c>
      <c r="BB2" s="6" t="s">
        <v>86</v>
      </c>
      <c r="BC2" s="6" t="s">
        <v>86</v>
      </c>
      <c r="BD2" s="6" t="s">
        <v>87</v>
      </c>
      <c r="BE2" s="6" t="s">
        <v>88</v>
      </c>
      <c r="BF2" s="6" t="s">
        <v>89</v>
      </c>
      <c r="BG2" s="6" t="s">
        <v>83</v>
      </c>
      <c r="BH2" s="6" t="s">
        <v>90</v>
      </c>
      <c r="BI2" s="6" t="s">
        <v>91</v>
      </c>
      <c r="BJ2" s="6" t="s">
        <v>92</v>
      </c>
      <c r="BK2" s="7" t="s">
        <v>93</v>
      </c>
      <c r="BL2" s="8" t="s">
        <v>94</v>
      </c>
      <c r="BM2" s="7" t="s">
        <v>51</v>
      </c>
      <c r="BN2" s="7" t="s">
        <v>52</v>
      </c>
      <c r="BO2" s="8" t="s">
        <v>100</v>
      </c>
      <c r="BP2" s="8" t="s">
        <v>96</v>
      </c>
      <c r="BQ2" s="8" t="s">
        <v>97</v>
      </c>
      <c r="BR2" s="8" t="s">
        <v>98</v>
      </c>
      <c r="BS2" s="9" t="s">
        <v>99</v>
      </c>
      <c r="BT2" s="68" t="s">
        <v>81</v>
      </c>
      <c r="BU2" s="69" t="s">
        <v>82</v>
      </c>
      <c r="BV2" s="6" t="s">
        <v>85</v>
      </c>
      <c r="BW2" s="6" t="s">
        <v>86</v>
      </c>
      <c r="BX2" s="6" t="s">
        <v>86</v>
      </c>
      <c r="BY2" s="6" t="s">
        <v>87</v>
      </c>
      <c r="BZ2" s="6" t="s">
        <v>88</v>
      </c>
      <c r="CA2" s="6" t="s">
        <v>89</v>
      </c>
      <c r="CB2" s="6" t="s">
        <v>83</v>
      </c>
      <c r="CC2" s="6" t="s">
        <v>90</v>
      </c>
      <c r="CD2" s="6" t="s">
        <v>91</v>
      </c>
      <c r="CE2" s="6" t="s">
        <v>92</v>
      </c>
      <c r="CF2" s="7" t="s">
        <v>93</v>
      </c>
      <c r="CG2" s="8" t="s">
        <v>94</v>
      </c>
      <c r="CH2" s="7" t="s">
        <v>51</v>
      </c>
      <c r="CI2" s="7" t="s">
        <v>52</v>
      </c>
      <c r="CJ2" s="8" t="s">
        <v>100</v>
      </c>
      <c r="CK2" s="8" t="s">
        <v>96</v>
      </c>
      <c r="CL2" s="8" t="s">
        <v>97</v>
      </c>
      <c r="CM2" s="8" t="s">
        <v>98</v>
      </c>
      <c r="CN2" s="9" t="s">
        <v>99</v>
      </c>
      <c r="CO2" s="68" t="s">
        <v>81</v>
      </c>
      <c r="CP2" s="69" t="s">
        <v>82</v>
      </c>
      <c r="CQ2" s="6" t="s">
        <v>85</v>
      </c>
      <c r="CR2" s="6" t="s">
        <v>86</v>
      </c>
      <c r="CS2" s="6" t="s">
        <v>86</v>
      </c>
      <c r="CT2" s="6" t="s">
        <v>87</v>
      </c>
      <c r="CU2" s="6" t="s">
        <v>88</v>
      </c>
      <c r="CV2" s="6" t="s">
        <v>89</v>
      </c>
      <c r="CW2" s="6" t="s">
        <v>83</v>
      </c>
      <c r="CX2" s="6" t="s">
        <v>90</v>
      </c>
      <c r="CY2" s="6" t="s">
        <v>91</v>
      </c>
      <c r="CZ2" s="6" t="s">
        <v>92</v>
      </c>
      <c r="DA2" s="7" t="s">
        <v>93</v>
      </c>
      <c r="DB2" s="8" t="s">
        <v>94</v>
      </c>
      <c r="DC2" s="7" t="s">
        <v>51</v>
      </c>
      <c r="DD2" s="7" t="s">
        <v>52</v>
      </c>
      <c r="DE2" s="8" t="s">
        <v>100</v>
      </c>
      <c r="DF2" s="8" t="s">
        <v>96</v>
      </c>
      <c r="DG2" s="8" t="s">
        <v>97</v>
      </c>
      <c r="DH2" s="8" t="s">
        <v>98</v>
      </c>
      <c r="DI2" s="9" t="s">
        <v>99</v>
      </c>
      <c r="DJ2" s="68" t="s">
        <v>81</v>
      </c>
      <c r="DK2" s="69" t="s">
        <v>82</v>
      </c>
      <c r="DL2" s="6" t="s">
        <v>85</v>
      </c>
      <c r="DM2" s="6" t="s">
        <v>86</v>
      </c>
      <c r="DN2" s="6" t="s">
        <v>86</v>
      </c>
      <c r="DO2" s="6" t="s">
        <v>87</v>
      </c>
      <c r="DP2" s="6" t="s">
        <v>88</v>
      </c>
      <c r="DQ2" s="6" t="s">
        <v>89</v>
      </c>
      <c r="DR2" s="6" t="s">
        <v>83</v>
      </c>
      <c r="DS2" s="6" t="s">
        <v>90</v>
      </c>
      <c r="DT2" s="6" t="s">
        <v>91</v>
      </c>
      <c r="DU2" s="6" t="s">
        <v>92</v>
      </c>
      <c r="DV2" s="7" t="s">
        <v>93</v>
      </c>
      <c r="DW2" s="8" t="s">
        <v>94</v>
      </c>
      <c r="DX2" s="7" t="s">
        <v>51</v>
      </c>
      <c r="DY2" s="7" t="s">
        <v>52</v>
      </c>
      <c r="DZ2" s="8" t="s">
        <v>100</v>
      </c>
      <c r="EA2" s="8" t="s">
        <v>96</v>
      </c>
      <c r="EB2" s="8" t="s">
        <v>97</v>
      </c>
      <c r="EC2" s="8" t="s">
        <v>98</v>
      </c>
      <c r="ED2" s="9" t="s">
        <v>99</v>
      </c>
      <c r="EE2" s="68" t="s">
        <v>81</v>
      </c>
      <c r="EF2" s="69" t="s">
        <v>82</v>
      </c>
      <c r="EG2" s="6" t="s">
        <v>85</v>
      </c>
      <c r="EH2" s="6" t="s">
        <v>86</v>
      </c>
      <c r="EI2" s="6" t="s">
        <v>86</v>
      </c>
      <c r="EJ2" s="6" t="s">
        <v>87</v>
      </c>
      <c r="EK2" s="6" t="s">
        <v>88</v>
      </c>
      <c r="EL2" s="6" t="s">
        <v>89</v>
      </c>
      <c r="EM2" s="6" t="s">
        <v>83</v>
      </c>
      <c r="EN2" s="6" t="s">
        <v>90</v>
      </c>
      <c r="EO2" s="6" t="s">
        <v>91</v>
      </c>
      <c r="EP2" s="6" t="s">
        <v>92</v>
      </c>
      <c r="EQ2" s="7" t="s">
        <v>93</v>
      </c>
      <c r="ER2" s="8" t="s">
        <v>94</v>
      </c>
      <c r="ES2" s="7" t="s">
        <v>51</v>
      </c>
      <c r="ET2" s="7" t="s">
        <v>52</v>
      </c>
      <c r="EU2" s="8" t="s">
        <v>100</v>
      </c>
      <c r="EV2" s="8" t="s">
        <v>96</v>
      </c>
      <c r="EW2" s="8" t="s">
        <v>97</v>
      </c>
      <c r="EX2" s="8" t="s">
        <v>98</v>
      </c>
      <c r="EY2" s="9" t="s">
        <v>99</v>
      </c>
      <c r="EZ2" s="68" t="s">
        <v>81</v>
      </c>
      <c r="FA2" s="69" t="s">
        <v>82</v>
      </c>
      <c r="FB2" s="6" t="s">
        <v>85</v>
      </c>
      <c r="FC2" s="6" t="s">
        <v>86</v>
      </c>
      <c r="FD2" s="6" t="s">
        <v>86</v>
      </c>
      <c r="FE2" s="6" t="s">
        <v>87</v>
      </c>
      <c r="FF2" s="6" t="s">
        <v>88</v>
      </c>
      <c r="FG2" s="6" t="s">
        <v>89</v>
      </c>
      <c r="FH2" s="6" t="s">
        <v>83</v>
      </c>
      <c r="FI2" s="6" t="s">
        <v>90</v>
      </c>
      <c r="FJ2" s="6" t="s">
        <v>91</v>
      </c>
      <c r="FK2" s="6" t="s">
        <v>92</v>
      </c>
      <c r="FL2" s="7" t="s">
        <v>93</v>
      </c>
      <c r="FM2" s="8" t="s">
        <v>94</v>
      </c>
      <c r="FN2" s="7" t="s">
        <v>51</v>
      </c>
      <c r="FO2" s="7" t="s">
        <v>52</v>
      </c>
      <c r="FP2" s="8" t="s">
        <v>101</v>
      </c>
      <c r="FQ2" s="8" t="s">
        <v>96</v>
      </c>
      <c r="FR2" s="8" t="s">
        <v>97</v>
      </c>
      <c r="FS2" s="8" t="s">
        <v>98</v>
      </c>
      <c r="FT2" s="9" t="s">
        <v>99</v>
      </c>
      <c r="FU2" s="68" t="s">
        <v>81</v>
      </c>
      <c r="FV2" s="69" t="s">
        <v>82</v>
      </c>
      <c r="FW2" s="6" t="s">
        <v>85</v>
      </c>
      <c r="FX2" s="6" t="s">
        <v>86</v>
      </c>
      <c r="FY2" s="6" t="s">
        <v>86</v>
      </c>
      <c r="FZ2" s="6" t="s">
        <v>87</v>
      </c>
      <c r="GA2" s="6" t="s">
        <v>88</v>
      </c>
      <c r="GB2" s="6" t="s">
        <v>89</v>
      </c>
      <c r="GC2" s="6" t="s">
        <v>83</v>
      </c>
      <c r="GD2" s="6" t="s">
        <v>90</v>
      </c>
      <c r="GE2" s="6" t="s">
        <v>91</v>
      </c>
      <c r="GF2" s="6" t="s">
        <v>92</v>
      </c>
      <c r="GG2" s="7" t="s">
        <v>93</v>
      </c>
      <c r="GH2" s="8" t="s">
        <v>94</v>
      </c>
      <c r="GI2" s="7" t="s">
        <v>51</v>
      </c>
      <c r="GJ2" s="7" t="s">
        <v>52</v>
      </c>
      <c r="GK2" s="8" t="s">
        <v>100</v>
      </c>
      <c r="GL2" s="8" t="s">
        <v>96</v>
      </c>
      <c r="GM2" s="8" t="s">
        <v>97</v>
      </c>
      <c r="GN2" s="8" t="s">
        <v>98</v>
      </c>
      <c r="GO2" s="8" t="s">
        <v>99</v>
      </c>
      <c r="GP2" s="68" t="s">
        <v>81</v>
      </c>
      <c r="GQ2" s="69" t="s">
        <v>82</v>
      </c>
      <c r="GR2" s="6" t="s">
        <v>85</v>
      </c>
      <c r="GS2" s="6" t="s">
        <v>86</v>
      </c>
      <c r="GT2" s="6" t="s">
        <v>86</v>
      </c>
      <c r="GU2" s="6" t="s">
        <v>87</v>
      </c>
      <c r="GV2" s="6" t="s">
        <v>88</v>
      </c>
      <c r="GW2" s="6" t="s">
        <v>89</v>
      </c>
      <c r="GX2" s="6" t="s">
        <v>83</v>
      </c>
      <c r="GY2" s="6" t="s">
        <v>90</v>
      </c>
      <c r="GZ2" s="6" t="s">
        <v>91</v>
      </c>
      <c r="HA2" s="6" t="s">
        <v>92</v>
      </c>
      <c r="HB2" s="7" t="s">
        <v>93</v>
      </c>
      <c r="HC2" s="8" t="s">
        <v>94</v>
      </c>
      <c r="HD2" s="7" t="s">
        <v>51</v>
      </c>
      <c r="HE2" s="7" t="s">
        <v>52</v>
      </c>
      <c r="HF2" s="8" t="s">
        <v>100</v>
      </c>
      <c r="HG2" s="8" t="s">
        <v>96</v>
      </c>
      <c r="HH2" s="8" t="s">
        <v>97</v>
      </c>
      <c r="HI2" s="8" t="s">
        <v>98</v>
      </c>
      <c r="HJ2" s="9" t="s">
        <v>99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254.6443970237226</v>
      </c>
      <c r="T3" s="59">
        <f>IF('Données projet'!E9&gt;30,$R$33-$H$33,LOOKUP('Données projet'!$E$9,$A$3:$A$203,R3:R203)-LOOKUP('Données projet'!$E$9,$A$3:$A$203,$H$3:$H$203))</f>
        <v>231.81667808018062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180.31844548479722</v>
      </c>
      <c r="AO3" s="59">
        <f>IF('Données projet'!E10&gt;30,$AM$33-$H$33,LOOKUP('Données projet'!$E$10,$A$3:$A$203,AM3:AM203)-LOOKUP('Données projet'!$E$10,$A$3:$A$203,$H$3:$H$203))</f>
        <v>273.83237400307223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264.08050363622294</v>
      </c>
      <c r="BJ3" s="59">
        <f>IF('Données projet'!E11&gt;30,$BH$33-$H$33,LOOKUP('Données projet'!$E$11,$A$3:$A$203,BH3:BH203)-LOOKUP('Données projet'!$E$11,$A$3:$A$203,$H$3:$H$203))</f>
        <v>164.48884512322883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0.46799999999999997</v>
      </c>
      <c r="D4" s="11">
        <f>IFERROR(EXP(-1.0587+0.8836*LN(C4)+0.284),0)</f>
        <v>0.23560326283967137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5.431323432446586</v>
      </c>
      <c r="H4" s="67">
        <f t="shared" ref="H4:H67" si="1">(B4+E4+F4)*44/12+(C4+D4)*0.475*44/12</f>
        <v>294.55877568277907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8.5743589743589741</v>
      </c>
      <c r="N4" s="13">
        <f>IF('Données projet'!$A$36&gt;35,N3+M4-V3,IF(A4&lt;'Données projet'!$A$36,$K$205^A4,IF(A4='Données projet'!$A$36,'Données projet'!$B$36,N3+M4-V3)))</f>
        <v>1.2805631431945952</v>
      </c>
      <c r="O4" s="13">
        <f>N4*VLOOKUP('Données projet'!$B$9,Paramètres!$A$1:$I$89,3,0)*VLOOKUP('Données projet'!$B$9,Paramètres!$A$1:$I$89,5,0)</f>
        <v>0.71583479704577868</v>
      </c>
      <c r="P4" s="13">
        <f>EXP(-1.0587+0.8836*LN(O4)+0.284)</f>
        <v>0.34297673370795467</v>
      </c>
      <c r="Q4" s="20">
        <f t="shared" ref="Q4:Q34" si="2">(O4+P4)*0.475*44/12</f>
        <v>1.8440967493960854</v>
      </c>
      <c r="R4" s="59">
        <f t="shared" si="0"/>
        <v>295.17743008272942</v>
      </c>
      <c r="S4" s="59">
        <f ca="1">AVERAGE(OFFSET($R$3,0,0,'Données projet'!$E$9+1,1))-AVERAGE(OFFSET($H$3,0,0,'Données projet'!$E$9+1,1))</f>
        <v>254.6443970237226</v>
      </c>
      <c r="T4" s="59">
        <f>$T$3</f>
        <v>231.81667808018062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6.2222222222222223</v>
      </c>
      <c r="AI4" s="13">
        <f>IF('Données projet'!$A$62&gt;35,AI3+AH4-AQ3,IF(A4&lt;'Données projet'!$A$62,$AF$205^A4,IF(A4='Données projet'!$A$62,'Données projet'!$B$62,AI3+AH4-AQ3)))</f>
        <v>1.2997069632623315</v>
      </c>
      <c r="AJ4" s="13">
        <f>AI4*VLOOKUP('Données projet'!$B$10,Paramètres!$A$1:$I$89,3,0)*VLOOKUP('Données projet'!$B$10,Paramètres!$A$1:$I$89,5,0)</f>
        <v>0.81101714507569489</v>
      </c>
      <c r="AK4" s="13">
        <f>EXP(-1.0587+0.8836*LN(AJ4)+0.284)</f>
        <v>0.38297551084354686</v>
      </c>
      <c r="AL4" s="20">
        <f t="shared" ref="AL4:AL67" si="4">(AJ4+AK4)*0.475*44/12</f>
        <v>2.0795372090593456</v>
      </c>
      <c r="AM4" s="59">
        <f t="shared" ref="AM4:AM67" si="5">AL4+(AD4+AE4)*44/12</f>
        <v>295.41287054239268</v>
      </c>
      <c r="AN4" s="59">
        <f ca="1">AVERAGE(OFFSET($AM$3,0,0,'Données projet'!$E$10+1,1))-AVERAGE(OFFSET($H$3,0,0,'Données projet'!$E$10+1,1))</f>
        <v>180.31844548479722</v>
      </c>
      <c r="AO4" s="59">
        <f>$AO$3</f>
        <v>273.83237400307223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2.9235042735042733</v>
      </c>
      <c r="BD4" s="12">
        <f>IF('Données projet'!$A$88&gt;35,BD3+BC4-BL3,IF(A4&lt;'Données projet'!$A$88,$BA$205^A4,IF(A4='Données projet'!$A$88,'Données projet'!$B$88,BD3+BC4-BL3)))</f>
        <v>1.1608269964373037</v>
      </c>
      <c r="BE4" s="13">
        <f>BD4*VLOOKUP('Données projet'!$B$11,Paramètres!$A$1:$I$89,3,0)*VLOOKUP('Données projet'!$B$11,Paramètres!$A$1:$I$89,5,0)</f>
        <v>1.1770785743874259</v>
      </c>
      <c r="BF4" s="13">
        <f>EXP(-1.0587+0.8836*LN(BE4)+0.284)</f>
        <v>0.53225011573313319</v>
      </c>
      <c r="BG4" s="20">
        <f t="shared" ref="BG4:BG67" si="7">(BE4+BF4)*0.475*44/12</f>
        <v>2.9770808019599735</v>
      </c>
      <c r="BH4" s="59">
        <f t="shared" ref="BH4:BH67" si="8">BG4+(AY4+AZ4)*44/12</f>
        <v>296.31041413529329</v>
      </c>
      <c r="BI4" s="59">
        <f ca="1">AVERAGE(OFFSET($BH$3,0,0,'Données projet'!$E$11+1,1))-AVERAGE(OFFSET($H$3,0,0,'Données projet'!$E$11+1,1))</f>
        <v>264.08050363622294</v>
      </c>
      <c r="BJ4" s="59">
        <f>$BJ$3</f>
        <v>164.48884512322883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0.93599999999999994</v>
      </c>
      <c r="D5" s="11">
        <f t="shared" ref="D5:D68" si="32">IFERROR(EXP(-1.0587+0.8836*LN(C5)+0.284),0)</f>
        <v>0.43468174797979486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10.58070121247561</v>
      </c>
      <c r="H5" s="67">
        <f t="shared" si="1"/>
        <v>295.7206040443981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8.5743589743589741</v>
      </c>
      <c r="N5" s="13">
        <f>IF('Données projet'!$A$36&gt;35,N4+M5-V4,IF(A5&lt;'Données projet'!$A$36,$K$205^A5,IF(A5='Données projet'!$A$36,'Données projet'!$B$36,N4+M5-V4)))</f>
        <v>1.6398419637084214</v>
      </c>
      <c r="O5" s="13">
        <f>N5*VLOOKUP('Données projet'!$B$9,Paramètres!$A$1:$I$89,3,0)*VLOOKUP('Données projet'!$B$9,Paramètres!$A$1:$I$89,5,0)</f>
        <v>0.91667165771300751</v>
      </c>
      <c r="P5" s="13">
        <f t="shared" ref="P5:P68" si="33">EXP(-1.0587+0.8836*LN(O5)+0.284)</f>
        <v>0.42674081455780177</v>
      </c>
      <c r="Q5" s="20">
        <f t="shared" si="2"/>
        <v>2.3397767225383261</v>
      </c>
      <c r="R5" s="59">
        <f t="shared" si="0"/>
        <v>295.67311005587163</v>
      </c>
      <c r="S5" s="59">
        <f ca="1">AVERAGE(OFFSET($R$3,0,0,'Données projet'!$E$9+1,1))-AVERAGE(OFFSET($H$3,0,0,'Données projet'!$E$9+1,1))</f>
        <v>254.6443970237226</v>
      </c>
      <c r="T5" s="59">
        <f t="shared" ref="T5:T68" si="34">$T$3</f>
        <v>231.81667808018062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6.2222222222222223</v>
      </c>
      <c r="AI5" s="13">
        <f>IF('Données projet'!$A$62&gt;35,AI4+AH5-AQ4,IF(A5&lt;'Données projet'!$A$62,$AF$205^A5,IF(A5='Données projet'!$A$62,'Données projet'!$B$62,AI4+AH5-AQ4)))</f>
        <v>1.6892381903525915</v>
      </c>
      <c r="AJ5" s="13">
        <f>AI5*VLOOKUP('Données projet'!$B$10,Paramètres!$A$1:$I$89,3,0)*VLOOKUP('Données projet'!$B$10,Paramètres!$A$1:$I$89,5,0)</f>
        <v>1.0540846307800171</v>
      </c>
      <c r="AK5" s="13">
        <f t="shared" ref="AK5:AK68" si="35">EXP(-1.0587+0.8836*LN(AJ5)+0.284)</f>
        <v>0.48279730809434274</v>
      </c>
      <c r="AL5" s="20">
        <f t="shared" si="4"/>
        <v>2.6767360435395098</v>
      </c>
      <c r="AM5" s="59">
        <f t="shared" si="5"/>
        <v>296.01006937687282</v>
      </c>
      <c r="AN5" s="59">
        <f ca="1">AVERAGE(OFFSET($AM$3,0,0,'Données projet'!$E$10+1,1))-AVERAGE(OFFSET($H$3,0,0,'Données projet'!$E$10+1,1))</f>
        <v>180.31844548479722</v>
      </c>
      <c r="AO5" s="59">
        <f t="shared" ref="AO5:AO68" si="36">$AO$3</f>
        <v>273.83237400307223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2.9235042735042733</v>
      </c>
      <c r="BD5" s="12">
        <f>IF('Données projet'!$A$88&gt;35,BD4+BC5-BL4,IF(A5&lt;'Données projet'!$A$88,$BA$205^A5,IF(A5='Données projet'!$A$88,'Données projet'!$B$88,BD4+BC5-BL4)))</f>
        <v>1.3475193156576519</v>
      </c>
      <c r="BE5" s="13">
        <f>BD5*VLOOKUP('Données projet'!$B$11,Paramètres!$A$1:$I$89,3,0)*VLOOKUP('Données projet'!$B$11,Paramètres!$A$1:$I$89,5,0)</f>
        <v>1.3663845860768591</v>
      </c>
      <c r="BF5" s="13">
        <f t="shared" ref="BF5:BF68" si="37">EXP(-1.0587+0.8836*LN(BE5)+0.284)</f>
        <v>0.60721756676800354</v>
      </c>
      <c r="BG5" s="20">
        <f t="shared" si="7"/>
        <v>3.4373570828714688</v>
      </c>
      <c r="BH5" s="59">
        <f t="shared" si="8"/>
        <v>296.77069041620479</v>
      </c>
      <c r="BI5" s="59">
        <f ca="1">AVERAGE(OFFSET($BH$3,0,0,'Données projet'!$E$11+1,1))-AVERAGE(OFFSET($H$3,0,0,'Données projet'!$E$11+1,1))</f>
        <v>264.08050363622294</v>
      </c>
      <c r="BJ5" s="59">
        <f t="shared" ref="BJ5:BJ68" si="38">$BJ$3</f>
        <v>164.48884512322883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1.4039999999999999</v>
      </c>
      <c r="D6" s="11">
        <f t="shared" si="32"/>
        <v>0.62196456335211292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15.639024699560167</v>
      </c>
      <c r="H6" s="67">
        <f t="shared" si="1"/>
        <v>296.86188828117156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8.5743589743589741</v>
      </c>
      <c r="N6" s="13">
        <f>IF('Données projet'!$A$36&gt;35,N5+M6-V5,IF(A6&lt;'Données projet'!$A$36,$K$205^A6,IF(A6='Données projet'!$A$36,'Données projet'!$B$36,N5+M6-V5)))</f>
        <v>2.0999211793888533</v>
      </c>
      <c r="O6" s="13">
        <f>N6*VLOOKUP('Données projet'!$B$9,Paramètres!$A$1:$I$89,3,0)*VLOOKUP('Données projet'!$B$9,Paramètres!$A$1:$I$89,5,0)</f>
        <v>1.173855939278369</v>
      </c>
      <c r="P6" s="13">
        <f t="shared" si="33"/>
        <v>0.53096232167316981</v>
      </c>
      <c r="Q6" s="20">
        <f t="shared" si="2"/>
        <v>2.9692251378239298</v>
      </c>
      <c r="R6" s="59">
        <f t="shared" si="0"/>
        <v>296.30255847115723</v>
      </c>
      <c r="S6" s="59">
        <f ca="1">AVERAGE(OFFSET($R$3,0,0,'Données projet'!$E$9+1,1))-AVERAGE(OFFSET($H$3,0,0,'Données projet'!$E$9+1,1))</f>
        <v>254.6443970237226</v>
      </c>
      <c r="T6" s="59">
        <f t="shared" si="34"/>
        <v>231.81667808018062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6.2222222222222223</v>
      </c>
      <c r="AI6" s="13">
        <f>IF('Données projet'!$A$62&gt;35,AI5+AH6-AQ5,IF(A6&lt;'Données projet'!$A$62,$AF$205^A6,IF(A6='Données projet'!$A$62,'Données projet'!$B$62,AI5+AH6-AQ5)))</f>
        <v>2.1955146386099229</v>
      </c>
      <c r="AJ6" s="13">
        <f>AI6*VLOOKUP('Données projet'!$B$10,Paramètres!$A$1:$I$89,3,0)*VLOOKUP('Données projet'!$B$10,Paramètres!$A$1:$I$89,5,0)</f>
        <v>1.3700011344925918</v>
      </c>
      <c r="AK6" s="13">
        <f t="shared" si="35"/>
        <v>0.60863745619068288</v>
      </c>
      <c r="AL6" s="20">
        <f t="shared" si="4"/>
        <v>3.4461288787733699</v>
      </c>
      <c r="AM6" s="59">
        <f t="shared" si="5"/>
        <v>296.77946221210669</v>
      </c>
      <c r="AN6" s="59">
        <f ca="1">AVERAGE(OFFSET($AM$3,0,0,'Données projet'!$E$10+1,1))-AVERAGE(OFFSET($H$3,0,0,'Données projet'!$E$10+1,1))</f>
        <v>180.31844548479722</v>
      </c>
      <c r="AO6" s="59">
        <f t="shared" si="36"/>
        <v>273.83237400307223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2.9235042735042733</v>
      </c>
      <c r="BD6" s="12">
        <f>IF('Données projet'!$A$88&gt;35,BD5+BC6-BL5,IF(A6&lt;'Données projet'!$A$88,$BA$205^A6,IF(A6='Données projet'!$A$88,'Données projet'!$B$88,BD5+BC6-BL5)))</f>
        <v>1.5642367998361231</v>
      </c>
      <c r="BE6" s="13">
        <f>BD6*VLOOKUP('Données projet'!$B$11,Paramètres!$A$1:$I$89,3,0)*VLOOKUP('Données projet'!$B$11,Paramètres!$A$1:$I$89,5,0)</f>
        <v>1.5861361150338289</v>
      </c>
      <c r="BF6" s="13">
        <f t="shared" si="37"/>
        <v>0.69274418641277524</v>
      </c>
      <c r="BG6" s="20">
        <f t="shared" si="7"/>
        <v>3.969049858352836</v>
      </c>
      <c r="BH6" s="59">
        <f t="shared" si="8"/>
        <v>297.30238319168615</v>
      </c>
      <c r="BI6" s="59">
        <f ca="1">AVERAGE(OFFSET($BH$3,0,0,'Données projet'!$E$11+1,1))-AVERAGE(OFFSET($H$3,0,0,'Données projet'!$E$11+1,1))</f>
        <v>264.08050363622294</v>
      </c>
      <c r="BJ6" s="59">
        <f t="shared" si="38"/>
        <v>164.48884512322883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1.8719999999999999</v>
      </c>
      <c r="D7" s="11">
        <f t="shared" si="32"/>
        <v>0.80197625342459555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20.641220201874074</v>
      </c>
      <c r="H7" s="67">
        <f t="shared" si="1"/>
        <v>297.99050864138115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8.5743589743589741</v>
      </c>
      <c r="N7" s="13">
        <f>IF('Données projet'!$A$36&gt;35,N6+M7-V6,IF(A7&lt;'Données projet'!$A$36,$K$205^A7,IF(A7='Données projet'!$A$36,'Données projet'!$B$36,N6+M7-V6)))</f>
        <v>2.6890816659390917</v>
      </c>
      <c r="O7" s="13">
        <f>N7*VLOOKUP('Données projet'!$B$9,Paramètres!$A$1:$I$89,3,0)*VLOOKUP('Données projet'!$B$9,Paramètres!$A$1:$I$89,5,0)</f>
        <v>1.5031966512599522</v>
      </c>
      <c r="P7" s="13">
        <f t="shared" si="33"/>
        <v>0.66063750505958863</v>
      </c>
      <c r="Q7" s="20">
        <f t="shared" si="2"/>
        <v>3.7686778222565338</v>
      </c>
      <c r="R7" s="59">
        <f t="shared" si="0"/>
        <v>297.10201115558982</v>
      </c>
      <c r="S7" s="59">
        <f ca="1">AVERAGE(OFFSET($R$3,0,0,'Données projet'!$E$9+1,1))-AVERAGE(OFFSET($H$3,0,0,'Données projet'!$E$9+1,1))</f>
        <v>254.6443970237226</v>
      </c>
      <c r="T7" s="59">
        <f t="shared" si="34"/>
        <v>231.81667808018062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6.2222222222222223</v>
      </c>
      <c r="AI7" s="13">
        <f>IF('Données projet'!$A$62&gt;35,AI6+AH7-AQ6,IF(A7&lt;'Données projet'!$A$62,$AF$205^A7,IF(A7='Données projet'!$A$62,'Données projet'!$B$62,AI6+AH7-AQ6)))</f>
        <v>2.8535256637456983</v>
      </c>
      <c r="AJ7" s="13">
        <f>AI7*VLOOKUP('Données projet'!$B$10,Paramètres!$A$1:$I$89,3,0)*VLOOKUP('Données projet'!$B$10,Paramètres!$A$1:$I$89,5,0)</f>
        <v>1.7806000141773157</v>
      </c>
      <c r="AK7" s="13">
        <f t="shared" si="35"/>
        <v>0.76727758599241935</v>
      </c>
      <c r="AL7" s="20">
        <f t="shared" si="4"/>
        <v>4.4375534869622877</v>
      </c>
      <c r="AM7" s="59">
        <f t="shared" si="5"/>
        <v>297.77088682029563</v>
      </c>
      <c r="AN7" s="59">
        <f ca="1">AVERAGE(OFFSET($AM$3,0,0,'Données projet'!$E$10+1,1))-AVERAGE(OFFSET($H$3,0,0,'Données projet'!$E$10+1,1))</f>
        <v>180.31844548479722</v>
      </c>
      <c r="AO7" s="59">
        <f t="shared" si="36"/>
        <v>273.83237400307223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2.9235042735042733</v>
      </c>
      <c r="BD7" s="12">
        <f>IF('Données projet'!$A$88&gt;35,BD6+BC7-BL6,IF(A7&lt;'Données projet'!$A$88,$BA$205^A7,IF(A7='Données projet'!$A$88,'Données projet'!$B$88,BD6+BC7-BL6)))</f>
        <v>1.8158083060704666</v>
      </c>
      <c r="BE7" s="13">
        <f>BD7*VLOOKUP('Données projet'!$B$11,Paramètres!$A$1:$I$89,3,0)*VLOOKUP('Données projet'!$B$11,Paramètres!$A$1:$I$89,5,0)</f>
        <v>1.8412296223554532</v>
      </c>
      <c r="BF7" s="13">
        <f t="shared" si="37"/>
        <v>0.7903172340072443</v>
      </c>
      <c r="BG7" s="20">
        <f t="shared" si="7"/>
        <v>4.5832774414983648</v>
      </c>
      <c r="BH7" s="59">
        <f t="shared" si="8"/>
        <v>297.91661077483167</v>
      </c>
      <c r="BI7" s="59">
        <f ca="1">AVERAGE(OFFSET($BH$3,0,0,'Données projet'!$E$11+1,1))-AVERAGE(OFFSET($H$3,0,0,'Données projet'!$E$11+1,1))</f>
        <v>264.08050363622294</v>
      </c>
      <c r="BJ7" s="59">
        <f t="shared" si="38"/>
        <v>164.48884512322883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2.34</v>
      </c>
      <c r="D8" s="11">
        <f t="shared" si="32"/>
        <v>0.97676749007450259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25.603117467241773</v>
      </c>
      <c r="H8" s="67">
        <f t="shared" si="1"/>
        <v>299.11003671187973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8.5743589743589741</v>
      </c>
      <c r="N8" s="13">
        <f>IF('Données projet'!$A$36&gt;35,N7+M8-V7,IF(A8&lt;'Données projet'!$A$36,$K$205^A8,IF(A8='Données projet'!$A$36,'Données projet'!$B$36,N7+M8-V7)))</f>
        <v>3.4435388704419219</v>
      </c>
      <c r="O8" s="13">
        <f>N8*VLOOKUP('Données projet'!$B$9,Paramètres!$A$1:$I$89,3,0)*VLOOKUP('Données projet'!$B$9,Paramètres!$A$1:$I$89,5,0)</f>
        <v>1.9249382285770344</v>
      </c>
      <c r="P8" s="13">
        <f t="shared" si="33"/>
        <v>0.8219828324466435</v>
      </c>
      <c r="Q8" s="20">
        <f t="shared" si="2"/>
        <v>4.7842208479495723</v>
      </c>
      <c r="R8" s="59">
        <f t="shared" si="0"/>
        <v>298.11755418128291</v>
      </c>
      <c r="S8" s="59">
        <f ca="1">AVERAGE(OFFSET($R$3,0,0,'Données projet'!$E$9+1,1))-AVERAGE(OFFSET($H$3,0,0,'Données projet'!$E$9+1,1))</f>
        <v>254.6443970237226</v>
      </c>
      <c r="T8" s="59">
        <f t="shared" si="34"/>
        <v>231.81667808018062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6.2222222222222223</v>
      </c>
      <c r="AI8" s="13">
        <f>IF('Données projet'!$A$62&gt;35,AI7+AH8-AQ7,IF(A8&lt;'Données projet'!$A$62,$AF$205^A8,IF(A8='Données projet'!$A$62,'Données projet'!$B$62,AI7+AH8-AQ7)))</f>
        <v>3.7087471750180505</v>
      </c>
      <c r="AJ8" s="13">
        <f>AI8*VLOOKUP('Données projet'!$B$10,Paramètres!$A$1:$I$89,3,0)*VLOOKUP('Données projet'!$B$10,Paramètres!$A$1:$I$89,5,0)</f>
        <v>2.3142582372112632</v>
      </c>
      <c r="AK8" s="13">
        <f t="shared" si="35"/>
        <v>0.96726694681425085</v>
      </c>
      <c r="AL8" s="20">
        <f t="shared" si="4"/>
        <v>5.7153230288444377</v>
      </c>
      <c r="AM8" s="59">
        <f t="shared" si="5"/>
        <v>299.04865636217778</v>
      </c>
      <c r="AN8" s="59">
        <f ca="1">AVERAGE(OFFSET($AM$3,0,0,'Données projet'!$E$10+1,1))-AVERAGE(OFFSET($H$3,0,0,'Données projet'!$E$10+1,1))</f>
        <v>180.31844548479722</v>
      </c>
      <c r="AO8" s="59">
        <f t="shared" si="36"/>
        <v>273.83237400307223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2.9235042735042733</v>
      </c>
      <c r="BD8" s="12">
        <f>IF('Données projet'!$A$88&gt;35,BD7+BC8-BL7,IF(A8&lt;'Données projet'!$A$88,$BA$205^A8,IF(A8='Données projet'!$A$88,'Données projet'!$B$88,BD7+BC8-BL7)))</f>
        <v>2.1078393020416879</v>
      </c>
      <c r="BE8" s="13">
        <f>BD8*VLOOKUP('Données projet'!$B$11,Paramètres!$A$1:$I$89,3,0)*VLOOKUP('Données projet'!$B$11,Paramètres!$A$1:$I$89,5,0)</f>
        <v>2.1373490522702716</v>
      </c>
      <c r="BF8" s="13">
        <f t="shared" si="37"/>
        <v>0.90163344943134527</v>
      </c>
      <c r="BG8" s="20">
        <f t="shared" si="7"/>
        <v>5.2928945237969822</v>
      </c>
      <c r="BH8" s="59">
        <f t="shared" si="8"/>
        <v>298.62622785713029</v>
      </c>
      <c r="BI8" s="59">
        <f ca="1">AVERAGE(OFFSET($BH$3,0,0,'Données projet'!$E$11+1,1))-AVERAGE(OFFSET($H$3,0,0,'Données projet'!$E$11+1,1))</f>
        <v>264.08050363622294</v>
      </c>
      <c r="BJ8" s="59">
        <f t="shared" si="38"/>
        <v>164.48884512322883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2.8079999999999998</v>
      </c>
      <c r="D9" s="11">
        <f t="shared" si="32"/>
        <v>1.1475080621585647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30.533746444732781</v>
      </c>
      <c r="H9" s="67">
        <f t="shared" si="1"/>
        <v>300.22250987492617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8.5743589743589741</v>
      </c>
      <c r="N9" s="13">
        <f>IF('Données projet'!$A$36&gt;35,N8+M9-V8,IF(A9&lt;'Données projet'!$A$36,$K$205^A9,IF(A9='Données projet'!$A$36,'Données projet'!$B$36,N8+M9-V8)))</f>
        <v>4.4096689596458729</v>
      </c>
      <c r="O9" s="13">
        <f>N9*VLOOKUP('Données projet'!$B$9,Paramètres!$A$1:$I$89,3,0)*VLOOKUP('Données projet'!$B$9,Paramètres!$A$1:$I$89,5,0)</f>
        <v>2.4650049484420431</v>
      </c>
      <c r="P9" s="13">
        <f t="shared" si="33"/>
        <v>1.0227329990537903</v>
      </c>
      <c r="Q9" s="20">
        <f t="shared" si="2"/>
        <v>6.0744769252219095</v>
      </c>
      <c r="R9" s="59">
        <f t="shared" si="0"/>
        <v>299.40781025855523</v>
      </c>
      <c r="S9" s="59">
        <f ca="1">AVERAGE(OFFSET($R$3,0,0,'Données projet'!$E$9+1,1))-AVERAGE(OFFSET($H$3,0,0,'Données projet'!$E$9+1,1))</f>
        <v>254.6443970237226</v>
      </c>
      <c r="T9" s="59">
        <f t="shared" si="34"/>
        <v>231.81667808018062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6.2222222222222223</v>
      </c>
      <c r="AI9" s="13">
        <f>IF('Données projet'!$A$62&gt;35,AI8+AH9-AQ8,IF(A9&lt;'Données projet'!$A$62,$AF$205^A9,IF(A9='Données projet'!$A$62,'Données projet'!$B$62,AI8+AH9-AQ8)))</f>
        <v>4.8202845283504612</v>
      </c>
      <c r="AJ9" s="13">
        <f>AI9*VLOOKUP('Données projet'!$B$10,Paramètres!$A$1:$I$89,3,0)*VLOOKUP('Données projet'!$B$10,Paramètres!$A$1:$I$89,5,0)</f>
        <v>3.0078575456906878</v>
      </c>
      <c r="AK9" s="13">
        <f t="shared" si="35"/>
        <v>1.2193831326236693</v>
      </c>
      <c r="AL9" s="20">
        <f t="shared" si="4"/>
        <v>7.3624441813975059</v>
      </c>
      <c r="AM9" s="59">
        <f t="shared" si="5"/>
        <v>300.69577751473082</v>
      </c>
      <c r="AN9" s="59">
        <f ca="1">AVERAGE(OFFSET($AM$3,0,0,'Données projet'!$E$10+1,1))-AVERAGE(OFFSET($H$3,0,0,'Données projet'!$E$10+1,1))</f>
        <v>180.31844548479722</v>
      </c>
      <c r="AO9" s="59">
        <f t="shared" si="36"/>
        <v>273.83237400307223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2.9235042735042733</v>
      </c>
      <c r="BD9" s="12">
        <f>IF('Données projet'!$A$88&gt;35,BD8+BC9-BL8,IF(A9&lt;'Données projet'!$A$88,$BA$205^A9,IF(A9='Données projet'!$A$88,'Données projet'!$B$88,BD8+BC9-BL8)))</f>
        <v>2.4468367659615553</v>
      </c>
      <c r="BE9" s="13">
        <f>BD9*VLOOKUP('Données projet'!$B$11,Paramètres!$A$1:$I$89,3,0)*VLOOKUP('Données projet'!$B$11,Paramètres!$A$1:$I$89,5,0)</f>
        <v>2.4810924806850174</v>
      </c>
      <c r="BF9" s="13">
        <f t="shared" si="37"/>
        <v>1.0286285584479797</v>
      </c>
      <c r="BG9" s="20">
        <f t="shared" si="7"/>
        <v>6.1127641431566362</v>
      </c>
      <c r="BH9" s="59">
        <f t="shared" si="8"/>
        <v>299.44609747648997</v>
      </c>
      <c r="BI9" s="59">
        <f ca="1">AVERAGE(OFFSET($BH$3,0,0,'Données projet'!$E$11+1,1))-AVERAGE(OFFSET($H$3,0,0,'Données projet'!$E$11+1,1))</f>
        <v>264.08050363622294</v>
      </c>
      <c r="BJ9" s="59">
        <f t="shared" si="38"/>
        <v>164.48884512322883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3.2759999999999998</v>
      </c>
      <c r="D10" s="11">
        <f t="shared" si="32"/>
        <v>1.3149520873221709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35.438928393364129</v>
      </c>
      <c r="H10" s="67">
        <f t="shared" si="1"/>
        <v>301.3292415520861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8.5743589743589741</v>
      </c>
      <c r="N10" s="13">
        <f>IF('Données projet'!$A$36&gt;35,N9+M10-V9,IF(A10&lt;'Données projet'!$A$36,$K$205^A10,IF(A10='Données projet'!$A$36,'Données projet'!$B$36,N9+M10-V9)))</f>
        <v>5.6468595434117601</v>
      </c>
      <c r="O10" s="13">
        <f>N10*VLOOKUP('Données projet'!$B$9,Paramètres!$A$1:$I$89,3,0)*VLOOKUP('Données projet'!$B$9,Paramètres!$A$1:$I$89,5,0)</f>
        <v>3.1565944847671736</v>
      </c>
      <c r="P10" s="13">
        <f t="shared" si="33"/>
        <v>1.2725117193021875</v>
      </c>
      <c r="Q10" s="20">
        <f t="shared" si="2"/>
        <v>7.7140266387541381</v>
      </c>
      <c r="R10" s="59">
        <f t="shared" si="0"/>
        <v>301.04735997208746</v>
      </c>
      <c r="S10" s="59">
        <f ca="1">AVERAGE(OFFSET($R$3,0,0,'Données projet'!$E$9+1,1))-AVERAGE(OFFSET($H$3,0,0,'Données projet'!$E$9+1,1))</f>
        <v>254.6443970237226</v>
      </c>
      <c r="T10" s="59">
        <f t="shared" si="34"/>
        <v>231.81667808018062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6.2222222222222223</v>
      </c>
      <c r="AI10" s="13">
        <f>IF('Données projet'!$A$62&gt;35,AI9+AH10-AQ9,IF(A10&lt;'Données projet'!$A$62,$AF$205^A10,IF(A10='Données projet'!$A$62,'Données projet'!$B$62,AI9+AH10-AQ9)))</f>
        <v>6.2649573664027773</v>
      </c>
      <c r="AJ10" s="13">
        <f>AI10*VLOOKUP('Données projet'!$B$10,Paramètres!$A$1:$I$89,3,0)*VLOOKUP('Données projet'!$B$10,Paramètres!$A$1:$I$89,5,0)</f>
        <v>3.9093333966353332</v>
      </c>
      <c r="AK10" s="13">
        <f t="shared" si="35"/>
        <v>1.5372128955964925</v>
      </c>
      <c r="AL10" s="20">
        <f t="shared" si="4"/>
        <v>9.4860681256370967</v>
      </c>
      <c r="AM10" s="59">
        <f t="shared" si="5"/>
        <v>302.81940145897039</v>
      </c>
      <c r="AN10" s="59">
        <f ca="1">AVERAGE(OFFSET($AM$3,0,0,'Données projet'!$E$10+1,1))-AVERAGE(OFFSET($H$3,0,0,'Données projet'!$E$10+1,1))</f>
        <v>180.31844548479722</v>
      </c>
      <c r="AO10" s="59">
        <f t="shared" si="36"/>
        <v>273.83237400307223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2.9235042735042733</v>
      </c>
      <c r="BD10" s="12">
        <f>IF('Données projet'!$A$88&gt;35,BD9+BC10-BL9,IF(A10&lt;'Données projet'!$A$88,$BA$205^A10,IF(A10='Données projet'!$A$88,'Données projet'!$B$88,BD9+BC10-BL9)))</f>
        <v>2.8403541738035183</v>
      </c>
      <c r="BE10" s="13">
        <f>BD10*VLOOKUP('Données projet'!$B$11,Paramètres!$A$1:$I$89,3,0)*VLOOKUP('Données projet'!$B$11,Paramètres!$A$1:$I$89,5,0)</f>
        <v>2.8801191322367679</v>
      </c>
      <c r="BF10" s="13">
        <f t="shared" si="37"/>
        <v>1.1735109338746152</v>
      </c>
      <c r="BG10" s="20">
        <f t="shared" si="7"/>
        <v>7.0600723651439914</v>
      </c>
      <c r="BH10" s="59">
        <f t="shared" si="8"/>
        <v>300.3934056984773</v>
      </c>
      <c r="BI10" s="59">
        <f ca="1">AVERAGE(OFFSET($BH$3,0,0,'Données projet'!$E$11+1,1))-AVERAGE(OFFSET($H$3,0,0,'Données projet'!$E$11+1,1))</f>
        <v>264.08050363622294</v>
      </c>
      <c r="BJ10" s="59">
        <f t="shared" si="38"/>
        <v>164.48884512322883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3.7439999999999998</v>
      </c>
      <c r="D11" s="11">
        <f t="shared" si="32"/>
        <v>1.4796248382778823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40.322718049864356</v>
      </c>
      <c r="H11" s="67">
        <f t="shared" si="1"/>
        <v>302.43114659333395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8.5743589743589741</v>
      </c>
      <c r="N11" s="13">
        <f>IF('Données projet'!$A$36&gt;35,N10+M11-V10,IF(A11&lt;'Données projet'!$A$36,$K$205^A11,IF(A11='Données projet'!$A$36,'Données projet'!$B$36,N10+M11-V10)))</f>
        <v>7.2311602060897604</v>
      </c>
      <c r="O11" s="13">
        <f>N11*VLOOKUP('Données projet'!$B$9,Paramètres!$A$1:$I$89,3,0)*VLOOKUP('Données projet'!$B$9,Paramètres!$A$1:$I$89,5,0)</f>
        <v>4.0422185552041761</v>
      </c>
      <c r="P11" s="13">
        <f t="shared" si="33"/>
        <v>1.5832930757681005</v>
      </c>
      <c r="Q11" s="20">
        <f t="shared" si="2"/>
        <v>9.7977660906100486</v>
      </c>
      <c r="R11" s="59">
        <f t="shared" si="0"/>
        <v>303.13109942394334</v>
      </c>
      <c r="S11" s="59">
        <f ca="1">AVERAGE(OFFSET($R$3,0,0,'Données projet'!$E$9+1,1))-AVERAGE(OFFSET($H$3,0,0,'Données projet'!$E$9+1,1))</f>
        <v>254.6443970237226</v>
      </c>
      <c r="T11" s="59">
        <f t="shared" si="34"/>
        <v>231.81667808018062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6.2222222222222223</v>
      </c>
      <c r="AI11" s="13">
        <f>IF('Données projet'!$A$62&gt;35,AI10+AH11-AQ10,IF(A11&lt;'Données projet'!$A$62,$AF$205^A11,IF(A11='Données projet'!$A$62,'Données projet'!$B$62,AI10+AH11-AQ10)))</f>
        <v>8.1426087136553278</v>
      </c>
      <c r="AJ11" s="13">
        <f>AI11*VLOOKUP('Données projet'!$B$10,Paramètres!$A$1:$I$89,3,0)*VLOOKUP('Données projet'!$B$10,Paramètres!$A$1:$I$89,5,0)</f>
        <v>5.080987837320925</v>
      </c>
      <c r="AK11" s="13">
        <f t="shared" si="35"/>
        <v>1.9378843475584122</v>
      </c>
      <c r="AL11" s="20">
        <f t="shared" si="4"/>
        <v>12.224535721998178</v>
      </c>
      <c r="AM11" s="59">
        <f t="shared" si="5"/>
        <v>305.55786905533148</v>
      </c>
      <c r="AN11" s="59">
        <f ca="1">AVERAGE(OFFSET($AM$3,0,0,'Données projet'!$E$10+1,1))-AVERAGE(OFFSET($H$3,0,0,'Données projet'!$E$10+1,1))</f>
        <v>180.31844548479722</v>
      </c>
      <c r="AO11" s="59">
        <f t="shared" si="36"/>
        <v>273.83237400307223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2.9235042735042733</v>
      </c>
      <c r="BD11" s="12">
        <f>IF('Données projet'!$A$88&gt;35,BD10+BC11-BL10,IF(A11&lt;'Données projet'!$A$88,$BA$205^A11,IF(A11='Données projet'!$A$88,'Données projet'!$B$88,BD10+BC11-BL10)))</f>
        <v>3.2971598043944974</v>
      </c>
      <c r="BE11" s="13">
        <f>BD11*VLOOKUP('Données projet'!$B$11,Paramètres!$A$1:$I$89,3,0)*VLOOKUP('Données projet'!$B$11,Paramètres!$A$1:$I$89,5,0)</f>
        <v>3.3433200416560207</v>
      </c>
      <c r="BF11" s="13">
        <f t="shared" si="37"/>
        <v>1.3387999979323115</v>
      </c>
      <c r="BG11" s="20">
        <f t="shared" si="7"/>
        <v>8.1546924022830094</v>
      </c>
      <c r="BH11" s="59">
        <f t="shared" si="8"/>
        <v>301.4880257356163</v>
      </c>
      <c r="BI11" s="59">
        <f ca="1">AVERAGE(OFFSET($BH$3,0,0,'Données projet'!$E$11+1,1))-AVERAGE(OFFSET($H$3,0,0,'Données projet'!$E$11+1,1))</f>
        <v>264.08050363622294</v>
      </c>
      <c r="BJ11" s="59">
        <f t="shared" si="38"/>
        <v>164.48884512322883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4.2119999999999997</v>
      </c>
      <c r="D12" s="11">
        <f t="shared" si="32"/>
        <v>1.6419123971514347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45.188095697309329</v>
      </c>
      <c r="H12" s="67">
        <f t="shared" si="1"/>
        <v>303.52889742503874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8.5743589743589741</v>
      </c>
      <c r="N12" s="13">
        <f>IF('Données projet'!$A$36&gt;35,N11+M12-V11,IF(A12&lt;'Données projet'!$A$36,$K$205^A12,IF(A12='Données projet'!$A$36,'Données projet'!$B$36,N11+M12-V11)))</f>
        <v>9.2599572424539804</v>
      </c>
      <c r="O12" s="13">
        <f>N12*VLOOKUP('Données projet'!$B$9,Paramètres!$A$1:$I$89,3,0)*VLOOKUP('Données projet'!$B$9,Paramètres!$A$1:$I$89,5,0)</f>
        <v>5.1763160985317747</v>
      </c>
      <c r="P12" s="13">
        <f t="shared" si="33"/>
        <v>1.969975541875469</v>
      </c>
      <c r="Q12" s="20">
        <f t="shared" si="2"/>
        <v>12.446457940375948</v>
      </c>
      <c r="R12" s="59">
        <f t="shared" si="0"/>
        <v>305.77979127370924</v>
      </c>
      <c r="S12" s="59">
        <f ca="1">AVERAGE(OFFSET($R$3,0,0,'Données projet'!$E$9+1,1))-AVERAGE(OFFSET($H$3,0,0,'Données projet'!$E$9+1,1))</f>
        <v>254.6443970237226</v>
      </c>
      <c r="T12" s="59">
        <f t="shared" si="34"/>
        <v>231.81667808018062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6.2222222222222223</v>
      </c>
      <c r="AI12" s="13">
        <f>IF('Données projet'!$A$62&gt;35,AI11+AH12-AQ11,IF(A12&lt;'Données projet'!$A$62,$AF$205^A12,IF(A12='Données projet'!$A$62,'Données projet'!$B$62,AI11+AH12-AQ11)))</f>
        <v>10.583005244258365</v>
      </c>
      <c r="AJ12" s="13">
        <f>AI12*VLOOKUP('Données projet'!$B$10,Paramètres!$A$1:$I$89,3,0)*VLOOKUP('Données projet'!$B$10,Paramètres!$A$1:$I$89,5,0)</f>
        <v>6.6037952724172193</v>
      </c>
      <c r="AK12" s="13">
        <f t="shared" si="35"/>
        <v>2.4429900082608067</v>
      </c>
      <c r="AL12" s="20">
        <f t="shared" si="4"/>
        <v>15.75648436384756</v>
      </c>
      <c r="AM12" s="59">
        <f t="shared" si="5"/>
        <v>309.08981769718088</v>
      </c>
      <c r="AN12" s="59">
        <f ca="1">AVERAGE(OFFSET($AM$3,0,0,'Données projet'!$E$10+1,1))-AVERAGE(OFFSET($H$3,0,0,'Données projet'!$E$10+1,1))</f>
        <v>180.31844548479722</v>
      </c>
      <c r="AO12" s="59">
        <f t="shared" si="36"/>
        <v>273.83237400307223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2.9235042735042733</v>
      </c>
      <c r="BD12" s="12">
        <f>IF('Données projet'!$A$88&gt;35,BD11+BC12-BL11,IF(A12&lt;'Données projet'!$A$88,$BA$205^A12,IF(A12='Données projet'!$A$88,'Données projet'!$B$88,BD11+BC12-BL11)))</f>
        <v>3.8274321125090722</v>
      </c>
      <c r="BE12" s="13">
        <f>BD12*VLOOKUP('Données projet'!$B$11,Paramètres!$A$1:$I$89,3,0)*VLOOKUP('Données projet'!$B$11,Paramètres!$A$1:$I$89,5,0)</f>
        <v>3.8810161620841996</v>
      </c>
      <c r="BF12" s="13">
        <f t="shared" si="37"/>
        <v>1.5273700335672085</v>
      </c>
      <c r="BG12" s="20">
        <f t="shared" si="7"/>
        <v>9.4196059574262012</v>
      </c>
      <c r="BH12" s="59">
        <f t="shared" si="8"/>
        <v>302.75293929075951</v>
      </c>
      <c r="BI12" s="59">
        <f ca="1">AVERAGE(OFFSET($BH$3,0,0,'Données projet'!$E$11+1,1))-AVERAGE(OFFSET($H$3,0,0,'Données projet'!$E$11+1,1))</f>
        <v>264.08050363622294</v>
      </c>
      <c r="BJ12" s="59">
        <f t="shared" si="38"/>
        <v>164.48884512322883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4.68</v>
      </c>
      <c r="D13" s="11">
        <f t="shared" si="32"/>
        <v>1.8021100168054613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50.037340480603554</v>
      </c>
      <c r="H13" s="67">
        <f t="shared" si="1"/>
        <v>304.62300827926947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8.5743589743589741</v>
      </c>
      <c r="N13" s="13">
        <f>IF('Données projet'!$A$36&gt;35,N12+M13-V12,IF(A13&lt;'Données projet'!$A$36,$K$205^A13,IF(A13='Données projet'!$A$36,'Données projet'!$B$36,N12+M13-V12)))</f>
        <v>11.857959952244427</v>
      </c>
      <c r="O13" s="13">
        <f>N13*VLOOKUP('Données projet'!$B$9,Paramètres!$A$1:$I$89,3,0)*VLOOKUP('Données projet'!$B$9,Paramètres!$A$1:$I$89,5,0)</f>
        <v>6.6285996133046341</v>
      </c>
      <c r="P13" s="13">
        <f t="shared" si="33"/>
        <v>2.4510961962647757</v>
      </c>
      <c r="Q13" s="20">
        <f t="shared" si="2"/>
        <v>15.813803535000055</v>
      </c>
      <c r="R13" s="59">
        <f t="shared" si="0"/>
        <v>309.14713686833335</v>
      </c>
      <c r="S13" s="59">
        <f ca="1">AVERAGE(OFFSET($R$3,0,0,'Données projet'!$E$9+1,1))-AVERAGE(OFFSET($H$3,0,0,'Données projet'!$E$9+1,1))</f>
        <v>254.6443970237226</v>
      </c>
      <c r="T13" s="59">
        <f t="shared" si="34"/>
        <v>231.81667808018062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6.2222222222222223</v>
      </c>
      <c r="AI13" s="13">
        <f>IF('Données projet'!$A$62&gt;35,AI12+AH13-AQ12,IF(A13&lt;'Données projet'!$A$62,$AF$205^A13,IF(A13='Données projet'!$A$62,'Données projet'!$B$62,AI12+AH13-AQ12)))</f>
        <v>13.754805608204368</v>
      </c>
      <c r="AJ13" s="13">
        <f>AI13*VLOOKUP('Données projet'!$B$10,Paramètres!$A$1:$I$89,3,0)*VLOOKUP('Données projet'!$B$10,Paramètres!$A$1:$I$89,5,0)</f>
        <v>8.5829986995195267</v>
      </c>
      <c r="AK13" s="13">
        <f t="shared" si="35"/>
        <v>3.0797504443346257</v>
      </c>
      <c r="AL13" s="20">
        <f t="shared" si="4"/>
        <v>20.312621425545984</v>
      </c>
      <c r="AM13" s="59">
        <f t="shared" si="5"/>
        <v>313.64595475887927</v>
      </c>
      <c r="AN13" s="59">
        <f ca="1">AVERAGE(OFFSET($AM$3,0,0,'Données projet'!$E$10+1,1))-AVERAGE(OFFSET($H$3,0,0,'Données projet'!$E$10+1,1))</f>
        <v>180.31844548479722</v>
      </c>
      <c r="AO13" s="59">
        <f t="shared" si="36"/>
        <v>273.83237400307223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2.9235042735042733</v>
      </c>
      <c r="BD13" s="12">
        <f>IF('Données projet'!$A$88&gt;35,BD12+BC13-BL12,IF(A13&lt;'Données projet'!$A$88,$BA$205^A13,IF(A13='Données projet'!$A$88,'Données projet'!$B$88,BD12+BC13-BL12)))</f>
        <v>4.4429865232315908</v>
      </c>
      <c r="BE13" s="13">
        <f>BD13*VLOOKUP('Données projet'!$B$11,Paramètres!$A$1:$I$89,3,0)*VLOOKUP('Données projet'!$B$11,Paramètres!$A$1:$I$89,5,0)</f>
        <v>4.5051883345568333</v>
      </c>
      <c r="BF13" s="13">
        <f t="shared" si="37"/>
        <v>1.7425001665984783</v>
      </c>
      <c r="BG13" s="20">
        <f t="shared" si="7"/>
        <v>10.881390806178834</v>
      </c>
      <c r="BH13" s="59">
        <f t="shared" si="8"/>
        <v>304.21472413951216</v>
      </c>
      <c r="BI13" s="59">
        <f ca="1">AVERAGE(OFFSET($BH$3,0,0,'Données projet'!$E$11+1,1))-AVERAGE(OFFSET($H$3,0,0,'Données projet'!$E$11+1,1))</f>
        <v>264.08050363622294</v>
      </c>
      <c r="BJ13" s="59">
        <f t="shared" si="38"/>
        <v>164.48884512322883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5.1479999999999997</v>
      </c>
      <c r="D14" s="11">
        <f t="shared" si="32"/>
        <v>1.9604504824312583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54.872249338065849</v>
      </c>
      <c r="H14" s="67">
        <f t="shared" si="1"/>
        <v>305.71388459023444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8.5743589743589741</v>
      </c>
      <c r="N14" s="13">
        <f>IF('Données projet'!$A$36&gt;35,N13+M14-V13,IF(A14&lt;'Données projet'!$A$36,$K$205^A14,IF(A14='Données projet'!$A$36,'Données projet'!$B$36,N13+M14-V13)))</f>
        <v>15.184866468321752</v>
      </c>
      <c r="O14" s="13">
        <f>N14*VLOOKUP('Données projet'!$B$9,Paramètres!$A$1:$I$89,3,0)*VLOOKUP('Données projet'!$B$9,Paramètres!$A$1:$I$89,5,0)</f>
        <v>8.4883403557918609</v>
      </c>
      <c r="P14" s="13">
        <f t="shared" si="33"/>
        <v>3.0497193673907232</v>
      </c>
      <c r="Q14" s="20">
        <f t="shared" si="2"/>
        <v>20.095454017876332</v>
      </c>
      <c r="R14" s="59">
        <f t="shared" si="0"/>
        <v>313.42878735120962</v>
      </c>
      <c r="S14" s="59">
        <f ca="1">AVERAGE(OFFSET($R$3,0,0,'Données projet'!$E$9+1,1))-AVERAGE(OFFSET($H$3,0,0,'Données projet'!$E$9+1,1))</f>
        <v>254.6443970237226</v>
      </c>
      <c r="T14" s="59">
        <f t="shared" si="34"/>
        <v>231.81667808018062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6.2222222222222223</v>
      </c>
      <c r="AI14" s="13">
        <f>IF('Données projet'!$A$62&gt;35,AI13+AH14-AQ13,IF(A14&lt;'Données projet'!$A$62,$AF$205^A14,IF(A14='Données projet'!$A$62,'Données projet'!$B$62,AI13+AH14-AQ13)))</f>
        <v>17.877216627302985</v>
      </c>
      <c r="AJ14" s="13">
        <f>AI14*VLOOKUP('Données projet'!$B$10,Paramètres!$A$1:$I$89,3,0)*VLOOKUP('Données projet'!$B$10,Paramètres!$A$1:$I$89,5,0)</f>
        <v>11.155383175437063</v>
      </c>
      <c r="AK14" s="13">
        <f t="shared" si="35"/>
        <v>3.8824812083990929</v>
      </c>
      <c r="AL14" s="20">
        <f t="shared" si="4"/>
        <v>26.1909471351813</v>
      </c>
      <c r="AM14" s="59">
        <f t="shared" si="5"/>
        <v>319.52428046851463</v>
      </c>
      <c r="AN14" s="59">
        <f ca="1">AVERAGE(OFFSET($AM$3,0,0,'Données projet'!$E$10+1,1))-AVERAGE(OFFSET($H$3,0,0,'Données projet'!$E$10+1,1))</f>
        <v>180.31844548479722</v>
      </c>
      <c r="AO14" s="59">
        <f t="shared" si="36"/>
        <v>273.83237400307223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2.9235042735042733</v>
      </c>
      <c r="BD14" s="12">
        <f>IF('Données projet'!$A$88&gt;35,BD13+BC14-BL13,IF(A14&lt;'Données projet'!$A$88,$BA$205^A14,IF(A14='Données projet'!$A$88,'Données projet'!$B$88,BD13+BC14-BL13)))</f>
        <v>5.1575387009743459</v>
      </c>
      <c r="BE14" s="13">
        <f>BD14*VLOOKUP('Données projet'!$B$11,Paramètres!$A$1:$I$89,3,0)*VLOOKUP('Données projet'!$B$11,Paramètres!$A$1:$I$89,5,0)</f>
        <v>5.2297442427879863</v>
      </c>
      <c r="BF14" s="13">
        <f t="shared" si="37"/>
        <v>1.9879313878539038</v>
      </c>
      <c r="BG14" s="20">
        <f t="shared" si="7"/>
        <v>12.570785056701292</v>
      </c>
      <c r="BH14" s="59">
        <f t="shared" si="8"/>
        <v>305.90411839003463</v>
      </c>
      <c r="BI14" s="59">
        <f ca="1">AVERAGE(OFFSET($BH$3,0,0,'Données projet'!$E$11+1,1))-AVERAGE(OFFSET($H$3,0,0,'Données projet'!$E$11+1,1))</f>
        <v>264.08050363622294</v>
      </c>
      <c r="BJ14" s="59">
        <f t="shared" si="38"/>
        <v>164.48884512322883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5.6159999999999997</v>
      </c>
      <c r="D15" s="11">
        <f t="shared" si="32"/>
        <v>2.1171218270411956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59.694273752598697</v>
      </c>
      <c r="H15" s="67">
        <f t="shared" si="1"/>
        <v>306.80185384876341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8.5743589743589741</v>
      </c>
      <c r="N15" s="13">
        <f>IF('Données projet'!$A$36&gt;35,N14+M15-V14,IF(A15&lt;'Données projet'!$A$36,$K$205^A15,IF(A15='Données projet'!$A$36,'Données projet'!$B$36,N14+M15-V14)))</f>
        <v>19.445180333664318</v>
      </c>
      <c r="O15" s="13">
        <f>N15*VLOOKUP('Données projet'!$B$9,Paramètres!$A$1:$I$89,3,0)*VLOOKUP('Données projet'!$B$9,Paramètres!$A$1:$I$89,5,0)</f>
        <v>10.869855806518354</v>
      </c>
      <c r="P15" s="13">
        <f t="shared" si="33"/>
        <v>3.7945423088704313</v>
      </c>
      <c r="Q15" s="20">
        <f t="shared" si="2"/>
        <v>25.540493384302135</v>
      </c>
      <c r="R15" s="59">
        <f t="shared" si="0"/>
        <v>318.87382671763544</v>
      </c>
      <c r="S15" s="59">
        <f ca="1">AVERAGE(OFFSET($R$3,0,0,'Données projet'!$E$9+1,1))-AVERAGE(OFFSET($H$3,0,0,'Données projet'!$E$9+1,1))</f>
        <v>254.6443970237226</v>
      </c>
      <c r="T15" s="59">
        <f t="shared" si="34"/>
        <v>231.81667808018062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6.2222222222222223</v>
      </c>
      <c r="AI15" s="13">
        <f>IF('Données projet'!$A$62&gt;35,AI14+AH15-AQ14,IF(A15&lt;'Données projet'!$A$62,$AF$205^A15,IF(A15='Données projet'!$A$62,'Données projet'!$B$62,AI14+AH15-AQ14)))</f>
        <v>23.235142934254824</v>
      </c>
      <c r="AJ15" s="13">
        <f>AI15*VLOOKUP('Données projet'!$B$10,Paramètres!$A$1:$I$89,3,0)*VLOOKUP('Données projet'!$B$10,Paramètres!$A$1:$I$89,5,0)</f>
        <v>14.498729190975009</v>
      </c>
      <c r="AK15" s="13">
        <f t="shared" si="35"/>
        <v>4.8944421329010357</v>
      </c>
      <c r="AL15" s="20">
        <f t="shared" si="4"/>
        <v>33.776440055750776</v>
      </c>
      <c r="AM15" s="59">
        <f t="shared" si="5"/>
        <v>327.10977338908407</v>
      </c>
      <c r="AN15" s="59">
        <f ca="1">AVERAGE(OFFSET($AM$3,0,0,'Données projet'!$E$10+1,1))-AVERAGE(OFFSET($H$3,0,0,'Données projet'!$E$10+1,1))</f>
        <v>180.31844548479722</v>
      </c>
      <c r="AO15" s="59">
        <f t="shared" si="36"/>
        <v>273.83237400307223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2.9235042735042733</v>
      </c>
      <c r="BD15" s="12">
        <f>IF('Données projet'!$A$88&gt;35,BD14+BC15-BL14,IF(A15&lt;'Données projet'!$A$88,$BA$205^A15,IF(A15='Données projet'!$A$88,'Données projet'!$B$88,BD14+BC15-BL14)))</f>
        <v>5.9870101592612031</v>
      </c>
      <c r="BE15" s="13">
        <f>BD15*VLOOKUP('Données projet'!$B$11,Paramètres!$A$1:$I$89,3,0)*VLOOKUP('Données projet'!$B$11,Paramètres!$A$1:$I$89,5,0)</f>
        <v>6.0708283014908604</v>
      </c>
      <c r="BF15" s="13">
        <f t="shared" si="37"/>
        <v>2.2679316068756354</v>
      </c>
      <c r="BG15" s="20">
        <f t="shared" si="7"/>
        <v>14.523340173738314</v>
      </c>
      <c r="BH15" s="59">
        <f t="shared" si="8"/>
        <v>307.8566735070716</v>
      </c>
      <c r="BI15" s="59">
        <f ca="1">AVERAGE(OFFSET($BH$3,0,0,'Données projet'!$E$11+1,1))-AVERAGE(OFFSET($H$3,0,0,'Données projet'!$E$11+1,1))</f>
        <v>264.08050363622294</v>
      </c>
      <c r="BJ15" s="59">
        <f t="shared" si="38"/>
        <v>164.48884512322883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6.0839999999999996</v>
      </c>
      <c r="D16" s="11">
        <f t="shared" si="32"/>
        <v>2.2722789577396263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64.504609498340969</v>
      </c>
      <c r="H16" s="67">
        <f t="shared" si="1"/>
        <v>307.88718585139651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8.5743589743589741</v>
      </c>
      <c r="N16" s="13">
        <f>IF('Données projet'!$A$36&gt;35,N15+M16-V15,IF(A16&lt;'Données projet'!$A$36,$K$205^A16,IF(A16='Données projet'!$A$36,'Données projet'!$B$36,N15+M16-V15)))</f>
        <v>24.900781248062909</v>
      </c>
      <c r="O16" s="13">
        <f>N16*VLOOKUP('Données projet'!$B$9,Paramètres!$A$1:$I$89,3,0)*VLOOKUP('Données projet'!$B$9,Paramètres!$A$1:$I$89,5,0)</f>
        <v>13.919536717667166</v>
      </c>
      <c r="P16" s="13">
        <f t="shared" si="33"/>
        <v>4.7212709102893111</v>
      </c>
      <c r="Q16" s="20">
        <f t="shared" si="2"/>
        <v>32.466073285357531</v>
      </c>
      <c r="R16" s="59">
        <f t="shared" si="0"/>
        <v>325.79940661869085</v>
      </c>
      <c r="S16" s="59">
        <f ca="1">AVERAGE(OFFSET($R$3,0,0,'Données projet'!$E$9+1,1))-AVERAGE(OFFSET($H$3,0,0,'Données projet'!$E$9+1,1))</f>
        <v>254.6443970237226</v>
      </c>
      <c r="T16" s="59">
        <f t="shared" si="34"/>
        <v>231.81667808018062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6.2222222222222223</v>
      </c>
      <c r="AI16" s="13">
        <f>IF('Données projet'!$A$62&gt;35,AI15+AH16-AQ15,IF(A16&lt;'Données projet'!$A$62,$AF$205^A16,IF(A16='Données projet'!$A$62,'Données projet'!$B$62,AI15+AH16-AQ15)))</f>
        <v>30.19887706404656</v>
      </c>
      <c r="AJ16" s="13">
        <f>AI16*VLOOKUP('Données projet'!$B$10,Paramètres!$A$1:$I$89,3,0)*VLOOKUP('Données projet'!$B$10,Paramètres!$A$1:$I$89,5,0)</f>
        <v>18.844099287965054</v>
      </c>
      <c r="AK16" s="13">
        <f t="shared" si="35"/>
        <v>6.1701686386769925</v>
      </c>
      <c r="AL16" s="20">
        <f t="shared" si="4"/>
        <v>43.566516638901568</v>
      </c>
      <c r="AM16" s="59">
        <f t="shared" si="5"/>
        <v>336.8998499722349</v>
      </c>
      <c r="AN16" s="59">
        <f ca="1">AVERAGE(OFFSET($AM$3,0,0,'Données projet'!$E$10+1,1))-AVERAGE(OFFSET($H$3,0,0,'Données projet'!$E$10+1,1))</f>
        <v>180.31844548479722</v>
      </c>
      <c r="AO16" s="59">
        <f t="shared" si="36"/>
        <v>273.83237400307223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2.9235042735042733</v>
      </c>
      <c r="BD16" s="12">
        <f>IF('Données projet'!$A$88&gt;35,BD15+BC16-BL15,IF(A16&lt;'Données projet'!$A$88,$BA$205^A16,IF(A16='Données projet'!$A$88,'Données projet'!$B$88,BD15+BC16-BL15)))</f>
        <v>6.9498830208148057</v>
      </c>
      <c r="BE16" s="13">
        <f>BD16*VLOOKUP('Données projet'!$B$11,Paramètres!$A$1:$I$89,3,0)*VLOOKUP('Données projet'!$B$11,Paramètres!$A$1:$I$89,5,0)</f>
        <v>7.0471813831062136</v>
      </c>
      <c r="BF16" s="13">
        <f t="shared" si="37"/>
        <v>2.5873698684431186</v>
      </c>
      <c r="BG16" s="20">
        <f t="shared" si="7"/>
        <v>16.780176763115087</v>
      </c>
      <c r="BH16" s="59">
        <f t="shared" si="8"/>
        <v>310.11351009644841</v>
      </c>
      <c r="BI16" s="59">
        <f ca="1">AVERAGE(OFFSET($BH$3,0,0,'Données projet'!$E$11+1,1))-AVERAGE(OFFSET($H$3,0,0,'Données projet'!$E$11+1,1))</f>
        <v>264.08050363622294</v>
      </c>
      <c r="BJ16" s="59">
        <f t="shared" si="38"/>
        <v>164.48884512322883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6.5519999999999996</v>
      </c>
      <c r="D17" s="11">
        <f t="shared" si="32"/>
        <v>2.4260515959655735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69.304257933769335</v>
      </c>
      <c r="H17" s="67">
        <f t="shared" si="1"/>
        <v>308.97010652964002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8.5743589743589741</v>
      </c>
      <c r="N17" s="13">
        <f>IF('Données projet'!$A$36&gt;35,N16+M17-V16,IF(A17&lt;'Données projet'!$A$36,$K$205^A17,IF(A17='Données projet'!$A$36,'Données projet'!$B$36,N16+M17-V16)))</f>
        <v>31.88702270302047</v>
      </c>
      <c r="O17" s="13">
        <f>N17*VLOOKUP('Données projet'!$B$9,Paramètres!$A$1:$I$89,3,0)*VLOOKUP('Données projet'!$B$9,Paramètres!$A$1:$I$89,5,0)</f>
        <v>17.824845690988443</v>
      </c>
      <c r="P17" s="13">
        <f t="shared" si="33"/>
        <v>5.8743313933372665</v>
      </c>
      <c r="Q17" s="20">
        <f t="shared" si="2"/>
        <v>41.27606675520061</v>
      </c>
      <c r="R17" s="59">
        <f t="shared" si="0"/>
        <v>334.6094000885339</v>
      </c>
      <c r="S17" s="59">
        <f ca="1">AVERAGE(OFFSET($R$3,0,0,'Données projet'!$E$9+1,1))-AVERAGE(OFFSET($H$3,0,0,'Données projet'!$E$9+1,1))</f>
        <v>254.6443970237226</v>
      </c>
      <c r="T17" s="59">
        <f t="shared" si="34"/>
        <v>231.81667808018062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6.2222222222222223</v>
      </c>
      <c r="AI17" s="13">
        <f>IF('Données projet'!$A$62&gt;35,AI16+AH17-AQ16,IF(A17&lt;'Données projet'!$A$62,$AF$205^A17,IF(A17='Données projet'!$A$62,'Données projet'!$B$62,AI16+AH17-AQ16)))</f>
        <v>39.249690802844427</v>
      </c>
      <c r="AJ17" s="13">
        <f>AI17*VLOOKUP('Données projet'!$B$10,Paramètres!$A$1:$I$89,3,0)*VLOOKUP('Données projet'!$B$10,Paramètres!$A$1:$I$89,5,0)</f>
        <v>24.491807060974921</v>
      </c>
      <c r="AK17" s="13">
        <f t="shared" si="35"/>
        <v>7.7784106944068903</v>
      </c>
      <c r="AL17" s="20">
        <f t="shared" si="4"/>
        <v>56.203962590623313</v>
      </c>
      <c r="AM17" s="59">
        <f t="shared" si="5"/>
        <v>349.53729592395661</v>
      </c>
      <c r="AN17" s="59">
        <f ca="1">AVERAGE(OFFSET($AM$3,0,0,'Données projet'!$E$10+1,1))-AVERAGE(OFFSET($H$3,0,0,'Données projet'!$E$10+1,1))</f>
        <v>180.31844548479722</v>
      </c>
      <c r="AO17" s="59">
        <f t="shared" si="36"/>
        <v>273.83237400307223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2.9235042735042733</v>
      </c>
      <c r="BD17" s="12">
        <f>IF('Données projet'!$A$88&gt;35,BD16+BC17-BL16,IF(A17&lt;'Données projet'!$A$88,$BA$205^A17,IF(A17='Données projet'!$A$88,'Données projet'!$B$88,BD16+BC17-BL16)))</f>
        <v>8.0676118326430668</v>
      </c>
      <c r="BE17" s="13">
        <f>BD17*VLOOKUP('Données projet'!$B$11,Paramètres!$A$1:$I$89,3,0)*VLOOKUP('Données projet'!$B$11,Paramètres!$A$1:$I$89,5,0)</f>
        <v>8.1805583983000698</v>
      </c>
      <c r="BF17" s="13">
        <f t="shared" si="37"/>
        <v>2.9518010224963804</v>
      </c>
      <c r="BG17" s="20">
        <f t="shared" si="7"/>
        <v>19.388859324553817</v>
      </c>
      <c r="BH17" s="59">
        <f t="shared" si="8"/>
        <v>312.72219265788715</v>
      </c>
      <c r="BI17" s="59">
        <f ca="1">AVERAGE(OFFSET($BH$3,0,0,'Données projet'!$E$11+1,1))-AVERAGE(OFFSET($H$3,0,0,'Données projet'!$E$11+1,1))</f>
        <v>264.08050363622294</v>
      </c>
      <c r="BJ17" s="59">
        <f t="shared" si="38"/>
        <v>164.48884512322883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7.02</v>
      </c>
      <c r="D18" s="11">
        <f t="shared" si="32"/>
        <v>2.5785498814341232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74.094069260193223</v>
      </c>
      <c r="H18" s="67">
        <f t="shared" si="1"/>
        <v>310.05080771016441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8.5743589743589741</v>
      </c>
      <c r="N18" s="13">
        <f>IF('Données projet'!$A$36&gt;35,N17+M18-V17,IF(A18&lt;'Données projet'!$A$36,$K$205^A18,IF(A18='Données projet'!$A$36,'Données projet'!$B$36,N17+M18-V17)))</f>
        <v>40.833346019697316</v>
      </c>
      <c r="O18" s="13">
        <f>N18*VLOOKUP('Données projet'!$B$9,Paramètres!$A$1:$I$89,3,0)*VLOOKUP('Données projet'!$B$9,Paramètres!$A$1:$I$89,5,0)</f>
        <v>22.825840425010803</v>
      </c>
      <c r="P18" s="13">
        <f t="shared" si="33"/>
        <v>7.3090000498686072</v>
      </c>
      <c r="Q18" s="20">
        <f t="shared" si="2"/>
        <v>52.484847160414972</v>
      </c>
      <c r="R18" s="59">
        <f t="shared" si="0"/>
        <v>345.81818049374829</v>
      </c>
      <c r="S18" s="59">
        <f ca="1">AVERAGE(OFFSET($R$3,0,0,'Données projet'!$E$9+1,1))-AVERAGE(OFFSET($H$3,0,0,'Données projet'!$E$9+1,1))</f>
        <v>254.6443970237226</v>
      </c>
      <c r="T18" s="59">
        <f t="shared" si="34"/>
        <v>231.81667808018062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6.2222222222222223</v>
      </c>
      <c r="AI18" s="13">
        <f>IF('Données projet'!$A$62&gt;35,AI17+AH18-AQ17,IF(A18&lt;'Données projet'!$A$62,$AF$205^A18,IF(A18='Données projet'!$A$62,'Données projet'!$B$62,AI17+AH18-AQ17)))</f>
        <v>51.013096442350388</v>
      </c>
      <c r="AJ18" s="13">
        <f>AI18*VLOOKUP('Données projet'!$B$10,Paramètres!$A$1:$I$89,3,0)*VLOOKUP('Données projet'!$B$10,Paramètres!$A$1:$I$89,5,0)</f>
        <v>31.832172180026642</v>
      </c>
      <c r="AK18" s="13">
        <f t="shared" si="35"/>
        <v>9.8058378099430179</v>
      </c>
      <c r="AL18" s="20">
        <f t="shared" si="4"/>
        <v>72.519534065863823</v>
      </c>
      <c r="AM18" s="59">
        <f t="shared" si="5"/>
        <v>365.85286739919712</v>
      </c>
      <c r="AN18" s="59">
        <f ca="1">AVERAGE(OFFSET($AM$3,0,0,'Données projet'!$E$10+1,1))-AVERAGE(OFFSET($H$3,0,0,'Données projet'!$E$10+1,1))</f>
        <v>180.31844548479722</v>
      </c>
      <c r="AO18" s="59">
        <f t="shared" si="36"/>
        <v>273.83237400307223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2.9235042735042733</v>
      </c>
      <c r="BD18" s="12">
        <f>IF('Données projet'!$A$88&gt;35,BD17+BC18-BL17,IF(A18&lt;'Données projet'!$A$88,$BA$205^A18,IF(A18='Données projet'!$A$88,'Données projet'!$B$88,BD17+BC18-BL17)))</f>
        <v>9.3651016121091022</v>
      </c>
      <c r="BE18" s="13">
        <f>BD18*VLOOKUP('Données projet'!$B$11,Paramètres!$A$1:$I$89,3,0)*VLOOKUP('Données projet'!$B$11,Paramètres!$A$1:$I$89,5,0)</f>
        <v>9.4962130346786306</v>
      </c>
      <c r="BF18" s="13">
        <f t="shared" si="37"/>
        <v>3.3675623198215465</v>
      </c>
      <c r="BG18" s="20">
        <f t="shared" si="7"/>
        <v>22.40440874242114</v>
      </c>
      <c r="BH18" s="59">
        <f t="shared" si="8"/>
        <v>315.73774207575445</v>
      </c>
      <c r="BI18" s="59">
        <f ca="1">AVERAGE(OFFSET($BH$3,0,0,'Données projet'!$E$11+1,1))-AVERAGE(OFFSET($H$3,0,0,'Données projet'!$E$11+1,1))</f>
        <v>264.08050363622294</v>
      </c>
      <c r="BJ18" s="59">
        <f t="shared" si="38"/>
        <v>164.48884512322883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7.4879999999999995</v>
      </c>
      <c r="D19" s="11">
        <f t="shared" si="32"/>
        <v>2.7298684377500635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78.874773905439085</v>
      </c>
      <c r="H19" s="67">
        <f t="shared" si="1"/>
        <v>311.129454195748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8.5743589743589741</v>
      </c>
      <c r="N19" s="13">
        <f>IF('Données projet'!$A$36&gt;35,N18+M19-V18,IF(A19&lt;'Données projet'!$A$36,$K$205^A19,IF(A19='Données projet'!$A$36,'Données projet'!$B$36,N18+M19-V18)))</f>
        <v>52.289677926136108</v>
      </c>
      <c r="O19" s="13">
        <f>N19*VLOOKUP('Données projet'!$B$9,Paramètres!$A$1:$I$89,3,0)*VLOOKUP('Données projet'!$B$9,Paramètres!$A$1:$I$89,5,0)</f>
        <v>29.229929960710084</v>
      </c>
      <c r="P19" s="13">
        <f t="shared" si="33"/>
        <v>9.0940531188911979</v>
      </c>
      <c r="Q19" s="20">
        <f t="shared" si="2"/>
        <v>66.747603863638901</v>
      </c>
      <c r="R19" s="59">
        <f t="shared" si="0"/>
        <v>360.08093719697223</v>
      </c>
      <c r="S19" s="59">
        <f ca="1">AVERAGE(OFFSET($R$3,0,0,'Données projet'!$E$9+1,1))-AVERAGE(OFFSET($H$3,0,0,'Données projet'!$E$9+1,1))</f>
        <v>254.6443970237226</v>
      </c>
      <c r="T19" s="59">
        <f t="shared" si="34"/>
        <v>231.81667808018062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6.2222222222222223</v>
      </c>
      <c r="AI19" s="13">
        <f>IF('Données projet'!$A$62&gt;35,AI18+AH19-AQ18,IF(A19&lt;'Données projet'!$A$62,$AF$205^A19,IF(A19='Données projet'!$A$62,'Données projet'!$B$62,AI18+AH19-AQ18)))</f>
        <v>66.302076663695672</v>
      </c>
      <c r="AJ19" s="13">
        <f>AI19*VLOOKUP('Données projet'!$B$10,Paramètres!$A$1:$I$89,3,0)*VLOOKUP('Données projet'!$B$10,Paramètres!$A$1:$I$89,5,0)</f>
        <v>41.372495838146101</v>
      </c>
      <c r="AK19" s="13">
        <f t="shared" si="35"/>
        <v>12.361709728704412</v>
      </c>
      <c r="AL19" s="20">
        <f t="shared" si="4"/>
        <v>93.587074695597963</v>
      </c>
      <c r="AM19" s="59">
        <f t="shared" si="5"/>
        <v>386.92040802893126</v>
      </c>
      <c r="AN19" s="59">
        <f ca="1">AVERAGE(OFFSET($AM$3,0,0,'Données projet'!$E$10+1,1))-AVERAGE(OFFSET($H$3,0,0,'Données projet'!$E$10+1,1))</f>
        <v>180.31844548479722</v>
      </c>
      <c r="AO19" s="59">
        <f t="shared" si="36"/>
        <v>273.83237400307223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2.9235042735042733</v>
      </c>
      <c r="BD19" s="12">
        <f>IF('Données projet'!$A$88&gt;35,BD18+BC19-BL18,IF(A19&lt;'Données projet'!$A$88,$BA$205^A19,IF(A19='Données projet'!$A$88,'Données projet'!$B$88,BD18+BC19-BL18)))</f>
        <v>10.87126277571476</v>
      </c>
      <c r="BE19" s="13">
        <f>BD19*VLOOKUP('Données projet'!$B$11,Paramètres!$A$1:$I$89,3,0)*VLOOKUP('Données projet'!$B$11,Paramètres!$A$1:$I$89,5,0)</f>
        <v>11.023460454574767</v>
      </c>
      <c r="BF19" s="13">
        <f t="shared" si="37"/>
        <v>3.8418836132426954</v>
      </c>
      <c r="BG19" s="20">
        <f t="shared" si="7"/>
        <v>25.890474251448747</v>
      </c>
      <c r="BH19" s="59">
        <f t="shared" si="8"/>
        <v>319.22380758478204</v>
      </c>
      <c r="BI19" s="59">
        <f ca="1">AVERAGE(OFFSET($BH$3,0,0,'Données projet'!$E$11+1,1))-AVERAGE(OFFSET($H$3,0,0,'Données projet'!$E$11+1,1))</f>
        <v>264.08050363622294</v>
      </c>
      <c r="BJ19" s="59">
        <f t="shared" si="38"/>
        <v>164.48884512322883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7.9559999999999995</v>
      </c>
      <c r="D20" s="11">
        <f t="shared" si="32"/>
        <v>2.880089392049658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83.647005833365782</v>
      </c>
      <c r="H20" s="67">
        <f t="shared" si="1"/>
        <v>312.20618902448649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8.5743589743589741</v>
      </c>
      <c r="N20" s="13">
        <f>IF('Données projet'!$A$36&gt;35,N19+M20-V19,IF(A20&lt;'Données projet'!$A$36,$K$205^A20,IF(A20='Données projet'!$A$36,'Données projet'!$B$36,N19+M20-V19)))</f>
        <v>66.960234321725892</v>
      </c>
      <c r="O20" s="13">
        <f>N20*VLOOKUP('Données projet'!$B$9,Paramètres!$A$1:$I$89,3,0)*VLOOKUP('Données projet'!$B$9,Paramètres!$A$1:$I$89,5,0)</f>
        <v>37.430770985844774</v>
      </c>
      <c r="P20" s="13">
        <f t="shared" si="33"/>
        <v>11.315063834306788</v>
      </c>
      <c r="Q20" s="20">
        <f t="shared" si="2"/>
        <v>84.898995645097301</v>
      </c>
      <c r="R20" s="59">
        <f t="shared" si="0"/>
        <v>378.23232897843059</v>
      </c>
      <c r="S20" s="59">
        <f ca="1">AVERAGE(OFFSET($R$3,0,0,'Données projet'!$E$9+1,1))-AVERAGE(OFFSET($H$3,0,0,'Données projet'!$E$9+1,1))</f>
        <v>254.6443970237226</v>
      </c>
      <c r="T20" s="59">
        <f t="shared" si="34"/>
        <v>231.81667808018062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6.2222222222222223</v>
      </c>
      <c r="AI20" s="13">
        <f>IF('Données projet'!$A$62&gt;35,AI19+AH20-AQ19,IF(A20&lt;'Données projet'!$A$62,$AF$205^A20,IF(A20='Données projet'!$A$62,'Données projet'!$B$62,AI19+AH20-AQ19)))</f>
        <v>86.1732707185582</v>
      </c>
      <c r="AJ20" s="13">
        <f>AI20*VLOOKUP('Données projet'!$B$10,Paramètres!$A$1:$I$89,3,0)*VLOOKUP('Données projet'!$B$10,Paramètres!$A$1:$I$89,5,0)</f>
        <v>53.772120928380318</v>
      </c>
      <c r="AK20" s="13">
        <f t="shared" si="35"/>
        <v>15.583764526657339</v>
      </c>
      <c r="AL20" s="20">
        <f t="shared" si="4"/>
        <v>120.79483383419057</v>
      </c>
      <c r="AM20" s="59">
        <f t="shared" si="5"/>
        <v>414.12816716752388</v>
      </c>
      <c r="AN20" s="59">
        <f ca="1">AVERAGE(OFFSET($AM$3,0,0,'Données projet'!$E$10+1,1))-AVERAGE(OFFSET($H$3,0,0,'Données projet'!$E$10+1,1))</f>
        <v>180.31844548479722</v>
      </c>
      <c r="AO20" s="59">
        <f t="shared" si="36"/>
        <v>273.83237400307223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2.9235042735042733</v>
      </c>
      <c r="BD20" s="12">
        <f>IF('Données projet'!$A$88&gt;35,BD19+BC20-BL19,IF(A20&lt;'Données projet'!$A$88,$BA$205^A20,IF(A20='Données projet'!$A$88,'Données projet'!$B$88,BD19+BC20-BL19)))</f>
        <v>12.619655315413629</v>
      </c>
      <c r="BE20" s="13">
        <f>BD20*VLOOKUP('Données projet'!$B$11,Paramètres!$A$1:$I$89,3,0)*VLOOKUP('Données projet'!$B$11,Paramètres!$A$1:$I$89,5,0)</f>
        <v>12.796330489829421</v>
      </c>
      <c r="BF20" s="13">
        <f t="shared" si="37"/>
        <v>4.383013080656192</v>
      </c>
      <c r="BG20" s="20">
        <f t="shared" si="7"/>
        <v>29.92069005192911</v>
      </c>
      <c r="BH20" s="59">
        <f t="shared" si="8"/>
        <v>323.25402338526243</v>
      </c>
      <c r="BI20" s="59">
        <f ca="1">AVERAGE(OFFSET($BH$3,0,0,'Données projet'!$E$11+1,1))-AVERAGE(OFFSET($H$3,0,0,'Données projet'!$E$11+1,1))</f>
        <v>264.08050363622294</v>
      </c>
      <c r="BJ20" s="59">
        <f t="shared" si="38"/>
        <v>164.48884512322883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8.4239999999999995</v>
      </c>
      <c r="D21" s="11">
        <f t="shared" si="32"/>
        <v>3.0292846636388133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88.411320210545227</v>
      </c>
      <c r="H21" s="67">
        <f t="shared" si="1"/>
        <v>313.28113745583755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8.5743589743589741</v>
      </c>
      <c r="N21" s="13">
        <f>IF('Données projet'!$A$36&gt;35,N20+M21-V20,IF(A21&lt;'Données projet'!$A$36,$K$205^A21,IF(A21='Données projet'!$A$36,'Données projet'!$B$36,N20+M21-V20)))</f>
        <v>85.746808132075927</v>
      </c>
      <c r="O21" s="13">
        <f>N21*VLOOKUP('Données projet'!$B$9,Paramètres!$A$1:$I$89,3,0)*VLOOKUP('Données projet'!$B$9,Paramètres!$A$1:$I$89,5,0)</f>
        <v>47.932465745830442</v>
      </c>
      <c r="P21" s="13">
        <f t="shared" si="33"/>
        <v>14.078504699788656</v>
      </c>
      <c r="Q21" s="20">
        <f t="shared" si="2"/>
        <v>108.00244019278658</v>
      </c>
      <c r="R21" s="59">
        <f t="shared" si="0"/>
        <v>401.33577352611991</v>
      </c>
      <c r="S21" s="59">
        <f ca="1">AVERAGE(OFFSET($R$3,0,0,'Données projet'!$E$9+1,1))-AVERAGE(OFFSET($H$3,0,0,'Données projet'!$E$9+1,1))</f>
        <v>254.6443970237226</v>
      </c>
      <c r="T21" s="59">
        <f t="shared" si="34"/>
        <v>231.81667808018062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112</v>
      </c>
      <c r="AG21" s="12">
        <f>VLOOKUP(A21,'Données projet'!$A$61:$I$81,9,0)</f>
        <v>6.2222222222222223</v>
      </c>
      <c r="AH21" s="12">
        <f t="array" ref="AH21">INDEX(AG:AG,MIN(IF(ISNUMBER(AG21:AG217),ROW(AG21:AG217),"")))</f>
        <v>6.2222222222222223</v>
      </c>
      <c r="AI21" s="13">
        <f>IF('Données projet'!$A$62&gt;35,AI20+AH21-AQ20,IF(A21&lt;'Données projet'!$A$62,$AF$205^A21,IF(A21='Données projet'!$A$62,'Données projet'!$B$62,AI20+AH21-AQ20)))</f>
        <v>112</v>
      </c>
      <c r="AJ21" s="13">
        <f>AI21*VLOOKUP('Données projet'!$B$10,Paramètres!$A$1:$I$89,3,0)*VLOOKUP('Données projet'!$B$10,Paramètres!$A$1:$I$89,5,0)</f>
        <v>69.888000000000005</v>
      </c>
      <c r="AK21" s="13">
        <f t="shared" si="35"/>
        <v>19.645641432461961</v>
      </c>
      <c r="AL21" s="20">
        <f t="shared" si="4"/>
        <v>155.93775882820458</v>
      </c>
      <c r="AM21" s="59">
        <f t="shared" si="5"/>
        <v>449.27109216153792</v>
      </c>
      <c r="AN21" s="59">
        <f ca="1">AVERAGE(OFFSET($AM$3,0,0,'Données projet'!$E$10+1,1))-AVERAGE(OFFSET($H$3,0,0,'Données projet'!$E$10+1,1))</f>
        <v>180.31844548479722</v>
      </c>
      <c r="AO21" s="59">
        <f t="shared" si="36"/>
        <v>273.83237400307223</v>
      </c>
      <c r="AP21" s="15">
        <f>IF(ISNA(VLOOKUP(A21,'Données projet'!$A$61:$I$81,3,0)),0,VLOOKUP(A21,'Données projet'!$A$61:$I$81,3,0))</f>
        <v>1</v>
      </c>
      <c r="AQ21" s="15">
        <f>IF(ISNA(VLOOKUP(A21,'Données projet'!$A$61:$I$81,4,0)),0,VLOOKUP(A21,'Données projet'!$A$61:$I$81,4,0))</f>
        <v>20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0.42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6.9259423783863667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6.9259423783863667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2.9235042735042733</v>
      </c>
      <c r="BD21" s="12">
        <f>IF('Données projet'!$A$88&gt;35,BD20+BC21-BL20,IF(A21&lt;'Données projet'!$A$88,$BA$205^A21,IF(A21='Données projet'!$A$88,'Données projet'!$B$88,BD20+BC21-BL20)))</f>
        <v>14.649236575865659</v>
      </c>
      <c r="BE21" s="13">
        <f>BD21*VLOOKUP('Données projet'!$B$11,Paramètres!$A$1:$I$89,3,0)*VLOOKUP('Données projet'!$B$11,Paramètres!$A$1:$I$89,5,0)</f>
        <v>14.85432588792778</v>
      </c>
      <c r="BF21" s="13">
        <f t="shared" si="37"/>
        <v>5.000360656159657</v>
      </c>
      <c r="BG21" s="20">
        <f t="shared" si="7"/>
        <v>34.580245730952278</v>
      </c>
      <c r="BH21" s="59">
        <f t="shared" si="8"/>
        <v>327.91357906428561</v>
      </c>
      <c r="BI21" s="59">
        <f ca="1">AVERAGE(OFFSET($BH$3,0,0,'Données projet'!$E$11+1,1))-AVERAGE(OFFSET($H$3,0,0,'Données projet'!$E$11+1,1))</f>
        <v>264.08050363622294</v>
      </c>
      <c r="BJ21" s="59">
        <f t="shared" si="38"/>
        <v>164.48884512322883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22" s="11">
        <f t="shared" si="32"/>
        <v>3.177517729464268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93.16820703446102</v>
      </c>
      <c r="H22" s="67">
        <f t="shared" si="1"/>
        <v>314.35441004548358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8.5743589743589741</v>
      </c>
      <c r="N22" s="13">
        <f>IF('Données projet'!$A$36&gt;35,N21+M22-V21,IF(A22&lt;'Données projet'!$A$36,$K$205^A22,IF(A22='Données projet'!$A$36,'Données projet'!$B$36,N21+M22-V21)))</f>
        <v>109.80420214051502</v>
      </c>
      <c r="O22" s="13">
        <f>N22*VLOOKUP('Données projet'!$B$9,Paramètres!$A$1:$I$89,3,0)*VLOOKUP('Données projet'!$B$9,Paramètres!$A$1:$I$89,5,0)</f>
        <v>61.380548996547894</v>
      </c>
      <c r="P22" s="13">
        <f t="shared" si="33"/>
        <v>17.516851648775006</v>
      </c>
      <c r="Q22" s="20">
        <f t="shared" si="2"/>
        <v>137.41297279060404</v>
      </c>
      <c r="R22" s="59">
        <f t="shared" si="0"/>
        <v>430.74630612393736</v>
      </c>
      <c r="S22" s="59">
        <f ca="1">AVERAGE(OFFSET($R$3,0,0,'Données projet'!$E$9+1,1))-AVERAGE(OFFSET($H$3,0,0,'Données projet'!$E$9+1,1))</f>
        <v>254.6443970237226</v>
      </c>
      <c r="T22" s="59">
        <f t="shared" si="34"/>
        <v>231.81667808018062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18</v>
      </c>
      <c r="AI22" s="13">
        <f>IF('Données projet'!$A$62&gt;35,AI21+AH22-AQ21,IF(A22&lt;'Données projet'!$A$62,$AF$205^A22,IF(A22='Données projet'!$A$62,'Données projet'!$B$62,AI21+AH22-AQ21)))</f>
        <v>110</v>
      </c>
      <c r="AJ22" s="13">
        <f>AI22*VLOOKUP('Données projet'!$B$10,Paramètres!$A$1:$I$89,3,0)*VLOOKUP('Données projet'!$B$10,Paramètres!$A$1:$I$89,5,0)</f>
        <v>68.64</v>
      </c>
      <c r="AK22" s="13">
        <f t="shared" si="35"/>
        <v>19.335336956640202</v>
      </c>
      <c r="AL22" s="20">
        <f t="shared" si="4"/>
        <v>153.22371186614836</v>
      </c>
      <c r="AM22" s="59">
        <f t="shared" si="5"/>
        <v>446.55704519948165</v>
      </c>
      <c r="AN22" s="59">
        <f ca="1">AVERAGE(OFFSET($AM$3,0,0,'Données projet'!$E$10+1,1))-AVERAGE(OFFSET($H$3,0,0,'Données projet'!$E$10+1,1))</f>
        <v>180.31844548479722</v>
      </c>
      <c r="AO22" s="59">
        <f t="shared" si="36"/>
        <v>273.83237400307223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6.736552119829911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6.736552119829911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2.9235042735042733</v>
      </c>
      <c r="BD22" s="12">
        <f>IF('Données projet'!$A$88&gt;35,BD21+BC22-BL21,IF(A22&lt;'Données projet'!$A$88,$BA$205^A22,IF(A22='Données projet'!$A$88,'Données projet'!$B$88,BD21+BC22-BL21)))</f>
        <v>17.005229294461625</v>
      </c>
      <c r="BE22" s="13">
        <f>BD22*VLOOKUP('Données projet'!$B$11,Paramètres!$A$1:$I$89,3,0)*VLOOKUP('Données projet'!$B$11,Paramètres!$A$1:$I$89,5,0)</f>
        <v>17.24330250458409</v>
      </c>
      <c r="BF22" s="13">
        <f t="shared" si="37"/>
        <v>5.7046616634614491</v>
      </c>
      <c r="BG22" s="20">
        <f t="shared" si="7"/>
        <v>39.967704259345972</v>
      </c>
      <c r="BH22" s="59">
        <f t="shared" si="8"/>
        <v>333.30103759267928</v>
      </c>
      <c r="BI22" s="59">
        <f ca="1">AVERAGE(OFFSET($BH$3,0,0,'Données projet'!$E$11+1,1))-AVERAGE(OFFSET($H$3,0,0,'Données projet'!$E$11+1,1))</f>
        <v>264.08050363622294</v>
      </c>
      <c r="BJ22" s="59">
        <f t="shared" si="38"/>
        <v>164.48884512322883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9.36</v>
      </c>
      <c r="D23" s="11">
        <f t="shared" si="32"/>
        <v>3.3248450073034994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97.918101810763858</v>
      </c>
      <c r="H23" s="67">
        <f t="shared" si="1"/>
        <v>315.42610505438688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8.5743589743589741</v>
      </c>
      <c r="N23" s="13">
        <f>IF('Données projet'!$A$36&gt;35,N22+M23-V22,IF(A23&lt;'Données projet'!$A$36,$K$205^A23,IF(A23='Données projet'!$A$36,'Données projet'!$B$36,N22+M23-V22)))</f>
        <v>140.61121422903264</v>
      </c>
      <c r="O23" s="13">
        <f>N23*VLOOKUP('Données projet'!$B$9,Paramètres!$A$1:$I$89,3,0)*VLOOKUP('Données projet'!$B$9,Paramètres!$A$1:$I$89,5,0)</f>
        <v>78.601668754029248</v>
      </c>
      <c r="P23" s="13">
        <f t="shared" si="33"/>
        <v>21.794934776688162</v>
      </c>
      <c r="Q23" s="20">
        <f t="shared" si="2"/>
        <v>174.8574178159995</v>
      </c>
      <c r="R23" s="59">
        <f t="shared" si="0"/>
        <v>468.19075114933281</v>
      </c>
      <c r="S23" s="59">
        <f ca="1">AVERAGE(OFFSET($R$3,0,0,'Données projet'!$E$9+1,1))-AVERAGE(OFFSET($H$3,0,0,'Données projet'!$E$9+1,1))</f>
        <v>254.6443970237226</v>
      </c>
      <c r="T23" s="59">
        <f t="shared" si="34"/>
        <v>231.81667808018062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18</v>
      </c>
      <c r="AI23" s="13">
        <f>IF('Données projet'!$A$62&gt;35,AI22+AH23-AQ22,IF(A23&lt;'Données projet'!$A$62,$AF$205^A23,IF(A23='Données projet'!$A$62,'Données projet'!$B$62,AI22+AH23-AQ22)))</f>
        <v>128</v>
      </c>
      <c r="AJ23" s="13">
        <f>AI23*VLOOKUP('Données projet'!$B$10,Paramètres!$A$1:$I$89,3,0)*VLOOKUP('Données projet'!$B$10,Paramètres!$A$1:$I$89,5,0)</f>
        <v>79.872</v>
      </c>
      <c r="AK23" s="13">
        <f t="shared" si="35"/>
        <v>22.105884547145418</v>
      </c>
      <c r="AL23" s="20">
        <f t="shared" si="4"/>
        <v>177.61148225294494</v>
      </c>
      <c r="AM23" s="59">
        <f t="shared" si="5"/>
        <v>470.94481558627825</v>
      </c>
      <c r="AN23" s="59">
        <f ca="1">AVERAGE(OFFSET($AM$3,0,0,'Données projet'!$E$10+1,1))-AVERAGE(OFFSET($H$3,0,0,'Données projet'!$E$10+1,1))</f>
        <v>180.31844548479722</v>
      </c>
      <c r="AO23" s="59">
        <f t="shared" si="36"/>
        <v>273.83237400307223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6.5523407478532825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6.5523407478532825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2.9235042735042733</v>
      </c>
      <c r="BD23" s="12">
        <f>IF('Données projet'!$A$88&gt;35,BD22+BC23-BL22,IF(A23&lt;'Données projet'!$A$88,$BA$205^A23,IF(A23='Données projet'!$A$88,'Données projet'!$B$88,BD22+BC23-BL22)))</f>
        <v>19.740129245617538</v>
      </c>
      <c r="BE23" s="13">
        <f>BD23*VLOOKUP('Données projet'!$B$11,Paramètres!$A$1:$I$89,3,0)*VLOOKUP('Données projet'!$B$11,Paramètres!$A$1:$I$89,5,0)</f>
        <v>20.016491055056186</v>
      </c>
      <c r="BF23" s="13">
        <f t="shared" si="37"/>
        <v>6.5081634970626938</v>
      </c>
      <c r="BG23" s="20">
        <f t="shared" si="7"/>
        <v>46.197106678273713</v>
      </c>
      <c r="BH23" s="59">
        <f t="shared" si="8"/>
        <v>339.53044001160703</v>
      </c>
      <c r="BI23" s="59">
        <f ca="1">AVERAGE(OFFSET($BH$3,0,0,'Données projet'!$E$11+1,1))-AVERAGE(OFFSET($H$3,0,0,'Données projet'!$E$11+1,1))</f>
        <v>264.08050363622294</v>
      </c>
      <c r="BJ23" s="59">
        <f t="shared" si="38"/>
        <v>164.48884512322883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9.8279999999999994</v>
      </c>
      <c r="D24" s="11">
        <f t="shared" si="32"/>
        <v>3.4713169544550615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102.66139403438996</v>
      </c>
      <c r="H24" s="67">
        <f t="shared" si="1"/>
        <v>316.49631036234257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180.06153846153845</v>
      </c>
      <c r="L24" s="12">
        <f>VLOOKUP(A24,'Données projet'!$A$35:$I$55,9,0)</f>
        <v>8.5743589743589741</v>
      </c>
      <c r="M24" s="12">
        <f t="array" ref="M24">INDEX(L:L,MIN(IF(ISNUMBER(L24:L220),ROW(L24:L220),"")))</f>
        <v>8.5743589743589741</v>
      </c>
      <c r="N24" s="13">
        <f>IF('Données projet'!$A$36&gt;35,N23+M24-V23,IF(A24&lt;'Données projet'!$A$36,$K$205^A24,IF(A24='Données projet'!$A$36,'Données projet'!$B$36,N23+M24-V23)))</f>
        <v>180.06153846153845</v>
      </c>
      <c r="O24" s="13">
        <f>N24*VLOOKUP('Données projet'!$B$9,Paramètres!$A$1:$I$89,3,0)*VLOOKUP('Données projet'!$B$9,Paramètres!$A$1:$I$89,5,0)</f>
        <v>100.65439999999998</v>
      </c>
      <c r="P24" s="13">
        <f t="shared" si="33"/>
        <v>27.117840091618859</v>
      </c>
      <c r="Q24" s="20">
        <f t="shared" si="2"/>
        <v>222.53665149290282</v>
      </c>
      <c r="R24" s="59">
        <f t="shared" si="0"/>
        <v>515.86998482623608</v>
      </c>
      <c r="S24" s="59">
        <f ca="1">AVERAGE(OFFSET($R$3,0,0,'Données projet'!$E$9+1,1))-AVERAGE(OFFSET($H$3,0,0,'Données projet'!$E$9+1,1))</f>
        <v>254.6443970237226</v>
      </c>
      <c r="T24" s="59">
        <f t="shared" si="34"/>
        <v>231.81667808018062</v>
      </c>
      <c r="U24" s="15">
        <f>IF(ISNA(VLOOKUP(A24,'Données projet'!$A$35:$I$55,3,0)),0,VLOOKUP(A24,'Données projet'!$A$35:$I$55,3,0))</f>
        <v>1</v>
      </c>
      <c r="V24" s="15">
        <f>IF(ISNA(VLOOKUP(A24,'Données projet'!$A$35:$I$55,4,0)),0,VLOOKUP(A24,'Données projet'!$A$35:$I$55,4,0))</f>
        <v>61.169230769230765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0.30800000000000005</v>
      </c>
      <c r="Y24" s="16">
        <f>IF(ISNA(VLOOKUP(A24,'Données projet'!$A$35:$I$55,7,0)),0%,VLOOKUP(A24,'Données projet'!$A$35:$I$55,7,0))</f>
        <v>0.44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13.915875728661929</v>
      </c>
      <c r="AB24" s="21">
        <f>EXP(-LN(2)/2)*AB23+(1-EXP(-LN(2)/2))/(LN(2)/2)*V24*Y24*VLOOKUP('Données projet'!$B$9,Paramètres!$A$1:$I$89,3,0)*0.475*44/12</f>
        <v>17.034643247028416</v>
      </c>
      <c r="AC24" s="22">
        <f t="shared" si="3"/>
        <v>30.950518975690343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>
        <f>VLOOKUP(A24,'Données projet'!$A$61:$I$81,2,0)</f>
        <v>146</v>
      </c>
      <c r="AG24" s="12">
        <f>VLOOKUP(A24,'Données projet'!$A$61:$I$81,9,0)</f>
        <v>18</v>
      </c>
      <c r="AH24" s="12">
        <f t="array" ref="AH24">INDEX(AG:AG,MIN(IF(ISNUMBER(AG24:AG220),ROW(AG24:AG220),"")))</f>
        <v>18</v>
      </c>
      <c r="AI24" s="13">
        <f>IF('Données projet'!$A$62&gt;35,AI23+AH24-AQ23,IF(A24&lt;'Données projet'!$A$62,$AF$205^A24,IF(A24='Données projet'!$A$62,'Données projet'!$B$62,AI23+AH24-AQ23)))</f>
        <v>146</v>
      </c>
      <c r="AJ24" s="13">
        <f>AI24*VLOOKUP('Données projet'!$B$10,Paramètres!$A$1:$I$89,3,0)*VLOOKUP('Données projet'!$B$10,Paramètres!$A$1:$I$89,5,0)</f>
        <v>91.103999999999999</v>
      </c>
      <c r="AK24" s="13">
        <f t="shared" si="35"/>
        <v>24.831293984707884</v>
      </c>
      <c r="AL24" s="20">
        <f t="shared" si="4"/>
        <v>201.92063702336623</v>
      </c>
      <c r="AM24" s="59">
        <f t="shared" si="5"/>
        <v>495.25397035669954</v>
      </c>
      <c r="AN24" s="59">
        <f ca="1">AVERAGE(OFFSET($AM$3,0,0,'Données projet'!$E$10+1,1))-AVERAGE(OFFSET($H$3,0,0,'Données projet'!$E$10+1,1))</f>
        <v>180.31844548479722</v>
      </c>
      <c r="AO24" s="59">
        <f t="shared" si="36"/>
        <v>273.83237400307223</v>
      </c>
      <c r="AP24" s="15">
        <f>IF(ISNA(VLOOKUP(A24,'Données projet'!$A$61:$I$81,3,0)),0,VLOOKUP(A24,'Données projet'!$A$61:$I$81,3,0))</f>
        <v>2</v>
      </c>
      <c r="AQ24" s="15">
        <f>IF(ISNA(VLOOKUP(A24,'Données projet'!$A$61:$I$81,4,0)),0,VLOOKUP(A24,'Données projet'!$A$61:$I$81,4,0))</f>
        <v>26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0.48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16.663138179133213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16.663138179133213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2.9235042735042733</v>
      </c>
      <c r="BD24" s="12">
        <f>IF('Données projet'!$A$88&gt;35,BD23+BC24-BL23,IF(A24&lt;'Données projet'!$A$88,$BA$205^A24,IF(A24='Données projet'!$A$88,'Données projet'!$B$88,BD23+BC24-BL23)))</f>
        <v>22.91487494147438</v>
      </c>
      <c r="BE24" s="13">
        <f>BD24*VLOOKUP('Données projet'!$B$11,Paramètres!$A$1:$I$89,3,0)*VLOOKUP('Données projet'!$B$11,Paramètres!$A$1:$I$89,5,0)</f>
        <v>23.235683190655024</v>
      </c>
      <c r="BF24" s="13">
        <f t="shared" si="37"/>
        <v>7.4248385974916156</v>
      </c>
      <c r="BG24" s="20">
        <f t="shared" si="7"/>
        <v>53.400408781022065</v>
      </c>
      <c r="BH24" s="59">
        <f t="shared" si="8"/>
        <v>346.73374211435538</v>
      </c>
      <c r="BI24" s="59">
        <f ca="1">AVERAGE(OFFSET($BH$3,0,0,'Données projet'!$E$11+1,1))-AVERAGE(OFFSET($H$3,0,0,'Données projet'!$E$11+1,1))</f>
        <v>264.08050363622294</v>
      </c>
      <c r="BJ24" s="59">
        <f t="shared" si="38"/>
        <v>164.48884512322883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10.295999999999999</v>
      </c>
      <c r="D25" s="11">
        <f t="shared" si="32"/>
        <v>3.6169789512251227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107.39843400945709</v>
      </c>
      <c r="H25" s="67">
        <f t="shared" si="1"/>
        <v>317.56510500671709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16.687912087912089</v>
      </c>
      <c r="N25" s="13">
        <f>IF('Données projet'!$A$36&gt;35,N24+M25-V24,IF(A25&lt;'Données projet'!$A$36,$K$205^A25,IF(A25='Données projet'!$A$36,'Données projet'!$B$36,N24+M25-V24)))</f>
        <v>135.58021978021975</v>
      </c>
      <c r="O25" s="13">
        <f>N25*VLOOKUP('Données projet'!$B$9,Paramètres!$A$1:$I$89,3,0)*VLOOKUP('Données projet'!$B$9,Paramètres!$A$1:$I$89,5,0)</f>
        <v>75.789342857142842</v>
      </c>
      <c r="P25" s="13">
        <f t="shared" si="33"/>
        <v>21.104439314832938</v>
      </c>
      <c r="Q25" s="20">
        <f t="shared" si="2"/>
        <v>168.75667061619112</v>
      </c>
      <c r="R25" s="59">
        <f t="shared" si="0"/>
        <v>462.09000394952443</v>
      </c>
      <c r="S25" s="59">
        <f ca="1">AVERAGE(OFFSET($R$3,0,0,'Données projet'!$E$9+1,1))-AVERAGE(OFFSET($H$3,0,0,'Données projet'!$E$9+1,1))</f>
        <v>254.6443970237226</v>
      </c>
      <c r="T25" s="59">
        <f t="shared" si="34"/>
        <v>231.81667808018062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13.535345375057569</v>
      </c>
      <c r="AB25" s="21">
        <f>EXP(-LN(2)/2)*AB24+(1-EXP(-LN(2)/2))/(LN(2)/2)*V25*Y25*VLOOKUP('Données projet'!$B$9,Paramètres!$A$1:$I$89,3,0)*0.475*44/12</f>
        <v>12.045311755067422</v>
      </c>
      <c r="AC25" s="22">
        <f t="shared" si="3"/>
        <v>25.58065713012499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</v>
      </c>
      <c r="AI25" s="13">
        <f>IF('Données projet'!$A$62&gt;35,AI24+AH25-AQ24,IF(A25&lt;'Données projet'!$A$62,$AF$205^A25,IF(A25='Données projet'!$A$62,'Données projet'!$B$62,AI24+AH25-AQ24)))</f>
        <v>136</v>
      </c>
      <c r="AJ25" s="13">
        <f>AI25*VLOOKUP('Données projet'!$B$10,Paramètres!$A$1:$I$89,3,0)*VLOOKUP('Données projet'!$B$10,Paramètres!$A$1:$I$89,5,0)</f>
        <v>84.864000000000004</v>
      </c>
      <c r="AK25" s="13">
        <f t="shared" si="35"/>
        <v>23.322341364766192</v>
      </c>
      <c r="AL25" s="20">
        <f t="shared" si="4"/>
        <v>188.42454454363443</v>
      </c>
      <c r="AM25" s="59">
        <f t="shared" si="5"/>
        <v>481.75787787696777</v>
      </c>
      <c r="AN25" s="59">
        <f ca="1">AVERAGE(OFFSET($AM$3,0,0,'Données projet'!$E$10+1,1))-AVERAGE(OFFSET($H$3,0,0,'Données projet'!$E$10+1,1))</f>
        <v>180.31844548479722</v>
      </c>
      <c r="AO25" s="59">
        <f t="shared" si="36"/>
        <v>273.83237400307223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16.207483789348462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16.207483789348462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2.9235042735042733</v>
      </c>
      <c r="BD25" s="12">
        <f>IF('Données projet'!$A$88&gt;35,BD24+BC25-BL24,IF(A25&lt;'Données projet'!$A$88,$BA$205^A25,IF(A25='Données projet'!$A$88,'Données projet'!$B$88,BD24+BC25-BL24)))</f>
        <v>26.600205452048144</v>
      </c>
      <c r="BE25" s="13">
        <f>BD25*VLOOKUP('Données projet'!$B$11,Paramètres!$A$1:$I$89,3,0)*VLOOKUP('Données projet'!$B$11,Paramètres!$A$1:$I$89,5,0)</f>
        <v>26.972608328376822</v>
      </c>
      <c r="BF25" s="13">
        <f t="shared" si="37"/>
        <v>8.4706274241085247</v>
      </c>
      <c r="BG25" s="20">
        <f t="shared" si="7"/>
        <v>61.730302268911977</v>
      </c>
      <c r="BH25" s="59">
        <f t="shared" si="8"/>
        <v>355.06363560224531</v>
      </c>
      <c r="BI25" s="59">
        <f ca="1">AVERAGE(OFFSET($BH$3,0,0,'Données projet'!$E$11+1,1))-AVERAGE(OFFSET($H$3,0,0,'Données projet'!$E$11+1,1))</f>
        <v>264.08050363622294</v>
      </c>
      <c r="BJ25" s="59">
        <f t="shared" si="38"/>
        <v>164.48884512322883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10.763999999999999</v>
      </c>
      <c r="D26" s="11">
        <f t="shared" si="32"/>
        <v>3.76187201923933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112.12953839412818</v>
      </c>
      <c r="H26" s="67">
        <f t="shared" si="1"/>
        <v>318.6325604335085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16.687912087912089</v>
      </c>
      <c r="N26" s="13">
        <f>IF('Données projet'!$A$36&gt;35,N25+M26-V25,IF(A26&lt;'Données projet'!$A$36,$K$205^A26,IF(A26='Données projet'!$A$36,'Données projet'!$B$36,N25+M26-V25)))</f>
        <v>152.26813186813183</v>
      </c>
      <c r="O26" s="13">
        <f>N26*VLOOKUP('Données projet'!$B$9,Paramètres!$A$1:$I$89,3,0)*VLOOKUP('Données projet'!$B$9,Paramètres!$A$1:$I$89,5,0)</f>
        <v>85.117885714285705</v>
      </c>
      <c r="P26" s="13">
        <f t="shared" si="33"/>
        <v>23.383981996566973</v>
      </c>
      <c r="Q26" s="20">
        <f t="shared" si="2"/>
        <v>188.97408626306841</v>
      </c>
      <c r="R26" s="59">
        <f t="shared" si="0"/>
        <v>482.3074195964017</v>
      </c>
      <c r="S26" s="59">
        <f ca="1">AVERAGE(OFFSET($R$3,0,0,'Données projet'!$E$9+1,1))-AVERAGE(OFFSET($H$3,0,0,'Données projet'!$E$9+1,1))</f>
        <v>254.6443970237226</v>
      </c>
      <c r="T26" s="59">
        <f t="shared" si="34"/>
        <v>231.81667808018062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13.165220643983741</v>
      </c>
      <c r="AB26" s="21">
        <f>EXP(-LN(2)/2)*AB25+(1-EXP(-LN(2)/2))/(LN(2)/2)*V26*Y26*VLOOKUP('Données projet'!$B$9,Paramètres!$A$1:$I$89,3,0)*0.475*44/12</f>
        <v>8.5173216235142082</v>
      </c>
      <c r="AC26" s="22">
        <f t="shared" si="3"/>
        <v>21.682542267497951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</v>
      </c>
      <c r="AI26" s="13">
        <f>IF('Données projet'!$A$62&gt;35,AI25+AH26-AQ25,IF(A26&lt;'Données projet'!$A$62,$AF$205^A26,IF(A26='Données projet'!$A$62,'Données projet'!$B$62,AI25+AH26-AQ25)))</f>
        <v>152</v>
      </c>
      <c r="AJ26" s="13">
        <f>AI26*VLOOKUP('Données projet'!$B$10,Paramètres!$A$1:$I$89,3,0)*VLOOKUP('Données projet'!$B$10,Paramètres!$A$1:$I$89,5,0)</f>
        <v>94.847999999999999</v>
      </c>
      <c r="AK26" s="13">
        <f t="shared" si="35"/>
        <v>25.730851751939202</v>
      </c>
      <c r="AL26" s="20">
        <f t="shared" si="4"/>
        <v>210.0081668012941</v>
      </c>
      <c r="AM26" s="59">
        <f t="shared" si="5"/>
        <v>503.34150013462738</v>
      </c>
      <c r="AN26" s="59">
        <f ca="1">AVERAGE(OFFSET($AM$3,0,0,'Données projet'!$E$10+1,1))-AVERAGE(OFFSET($H$3,0,0,'Données projet'!$E$10+1,1))</f>
        <v>180.31844548479722</v>
      </c>
      <c r="AO26" s="59">
        <f t="shared" si="36"/>
        <v>273.83237400307223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15.764289292814199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15.764289292814199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2.9235042735042733</v>
      </c>
      <c r="BD26" s="12">
        <f>IF('Données projet'!$A$88&gt;35,BD25+BC26-BL25,IF(A26&lt;'Données projet'!$A$88,$BA$205^A26,IF(A26='Données projet'!$A$88,'Données projet'!$B$88,BD25+BC26-BL25)))</f>
        <v>30.878236599516239</v>
      </c>
      <c r="BE26" s="13">
        <f>BD26*VLOOKUP('Données projet'!$B$11,Paramètres!$A$1:$I$89,3,0)*VLOOKUP('Données projet'!$B$11,Paramètres!$A$1:$I$89,5,0)</f>
        <v>31.310531911909472</v>
      </c>
      <c r="BF26" s="13">
        <f t="shared" si="37"/>
        <v>9.6637156506405031</v>
      </c>
      <c r="BG26" s="20">
        <f t="shared" si="7"/>
        <v>71.363481171441208</v>
      </c>
      <c r="BH26" s="59">
        <f t="shared" si="8"/>
        <v>364.69681450477452</v>
      </c>
      <c r="BI26" s="59">
        <f ca="1">AVERAGE(OFFSET($BH$3,0,0,'Données projet'!$E$11+1,1))-AVERAGE(OFFSET($H$3,0,0,'Données projet'!$E$11+1,1))</f>
        <v>264.08050363622294</v>
      </c>
      <c r="BJ26" s="59">
        <f t="shared" si="38"/>
        <v>164.48884512322883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11.231999999999999</v>
      </c>
      <c r="D27" s="11">
        <f t="shared" si="32"/>
        <v>3.9060334113059061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116.85499475394033</v>
      </c>
      <c r="H27" s="67">
        <f t="shared" si="1"/>
        <v>319.69874152469112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16.687912087912089</v>
      </c>
      <c r="N27" s="13">
        <f>IF('Données projet'!$A$36&gt;35,N26+M27-V26,IF(A27&lt;'Données projet'!$A$36,$K$205^A27,IF(A27='Données projet'!$A$36,'Données projet'!$B$36,N26+M27-V26)))</f>
        <v>168.95604395604391</v>
      </c>
      <c r="O27" s="13">
        <f>N27*VLOOKUP('Données projet'!$B$9,Paramètres!$A$1:$I$89,3,0)*VLOOKUP('Données projet'!$B$9,Paramètres!$A$1:$I$89,5,0)</f>
        <v>94.446428571428541</v>
      </c>
      <c r="P27" s="13">
        <f t="shared" si="33"/>
        <v>25.63456829651156</v>
      </c>
      <c r="Q27" s="20">
        <f t="shared" si="2"/>
        <v>209.14106954499564</v>
      </c>
      <c r="R27" s="59">
        <f t="shared" si="0"/>
        <v>502.47440287832899</v>
      </c>
      <c r="S27" s="59">
        <f ca="1">AVERAGE(OFFSET($R$3,0,0,'Données projet'!$E$9+1,1))-AVERAGE(OFFSET($H$3,0,0,'Données projet'!$E$9+1,1))</f>
        <v>254.6443970237226</v>
      </c>
      <c r="T27" s="59">
        <f t="shared" si="34"/>
        <v>231.81667808018062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12.805216993145141</v>
      </c>
      <c r="AB27" s="21">
        <f>EXP(-LN(2)/2)*AB26+(1-EXP(-LN(2)/2))/(LN(2)/2)*V27*Y27*VLOOKUP('Données projet'!$B$9,Paramètres!$A$1:$I$89,3,0)*0.475*44/12</f>
        <v>6.0226558775337109</v>
      </c>
      <c r="AC27" s="22">
        <f t="shared" si="3"/>
        <v>18.827872870678853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168</v>
      </c>
      <c r="AG27" s="12">
        <f>VLOOKUP(A27,'Données projet'!$A$61:$I$81,9,0)</f>
        <v>16</v>
      </c>
      <c r="AH27" s="12">
        <f t="array" ref="AH27">INDEX(AG:AG,MIN(IF(ISNUMBER(AG27:AG223),ROW(AG27:AG223),"")))</f>
        <v>16</v>
      </c>
      <c r="AI27" s="13">
        <f>IF('Données projet'!$A$62&gt;35,AI26+AH27-AQ26,IF(A27&lt;'Données projet'!$A$62,$AF$205^A27,IF(A27='Données projet'!$A$62,'Données projet'!$B$62,AI26+AH27-AQ26)))</f>
        <v>168</v>
      </c>
      <c r="AJ27" s="13">
        <f>AI27*VLOOKUP('Données projet'!$B$10,Paramètres!$A$1:$I$89,3,0)*VLOOKUP('Données projet'!$B$10,Paramètres!$A$1:$I$89,5,0)</f>
        <v>104.83200000000001</v>
      </c>
      <c r="AK27" s="13">
        <f t="shared" si="35"/>
        <v>28.109974371137717</v>
      </c>
      <c r="AL27" s="20">
        <f t="shared" si="4"/>
        <v>231.54060536306486</v>
      </c>
      <c r="AM27" s="59">
        <f t="shared" si="5"/>
        <v>524.87393869639823</v>
      </c>
      <c r="AN27" s="59">
        <f ca="1">AVERAGE(OFFSET($AM$3,0,0,'Données projet'!$E$10+1,1))-AVERAGE(OFFSET($H$3,0,0,'Données projet'!$E$10+1,1))</f>
        <v>180.31844548479722</v>
      </c>
      <c r="AO27" s="59">
        <f t="shared" si="36"/>
        <v>273.83237400307223</v>
      </c>
      <c r="AP27" s="15">
        <f>IF(ISNA(VLOOKUP(A27,'Données projet'!$A$61:$I$81,3,0)),0,VLOOKUP(A27,'Données projet'!$A$61:$I$81,3,0))</f>
        <v>3</v>
      </c>
      <c r="AQ27" s="15">
        <f>IF(ISNA(VLOOKUP(A27,'Données projet'!$A$61:$I$81,4,0)),0,VLOOKUP(A27,'Données projet'!$A$61:$I$81,4,0))</f>
        <v>29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0.48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26.810489914420231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26.810489914420231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2.9235042735042733</v>
      </c>
      <c r="BD27" s="12">
        <f>IF('Données projet'!$A$88&gt;35,BD26+BC27-BL26,IF(A27&lt;'Données projet'!$A$88,$BA$205^A27,IF(A27='Données projet'!$A$88,'Données projet'!$B$88,BD26+BC27-BL26)))</f>
        <v>35.844290647096855</v>
      </c>
      <c r="BE27" s="13">
        <f>BD27*VLOOKUP('Données projet'!$B$11,Paramètres!$A$1:$I$89,3,0)*VLOOKUP('Données projet'!$B$11,Paramètres!$A$1:$I$89,5,0)</f>
        <v>36.346110716156211</v>
      </c>
      <c r="BF27" s="13">
        <f t="shared" si="37"/>
        <v>11.024850403718778</v>
      </c>
      <c r="BG27" s="20">
        <f t="shared" si="7"/>
        <v>82.504423950448952</v>
      </c>
      <c r="BH27" s="59">
        <f t="shared" si="8"/>
        <v>375.83775728378225</v>
      </c>
      <c r="BI27" s="59">
        <f ca="1">AVERAGE(OFFSET($BH$3,0,0,'Données projet'!$E$11+1,1))-AVERAGE(OFFSET($H$3,0,0,'Données projet'!$E$11+1,1))</f>
        <v>264.08050363622294</v>
      </c>
      <c r="BJ27" s="59">
        <f t="shared" si="38"/>
        <v>164.48884512322883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</v>
      </c>
      <c r="D28" s="11">
        <f t="shared" si="32"/>
        <v>4.0494971001980291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121.57506533486197</v>
      </c>
      <c r="H28" s="67">
        <f t="shared" si="1"/>
        <v>320.76370744951157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16.687912087912089</v>
      </c>
      <c r="N28" s="13">
        <f>IF('Données projet'!$A$36&gt;35,N27+M28-V27,IF(A28&lt;'Données projet'!$A$36,$K$205^A28,IF(A28='Données projet'!$A$36,'Données projet'!$B$36,N27+M28-V27)))</f>
        <v>185.643956043956</v>
      </c>
      <c r="O28" s="13">
        <f>N28*VLOOKUP('Données projet'!$B$9,Paramètres!$A$1:$I$89,3,0)*VLOOKUP('Données projet'!$B$9,Paramètres!$A$1:$I$89,5,0)</f>
        <v>103.7749714285714</v>
      </c>
      <c r="P28" s="13">
        <f t="shared" si="33"/>
        <v>27.859383782043167</v>
      </c>
      <c r="Q28" s="20">
        <f t="shared" si="2"/>
        <v>229.26316865848699</v>
      </c>
      <c r="R28" s="59">
        <f t="shared" si="0"/>
        <v>522.59650199182033</v>
      </c>
      <c r="S28" s="59">
        <f ca="1">AVERAGE(OFFSET($R$3,0,0,'Données projet'!$E$9+1,1))-AVERAGE(OFFSET($H$3,0,0,'Données projet'!$E$9+1,1))</f>
        <v>254.6443970237226</v>
      </c>
      <c r="T28" s="59">
        <f t="shared" si="34"/>
        <v>231.81667808018062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12.455057661070493</v>
      </c>
      <c r="AB28" s="21">
        <f>EXP(-LN(2)/2)*AB27+(1-EXP(-LN(2)/2))/(LN(2)/2)*V28*Y28*VLOOKUP('Données projet'!$B$9,Paramètres!$A$1:$I$89,3,0)*0.475*44/12</f>
        <v>4.2586608117571041</v>
      </c>
      <c r="AC28" s="22">
        <f t="shared" si="3"/>
        <v>16.713718472827598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14.166666666666666</v>
      </c>
      <c r="AI28" s="13">
        <f>IF('Données projet'!$A$62&gt;35,AI27+AH28-AQ27,IF(A28&lt;'Données projet'!$A$62,$AF$205^A28,IF(A28='Données projet'!$A$62,'Données projet'!$B$62,AI27+AH28-AQ27)))</f>
        <v>153.16666666666666</v>
      </c>
      <c r="AJ28" s="13">
        <f>AI28*VLOOKUP('Données projet'!$B$10,Paramètres!$A$1:$I$89,3,0)*VLOOKUP('Données projet'!$B$10,Paramètres!$A$1:$I$89,5,0)</f>
        <v>95.575999999999993</v>
      </c>
      <c r="AK28" s="13">
        <f t="shared" si="35"/>
        <v>25.905281107545633</v>
      </c>
      <c r="AL28" s="20">
        <f t="shared" si="4"/>
        <v>211.57989792897527</v>
      </c>
      <c r="AM28" s="59">
        <f t="shared" si="5"/>
        <v>504.91323126230861</v>
      </c>
      <c r="AN28" s="59">
        <f ca="1">AVERAGE(OFFSET($AM$3,0,0,'Données projet'!$E$10+1,1))-AVERAGE(OFFSET($H$3,0,0,'Données projet'!$E$10+1,1))</f>
        <v>180.31844548479722</v>
      </c>
      <c r="AO28" s="59">
        <f t="shared" si="36"/>
        <v>273.83237400307223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26.07735565780802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26.07735565780802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2.9235042735042733</v>
      </c>
      <c r="BD28" s="12">
        <f>IF('Données projet'!$A$88&gt;35,BD27+BC28-BL27,IF(A28&lt;'Données projet'!$A$88,$BA$205^A28,IF(A28='Données projet'!$A$88,'Données projet'!$B$88,BD27+BC28-BL27)))</f>
        <v>41.609020251295185</v>
      </c>
      <c r="BE28" s="13">
        <f>BD28*VLOOKUP('Données projet'!$B$11,Paramètres!$A$1:$I$89,3,0)*VLOOKUP('Données projet'!$B$11,Paramètres!$A$1:$I$89,5,0)</f>
        <v>42.19154653481332</v>
      </c>
      <c r="BF28" s="13">
        <f t="shared" si="37"/>
        <v>12.577701043627256</v>
      </c>
      <c r="BG28" s="20">
        <f t="shared" si="7"/>
        <v>95.389772865783996</v>
      </c>
      <c r="BH28" s="59">
        <f t="shared" si="8"/>
        <v>388.7231061991173</v>
      </c>
      <c r="BI28" s="59">
        <f ca="1">AVERAGE(OFFSET($BH$3,0,0,'Données projet'!$E$11+1,1))-AVERAGE(OFFSET($H$3,0,0,'Données projet'!$E$11+1,1))</f>
        <v>264.08050363622294</v>
      </c>
      <c r="BJ28" s="59">
        <f t="shared" si="38"/>
        <v>164.48884512322883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12.167999999999999</v>
      </c>
      <c r="D29" s="11">
        <f t="shared" si="32"/>
        <v>4.1922941870296242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126.28999021566726</v>
      </c>
      <c r="H29" s="67">
        <f t="shared" si="1"/>
        <v>321.82751237574325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16.687912087912089</v>
      </c>
      <c r="N29" s="13">
        <f>IF('Données projet'!$A$36&gt;35,N28+M29-V28,IF(A29&lt;'Données projet'!$A$36,$K$205^A29,IF(A29='Données projet'!$A$36,'Données projet'!$B$36,N28+M29-V28)))</f>
        <v>202.33186813186808</v>
      </c>
      <c r="O29" s="13">
        <f>N29*VLOOKUP('Données projet'!$B$9,Paramètres!$A$1:$I$89,3,0)*VLOOKUP('Données projet'!$B$9,Paramètres!$A$1:$I$89,5,0)</f>
        <v>113.10351428571425</v>
      </c>
      <c r="P29" s="13">
        <f t="shared" si="33"/>
        <v>30.061008485627202</v>
      </c>
      <c r="Q29" s="20">
        <f t="shared" si="2"/>
        <v>249.34487716008638</v>
      </c>
      <c r="R29" s="59">
        <f t="shared" si="0"/>
        <v>542.67821049341967</v>
      </c>
      <c r="S29" s="59">
        <f ca="1">AVERAGE(OFFSET($R$3,0,0,'Données projet'!$E$9+1,1))-AVERAGE(OFFSET($H$3,0,0,'Données projet'!$E$9+1,1))</f>
        <v>254.6443970237226</v>
      </c>
      <c r="T29" s="59">
        <f t="shared" si="34"/>
        <v>231.81667808018062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12.114473454345504</v>
      </c>
      <c r="AB29" s="21">
        <f>EXP(-LN(2)/2)*AB28+(1-EXP(-LN(2)/2))/(LN(2)/2)*V29*Y29*VLOOKUP('Données projet'!$B$9,Paramètres!$A$1:$I$89,3,0)*0.475*44/12</f>
        <v>3.0113279387668554</v>
      </c>
      <c r="AC29" s="22">
        <f t="shared" si="3"/>
        <v>15.12580139311236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14.166666666666666</v>
      </c>
      <c r="AI29" s="13">
        <f>IF('Données projet'!$A$62&gt;35,AI28+AH29-AQ28,IF(A29&lt;'Données projet'!$A$62,$AF$205^A29,IF(A29='Données projet'!$A$62,'Données projet'!$B$62,AI28+AH29-AQ28)))</f>
        <v>167.33333333333331</v>
      </c>
      <c r="AJ29" s="13">
        <f>AI29*VLOOKUP('Données projet'!$B$10,Paramètres!$A$1:$I$89,3,0)*VLOOKUP('Données projet'!$B$10,Paramètres!$A$1:$I$89,5,0)</f>
        <v>104.416</v>
      </c>
      <c r="AK29" s="13">
        <f t="shared" si="35"/>
        <v>28.01138818767625</v>
      </c>
      <c r="AL29" s="20">
        <f t="shared" si="4"/>
        <v>230.64436776020281</v>
      </c>
      <c r="AM29" s="59">
        <f t="shared" si="5"/>
        <v>523.9777010935361</v>
      </c>
      <c r="AN29" s="59">
        <f ca="1">AVERAGE(OFFSET($AM$3,0,0,'Données projet'!$E$10+1,1))-AVERAGE(OFFSET($H$3,0,0,'Données projet'!$E$10+1,1))</f>
        <v>180.31844548479722</v>
      </c>
      <c r="AO29" s="59">
        <f t="shared" si="36"/>
        <v>273.83237400307223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25.364268995996728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25.364268995996728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2.9235042735042733</v>
      </c>
      <c r="BD29" s="12">
        <f>IF('Données projet'!$A$88&gt;35,BD28+BC29-BL28,IF(A29&lt;'Données projet'!$A$88,$BA$205^A29,IF(A29='Données projet'!$A$88,'Données projet'!$B$88,BD28+BC29-BL28)))</f>
        <v>48.30087400300993</v>
      </c>
      <c r="BE29" s="13">
        <f>BD29*VLOOKUP('Données projet'!$B$11,Paramètres!$A$1:$I$89,3,0)*VLOOKUP('Données projet'!$B$11,Paramètres!$A$1:$I$89,5,0)</f>
        <v>48.97708623905207</v>
      </c>
      <c r="BF29" s="13">
        <f t="shared" si="37"/>
        <v>14.34927076103458</v>
      </c>
      <c r="BG29" s="20">
        <f t="shared" si="7"/>
        <v>110.29340510848425</v>
      </c>
      <c r="BH29" s="59">
        <f t="shared" si="8"/>
        <v>403.62673844181757</v>
      </c>
      <c r="BI29" s="59">
        <f ca="1">AVERAGE(OFFSET($BH$3,0,0,'Données projet'!$E$11+1,1))-AVERAGE(OFFSET($H$3,0,0,'Données projet'!$E$11+1,1))</f>
        <v>264.08050363622294</v>
      </c>
      <c r="BJ29" s="59">
        <f t="shared" si="38"/>
        <v>164.48884512322883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12.635999999999999</v>
      </c>
      <c r="D30" s="11">
        <f t="shared" si="32"/>
        <v>4.3344532450369764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130.99998996168895</v>
      </c>
      <c r="H30" s="67">
        <f t="shared" si="1"/>
        <v>322.8902060684394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16.687912087912089</v>
      </c>
      <c r="N30" s="13">
        <f>IF('Données projet'!$A$36&gt;35,N29+M30-V29,IF(A30&lt;'Données projet'!$A$36,$K$205^A30,IF(A30='Données projet'!$A$36,'Données projet'!$B$36,N29+M30-V29)))</f>
        <v>219.01978021978016</v>
      </c>
      <c r="O30" s="13">
        <f>N30*VLOOKUP('Données projet'!$B$9,Paramètres!$A$1:$I$89,3,0)*VLOOKUP('Données projet'!$B$9,Paramètres!$A$1:$I$89,5,0)</f>
        <v>122.43205714285712</v>
      </c>
      <c r="P30" s="13">
        <f t="shared" si="33"/>
        <v>32.241572593058322</v>
      </c>
      <c r="Q30" s="20">
        <f t="shared" si="2"/>
        <v>269.38990512338603</v>
      </c>
      <c r="R30" s="59">
        <f t="shared" si="0"/>
        <v>562.7232384567194</v>
      </c>
      <c r="S30" s="59">
        <f ca="1">AVERAGE(OFFSET($R$3,0,0,'Données projet'!$E$9+1,1))-AVERAGE(OFFSET($H$3,0,0,'Données projet'!$E$9+1,1))</f>
        <v>254.6443970237226</v>
      </c>
      <c r="T30" s="59">
        <f t="shared" si="34"/>
        <v>231.81667808018062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11.783202540663956</v>
      </c>
      <c r="AB30" s="21">
        <f>EXP(-LN(2)/2)*AB29+(1-EXP(-LN(2)/2))/(LN(2)/2)*V30*Y30*VLOOKUP('Données projet'!$B$9,Paramètres!$A$1:$I$89,3,0)*0.475*44/12</f>
        <v>2.129330405878552</v>
      </c>
      <c r="AC30" s="22">
        <f t="shared" si="3"/>
        <v>13.912532946542507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14.166666666666666</v>
      </c>
      <c r="AI30" s="13">
        <f>IF('Données projet'!$A$62&gt;35,AI29+AH30-AQ29,IF(A30&lt;'Données projet'!$A$62,$AF$205^A30,IF(A30='Données projet'!$A$62,'Données projet'!$B$62,AI29+AH30-AQ29)))</f>
        <v>181.49999999999997</v>
      </c>
      <c r="AJ30" s="13">
        <f>AI30*VLOOKUP('Données projet'!$B$10,Paramètres!$A$1:$I$89,3,0)*VLOOKUP('Données projet'!$B$10,Paramètres!$A$1:$I$89,5,0)</f>
        <v>113.25599999999997</v>
      </c>
      <c r="AK30" s="13">
        <f t="shared" si="35"/>
        <v>30.096816336106439</v>
      </c>
      <c r="AL30" s="20">
        <f t="shared" si="4"/>
        <v>249.67282178538531</v>
      </c>
      <c r="AM30" s="59">
        <f t="shared" si="5"/>
        <v>543.00615511871865</v>
      </c>
      <c r="AN30" s="59">
        <f ca="1">AVERAGE(OFFSET($AM$3,0,0,'Données projet'!$E$10+1,1))-AVERAGE(OFFSET($H$3,0,0,'Données projet'!$E$10+1,1))</f>
        <v>180.31844548479722</v>
      </c>
      <c r="AO30" s="59">
        <f t="shared" si="36"/>
        <v>273.83237400307223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24.670681726452262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24.670681726452262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2.9235042735042733</v>
      </c>
      <c r="BD30" s="12">
        <f>IF('Données projet'!$A$88&gt;35,BD29+BC30-BL29,IF(A30&lt;'Données projet'!$A$88,$BA$205^A30,IF(A30='Données projet'!$A$88,'Données projet'!$B$88,BD29+BC30-BL29)))</f>
        <v>56.068958494210662</v>
      </c>
      <c r="BE30" s="13">
        <f>BD30*VLOOKUP('Données projet'!$B$11,Paramètres!$A$1:$I$89,3,0)*VLOOKUP('Données projet'!$B$11,Paramètres!$A$1:$I$89,5,0)</f>
        <v>56.853923913129613</v>
      </c>
      <c r="BF30" s="13">
        <f t="shared" si="37"/>
        <v>16.370366147143088</v>
      </c>
      <c r="BG30" s="20">
        <f t="shared" si="7"/>
        <v>127.53230518830827</v>
      </c>
      <c r="BH30" s="59">
        <f t="shared" si="8"/>
        <v>420.86563852164159</v>
      </c>
      <c r="BI30" s="59">
        <f ca="1">AVERAGE(OFFSET($BH$3,0,0,'Données projet'!$E$11+1,1))-AVERAGE(OFFSET($H$3,0,0,'Données projet'!$E$11+1,1))</f>
        <v>264.08050363622294</v>
      </c>
      <c r="BJ30" s="59">
        <f t="shared" si="38"/>
        <v>164.48884512322883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13.103999999999999</v>
      </c>
      <c r="D31" s="11">
        <f t="shared" si="32"/>
        <v>4.4760006109979793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135.70526787437038</v>
      </c>
      <c r="H31" s="67">
        <f t="shared" si="1"/>
        <v>323.95183439748814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235.7076923076923</v>
      </c>
      <c r="L31" s="12">
        <f>VLOOKUP(A31,'Données projet'!$A$35:$I$55,9,0)</f>
        <v>16.687912087912089</v>
      </c>
      <c r="M31" s="12">
        <f t="array" ref="M31">INDEX(L:L,MIN(IF(ISNUMBER(L31:L227),ROW(L31:L227),"")))</f>
        <v>16.687912087912089</v>
      </c>
      <c r="N31" s="13">
        <f>IF('Données projet'!$A$36&gt;35,N30+M31-V30,IF(A31&lt;'Données projet'!$A$36,$K$205^A31,IF(A31='Données projet'!$A$36,'Données projet'!$B$36,N30+M31-V30)))</f>
        <v>235.70769230769224</v>
      </c>
      <c r="O31" s="13">
        <f>N31*VLOOKUP('Données projet'!$B$9,Paramètres!$A$1:$I$89,3,0)*VLOOKUP('Données projet'!$B$9,Paramètres!$A$1:$I$89,5,0)</f>
        <v>131.76059999999995</v>
      </c>
      <c r="P31" s="13">
        <f t="shared" si="33"/>
        <v>34.402863243711892</v>
      </c>
      <c r="Q31" s="20">
        <f t="shared" si="2"/>
        <v>289.40136514946477</v>
      </c>
      <c r="R31" s="59">
        <f t="shared" si="0"/>
        <v>582.73469848279808</v>
      </c>
      <c r="S31" s="59">
        <f ca="1">AVERAGE(OFFSET($R$3,0,0,'Données projet'!$E$9+1,1))-AVERAGE(OFFSET($H$3,0,0,'Données projet'!$E$9+1,1))</f>
        <v>254.6443970237226</v>
      </c>
      <c r="T31" s="59">
        <f t="shared" si="34"/>
        <v>231.81667808018062</v>
      </c>
      <c r="U31" s="15">
        <f>IF(ISNA(VLOOKUP(A31,'Données projet'!$A$35:$I$55,3,0)),0,VLOOKUP(A31,'Données projet'!$A$35:$I$55,3,0))</f>
        <v>2</v>
      </c>
      <c r="V31" s="15">
        <f>IF(ISNA(VLOOKUP(A31,'Données projet'!$A$35:$I$55,4,0)),0,VLOOKUP(A31,'Données projet'!$A$35:$I$55,4,0))</f>
        <v>56.91538461538461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0.30800000000000005</v>
      </c>
      <c r="Y31" s="16">
        <f>IF(ISNA(VLOOKUP(A31,'Données projet'!$A$35:$I$55,7,0)),0%,VLOOKUP(A31,'Données projet'!$A$35:$I$55,7,0))</f>
        <v>0.44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24.409124618308635</v>
      </c>
      <c r="AB31" s="21">
        <f>EXP(-LN(2)/2)*AB30+(1-EXP(-LN(2)/2))/(LN(2)/2)*V31*Y31*VLOOKUP('Données projet'!$B$9,Paramètres!$A$1:$I$89,3,0)*0.475*44/12</f>
        <v>17.355679737085048</v>
      </c>
      <c r="AC31" s="22">
        <f t="shared" si="3"/>
        <v>41.764804355393679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14.166666666666666</v>
      </c>
      <c r="AI31" s="13">
        <f>IF('Données projet'!$A$62&gt;35,AI30+AH31-AQ30,IF(A31&lt;'Données projet'!$A$62,$AF$205^A31,IF(A31='Données projet'!$A$62,'Données projet'!$B$62,AI30+AH31-AQ30)))</f>
        <v>195.66666666666663</v>
      </c>
      <c r="AJ31" s="13">
        <f>AI31*VLOOKUP('Données projet'!$B$10,Paramètres!$A$1:$I$89,3,0)*VLOOKUP('Données projet'!$B$10,Paramètres!$A$1:$I$89,5,0)</f>
        <v>122.09599999999998</v>
      </c>
      <c r="AK31" s="13">
        <f t="shared" si="35"/>
        <v>32.163363121463028</v>
      </c>
      <c r="AL31" s="20">
        <f t="shared" si="4"/>
        <v>268.6683907698814</v>
      </c>
      <c r="AM31" s="59">
        <f t="shared" si="5"/>
        <v>562.00172410321466</v>
      </c>
      <c r="AN31" s="59">
        <f ca="1">AVERAGE(OFFSET($AM$3,0,0,'Données projet'!$E$10+1,1))-AVERAGE(OFFSET($H$3,0,0,'Données projet'!$E$10+1,1))</f>
        <v>180.31844548479722</v>
      </c>
      <c r="AO31" s="59">
        <f t="shared" si="36"/>
        <v>273.83237400307223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23.996060637267657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23.996060637267657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2.9235042735042733</v>
      </c>
      <c r="BD31" s="12">
        <f>IF('Données projet'!$A$88&gt;35,BD30+BC31-BL30,IF(A31&lt;'Données projet'!$A$88,$BA$205^A31,IF(A31='Données projet'!$A$88,'Données projet'!$B$88,BD30+BC31-BL30)))</f>
        <v>65.086360682202411</v>
      </c>
      <c r="BE31" s="13">
        <f>BD31*VLOOKUP('Données projet'!$B$11,Paramètres!$A$1:$I$89,3,0)*VLOOKUP('Données projet'!$B$11,Paramètres!$A$1:$I$89,5,0)</f>
        <v>65.997569731753245</v>
      </c>
      <c r="BF31" s="13">
        <f t="shared" si="37"/>
        <v>18.67613290281286</v>
      </c>
      <c r="BG31" s="20">
        <f t="shared" si="7"/>
        <v>147.47336542186929</v>
      </c>
      <c r="BH31" s="59">
        <f t="shared" si="8"/>
        <v>440.8066987552026</v>
      </c>
      <c r="BI31" s="59">
        <f ca="1">AVERAGE(OFFSET($BH$3,0,0,'Données projet'!$E$11+1,1))-AVERAGE(OFFSET($H$3,0,0,'Données projet'!$E$11+1,1))</f>
        <v>264.08050363622294</v>
      </c>
      <c r="BJ31" s="59">
        <f t="shared" si="38"/>
        <v>164.48884512322883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13.571999999999999</v>
      </c>
      <c r="D32" s="11">
        <f t="shared" si="32"/>
        <v>4.6169606338501863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140.40601191042251</v>
      </c>
      <c r="H32" s="67">
        <f t="shared" si="1"/>
        <v>325.01243977062239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18.099999999999994</v>
      </c>
      <c r="N32" s="13">
        <f>IF('Données projet'!$A$36&gt;35,N31+M32-V31,IF(A32&lt;'Données projet'!$A$36,$K$205^A32,IF(A32='Données projet'!$A$36,'Données projet'!$B$36,N31+M32-V31)))</f>
        <v>196.89230769230761</v>
      </c>
      <c r="O32" s="13">
        <f>N32*VLOOKUP('Données projet'!$B$9,Paramètres!$A$1:$I$89,3,0)*VLOOKUP('Données projet'!$B$9,Paramètres!$A$1:$I$89,5,0)</f>
        <v>110.06279999999995</v>
      </c>
      <c r="P32" s="13">
        <f t="shared" si="33"/>
        <v>29.345780250854357</v>
      </c>
      <c r="Q32" s="20">
        <f t="shared" si="2"/>
        <v>242.80327727023788</v>
      </c>
      <c r="R32" s="59">
        <f t="shared" si="0"/>
        <v>536.13661060357117</v>
      </c>
      <c r="S32" s="59">
        <f ca="1">AVERAGE(OFFSET($R$3,0,0,'Données projet'!$E$9+1,1))-AVERAGE(OFFSET($H$3,0,0,'Données projet'!$E$9+1,1))</f>
        <v>254.6443970237226</v>
      </c>
      <c r="T32" s="59">
        <f t="shared" si="34"/>
        <v>231.81667808018062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23.741655822000908</v>
      </c>
      <c r="AB32" s="21">
        <f>EXP(-LN(2)/2)*AB31+(1-EXP(-LN(2)/2))/(LN(2)/2)*V32*Y32*VLOOKUP('Données projet'!$B$9,Paramètres!$A$1:$I$89,3,0)*0.475*44/12</f>
        <v>12.272318834194794</v>
      </c>
      <c r="AC32" s="22">
        <f t="shared" si="3"/>
        <v>36.0139746561957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14.166666666666666</v>
      </c>
      <c r="AI32" s="13">
        <f>IF('Données projet'!$A$62&gt;35,AI31+AH32-AQ31,IF(A32&lt;'Données projet'!$A$62,$AF$205^A32,IF(A32='Données projet'!$A$62,'Données projet'!$B$62,AI31+AH32-AQ31)))</f>
        <v>209.83333333333329</v>
      </c>
      <c r="AJ32" s="13">
        <f>AI32*VLOOKUP('Données projet'!$B$10,Paramètres!$A$1:$I$89,3,0)*VLOOKUP('Données projet'!$B$10,Paramètres!$A$1:$I$89,5,0)</f>
        <v>130.93599999999998</v>
      </c>
      <c r="AK32" s="13">
        <f t="shared" si="35"/>
        <v>34.21255106176632</v>
      </c>
      <c r="AL32" s="20">
        <f t="shared" si="4"/>
        <v>287.63372643257628</v>
      </c>
      <c r="AM32" s="59">
        <f t="shared" si="5"/>
        <v>580.96705976590965</v>
      </c>
      <c r="AN32" s="59">
        <f ca="1">AVERAGE(OFFSET($AM$3,0,0,'Données projet'!$E$10+1,1))-AVERAGE(OFFSET($H$3,0,0,'Données projet'!$E$10+1,1))</f>
        <v>180.31844548479722</v>
      </c>
      <c r="AO32" s="59">
        <f t="shared" si="36"/>
        <v>273.83237400307223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23.339887097243587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23.339887097243587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2.9235042735042733</v>
      </c>
      <c r="BD32" s="12">
        <f>IF('Données projet'!$A$88&gt;35,BD31+BC32-BL31,IF(A32&lt;'Données projet'!$A$88,$BA$205^A32,IF(A32='Données projet'!$A$88,'Données projet'!$B$88,BD31+BC32-BL31)))</f>
        <v>75.55400457975604</v>
      </c>
      <c r="BE32" s="13">
        <f>BD32*VLOOKUP('Données projet'!$B$11,Paramètres!$A$1:$I$89,3,0)*VLOOKUP('Données projet'!$B$11,Paramètres!$A$1:$I$89,5,0)</f>
        <v>76.611760643872628</v>
      </c>
      <c r="BF32" s="13">
        <f t="shared" si="37"/>
        <v>21.306667002338269</v>
      </c>
      <c r="BG32" s="20">
        <f t="shared" si="7"/>
        <v>170.54126148381732</v>
      </c>
      <c r="BH32" s="59">
        <f t="shared" si="8"/>
        <v>463.87459481715064</v>
      </c>
      <c r="BI32" s="59">
        <f ca="1">AVERAGE(OFFSET($BH$3,0,0,'Données projet'!$E$11+1,1))-AVERAGE(OFFSET($H$3,0,0,'Données projet'!$E$11+1,1))</f>
        <v>264.08050363622294</v>
      </c>
      <c r="BJ32" s="59">
        <f t="shared" si="38"/>
        <v>164.48884512322883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14.04</v>
      </c>
      <c r="D33" s="11">
        <f t="shared" si="32"/>
        <v>4.75735588805329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145.10239632883244</v>
      </c>
      <c r="H33" s="67">
        <f t="shared" si="1"/>
        <v>326.07206150502611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214.99230769230769</v>
      </c>
      <c r="L33" s="12">
        <f>VLOOKUP(A33,'Données projet'!$A$35:$I$55,9,0)</f>
        <v>18.099999999999994</v>
      </c>
      <c r="M33" s="12">
        <f t="array" ref="M33">INDEX(L:L,MIN(IF(ISNUMBER(L33:L229),ROW(L33:L229),"")))</f>
        <v>18.099999999999994</v>
      </c>
      <c r="N33" s="13">
        <f>IF('Données projet'!$A$36&gt;35,N32+M33-V32,IF(A33&lt;'Données projet'!$A$36,$K$205^A33,IF(A33='Données projet'!$A$36,'Données projet'!$B$36,N32+M33-V32)))</f>
        <v>214.99230769230761</v>
      </c>
      <c r="O33" s="13">
        <f>N33*VLOOKUP('Données projet'!$B$9,Paramètres!$A$1:$I$89,3,0)*VLOOKUP('Données projet'!$B$9,Paramètres!$A$1:$I$89,5,0)</f>
        <v>120.18069999999996</v>
      </c>
      <c r="P33" s="13">
        <f t="shared" si="33"/>
        <v>31.717140910166616</v>
      </c>
      <c r="Q33" s="20">
        <f t="shared" si="2"/>
        <v>264.55540625187342</v>
      </c>
      <c r="R33" s="59">
        <f t="shared" si="0"/>
        <v>557.88873958520674</v>
      </c>
      <c r="S33" s="59">
        <f ca="1">AVERAGE(OFFSET($R$3,0,0,'Données projet'!$E$9+1,1))-AVERAGE(OFFSET($H$3,0,0,'Données projet'!$E$9+1,1))</f>
        <v>254.6443970237226</v>
      </c>
      <c r="T33" s="59">
        <f t="shared" si="34"/>
        <v>231.81667808018062</v>
      </c>
      <c r="U33" s="15" t="str">
        <f>IF(ISNA(VLOOKUP(A33,'Données projet'!$A$35:$I$55,3,0)),0,VLOOKUP(A33,'Données projet'!$A$35:$I$55,3,0))</f>
        <v>na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23.092438995028875</v>
      </c>
      <c r="AB33" s="21">
        <f>EXP(-LN(2)/2)*AB32+(1-EXP(-LN(2)/2))/(LN(2)/2)*V33*Y33*VLOOKUP('Données projet'!$B$9,Paramètres!$A$1:$I$89,3,0)*0.475*44/12</f>
        <v>8.6778398685425238</v>
      </c>
      <c r="AC33" s="22">
        <f t="shared" si="3"/>
        <v>31.770278863571399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224</v>
      </c>
      <c r="AG33" s="12">
        <f>VLOOKUP(A33,'Données projet'!$A$61:$I$81,9,0)</f>
        <v>14.166666666666666</v>
      </c>
      <c r="AH33" s="12">
        <f t="array" ref="AH33">INDEX(AG:AG,MIN(IF(ISNUMBER(AG33:AG229),ROW(AG33:AG229),"")))</f>
        <v>14.166666666666666</v>
      </c>
      <c r="AI33" s="13">
        <f>IF('Données projet'!$A$62&gt;35,AI32+AH33-AQ32,IF(A33&lt;'Données projet'!$A$62,$AF$205^A33,IF(A33='Données projet'!$A$62,'Données projet'!$B$62,AI32+AH33-AQ32)))</f>
        <v>223.99999999999994</v>
      </c>
      <c r="AJ33" s="13">
        <f>AI33*VLOOKUP('Données projet'!$B$10,Paramètres!$A$1:$I$89,3,0)*VLOOKUP('Données projet'!$B$10,Paramètres!$A$1:$I$89,5,0)</f>
        <v>139.77599999999995</v>
      </c>
      <c r="AK33" s="13">
        <f t="shared" si="35"/>
        <v>36.245685459195258</v>
      </c>
      <c r="AL33" s="20">
        <f t="shared" si="4"/>
        <v>306.57110217476503</v>
      </c>
      <c r="AM33" s="59">
        <f t="shared" si="5"/>
        <v>599.90443550809835</v>
      </c>
      <c r="AN33" s="59">
        <f ca="1">AVERAGE(OFFSET($AM$3,0,0,'Données projet'!$E$10+1,1))-AVERAGE(OFFSET($H$3,0,0,'Données projet'!$E$10+1,1))</f>
        <v>180.31844548479722</v>
      </c>
      <c r="AO33" s="59">
        <f t="shared" si="36"/>
        <v>273.83237400307223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53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0.48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43.677367860291142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43.677367860291142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87.705128205128204</v>
      </c>
      <c r="BB33" s="12">
        <f>VLOOKUP(A33,'Données projet'!$A$87:$I$107,9,0)</f>
        <v>2.9235042735042733</v>
      </c>
      <c r="BC33" s="12">
        <f t="array" ref="BC33">INDEX(BB:BB,MIN(IF(ISNUMBER(BB33:BB229),ROW(BB33:BB229),"")))</f>
        <v>2.9235042735042733</v>
      </c>
      <c r="BD33" s="12">
        <f>IF('Données projet'!$A$88&gt;35,BD32+BC33-BL32,IF(A33&lt;'Données projet'!$A$88,$BA$205^A33,IF(A33='Données projet'!$A$88,'Données projet'!$B$88,BD32+BC33-BL32)))</f>
        <v>87.705128205128204</v>
      </c>
      <c r="BE33" s="13">
        <f>BD33*VLOOKUP('Données projet'!$B$11,Paramètres!$A$1:$I$89,3,0)*VLOOKUP('Données projet'!$B$11,Paramètres!$A$1:$I$89,5,0)</f>
        <v>88.933000000000007</v>
      </c>
      <c r="BF33" s="13">
        <f t="shared" si="37"/>
        <v>24.307711939667918</v>
      </c>
      <c r="BG33" s="20">
        <f t="shared" si="7"/>
        <v>197.22757329492163</v>
      </c>
      <c r="BH33" s="59">
        <f t="shared" si="8"/>
        <v>490.56090662825494</v>
      </c>
      <c r="BI33" s="59">
        <f ca="1">AVERAGE(OFFSET($BH$3,0,0,'Données projet'!$E$11+1,1))-AVERAGE(OFFSET($H$3,0,0,'Données projet'!$E$11+1,1))</f>
        <v>264.08050363622294</v>
      </c>
      <c r="BJ33" s="59">
        <f t="shared" si="38"/>
        <v>164.48884512322883</v>
      </c>
      <c r="BK33" s="15" t="str">
        <f>IF(ISNA(VLOOKUP(A33,'Données projet'!$A$87:$I$107,3,0)),0,VLOOKUP(A33,'Données projet'!$A$87:$I$107,3,0))</f>
        <v>na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14.507999999999999</v>
      </c>
      <c r="D34" s="11">
        <f t="shared" si="32"/>
        <v>4.8972073577041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149.79458311210183</v>
      </c>
      <c r="H34" s="67">
        <f t="shared" si="1"/>
        <v>327.13073614800129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18.100000000000001</v>
      </c>
      <c r="N34" s="13">
        <f>IF('Données projet'!$A$36&gt;35,N33+M34-V33,IF(A34&lt;'Données projet'!$A$36,$K$205^A34,IF(A34='Données projet'!$A$36,'Données projet'!$B$36,N33+M34-V33)))</f>
        <v>233.0923076923076</v>
      </c>
      <c r="O34" s="13">
        <f>N34*VLOOKUP('Données projet'!$B$9,Paramètres!$A$1:$I$89,3,0)*VLOOKUP('Données projet'!$B$9,Paramètres!$A$1:$I$89,5,0)</f>
        <v>130.29859999999994</v>
      </c>
      <c r="P34" s="13">
        <f t="shared" si="33"/>
        <v>34.065347809437171</v>
      </c>
      <c r="Q34" s="20">
        <f t="shared" si="2"/>
        <v>286.26720910143626</v>
      </c>
      <c r="R34" s="59">
        <f t="shared" si="0"/>
        <v>579.60054243476952</v>
      </c>
      <c r="S34" s="59">
        <f ca="1">AVERAGE(OFFSET($R$3,0,0,'Données projet'!$E$9+1,1))-AVERAGE(OFFSET($H$3,0,0,'Données projet'!$E$9+1,1))</f>
        <v>254.6443970237226</v>
      </c>
      <c r="T34" s="59">
        <f t="shared" si="34"/>
        <v>231.81667808018062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22.460975036331224</v>
      </c>
      <c r="AB34" s="21">
        <f>EXP(-LN(2)/2)*AB33+(1-EXP(-LN(2)/2))/(LN(2)/2)*V34*Y34*VLOOKUP('Données projet'!$B$9,Paramètres!$A$1:$I$89,3,0)*0.475*44/12</f>
        <v>6.1361594170973968</v>
      </c>
      <c r="AC34" s="22">
        <f t="shared" si="3"/>
        <v>28.59713445342862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12.833333333333334</v>
      </c>
      <c r="AI34" s="13">
        <f>IF('Données projet'!$A$62&gt;35,AI33+AH34-AQ33,IF(A34&lt;'Données projet'!$A$62,$AF$205^A34,IF(A34='Données projet'!$A$62,'Données projet'!$B$62,AI33+AH34-AQ33)))</f>
        <v>183.83333333333329</v>
      </c>
      <c r="AJ34" s="13">
        <f>AI34*VLOOKUP('Données projet'!$B$10,Paramètres!$A$1:$I$89,3,0)*VLOOKUP('Données projet'!$B$10,Paramètres!$A$1:$I$89,5,0)</f>
        <v>114.71199999999997</v>
      </c>
      <c r="AK34" s="13">
        <f t="shared" si="35"/>
        <v>30.438443898016164</v>
      </c>
      <c r="AL34" s="20">
        <f t="shared" si="4"/>
        <v>252.80368978904474</v>
      </c>
      <c r="AM34" s="59">
        <f t="shared" si="5"/>
        <v>546.13702312237808</v>
      </c>
      <c r="AN34" s="59">
        <f ca="1">AVERAGE(OFFSET($AM$3,0,0,'Données projet'!$E$10+1,1))-AVERAGE(OFFSET($H$3,0,0,'Données projet'!$E$10+1,1))</f>
        <v>180.31844548479722</v>
      </c>
      <c r="AO34" s="59">
        <f t="shared" si="36"/>
        <v>273.83237400307223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42.483007939258528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42.483007939258528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5.3369963369963358</v>
      </c>
      <c r="BD34" s="12">
        <f>IF('Données projet'!$A$88&gt;35,BD33+BC34-BL33,IF(A34&lt;'Données projet'!$A$88,$BA$205^A34,IF(A34='Données projet'!$A$88,'Données projet'!$B$88,BD33+BC34-BL33)))</f>
        <v>93.04212454212454</v>
      </c>
      <c r="BE34" s="13">
        <f>BD34*VLOOKUP('Données projet'!$B$11,Paramètres!$A$1:$I$89,3,0)*VLOOKUP('Données projet'!$B$11,Paramètres!$A$1:$I$89,5,0)</f>
        <v>94.344714285714289</v>
      </c>
      <c r="BF34" s="13">
        <f t="shared" si="37"/>
        <v>25.610173041635999</v>
      </c>
      <c r="BG34" s="20">
        <f t="shared" si="7"/>
        <v>208.92142876180176</v>
      </c>
      <c r="BH34" s="59">
        <f t="shared" si="8"/>
        <v>502.25476209513511</v>
      </c>
      <c r="BI34" s="59">
        <f ca="1">AVERAGE(OFFSET($BH$3,0,0,'Données projet'!$E$11+1,1))-AVERAGE(OFFSET($H$3,0,0,'Données projet'!$E$11+1,1))</f>
        <v>264.08050363622294</v>
      </c>
      <c r="BJ34" s="59">
        <f t="shared" si="38"/>
        <v>164.48884512322883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14.975999999999999</v>
      </c>
      <c r="D35" s="11">
        <f t="shared" si="32"/>
        <v>5.0365345962274297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154.48272319894858</v>
      </c>
      <c r="H35" s="67">
        <f t="shared" si="1"/>
        <v>328.18849775509608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18.100000000000001</v>
      </c>
      <c r="N35" s="13">
        <f>IF('Données projet'!$A$36&gt;35,N34+M35-V34,IF(A35&lt;'Données projet'!$A$36,$K$205^A35,IF(A35='Données projet'!$A$36,'Données projet'!$B$36,N34+M35-V34)))</f>
        <v>251.19230769230759</v>
      </c>
      <c r="O35" s="13">
        <f>N35*VLOOKUP('Données projet'!$B$9,Paramètres!$A$1:$I$89,3,0)*VLOOKUP('Données projet'!$B$9,Paramètres!$A$1:$I$89,5,0)</f>
        <v>140.41649999999996</v>
      </c>
      <c r="P35" s="13">
        <f t="shared" si="33"/>
        <v>36.392403294074647</v>
      </c>
      <c r="Q35" s="20">
        <f t="shared" ref="Q35:Q66" si="53">(O35+P35)*0.475*44/12</f>
        <v>307.94217323717993</v>
      </c>
      <c r="R35" s="59">
        <f t="shared" si="0"/>
        <v>601.27550657051324</v>
      </c>
      <c r="S35" s="59">
        <f ca="1">AVERAGE(OFFSET($R$3,0,0,'Données projet'!$E$9+1,1))-AVERAGE(OFFSET($H$3,0,0,'Données projet'!$E$9+1,1))</f>
        <v>254.6443970237226</v>
      </c>
      <c r="T35" s="59">
        <f t="shared" si="34"/>
        <v>231.81667808018062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21.846778492791405</v>
      </c>
      <c r="AB35" s="21">
        <f>EXP(-LN(2)/2)*AB34+(1-EXP(-LN(2)/2))/(LN(2)/2)*V35*Y35*VLOOKUP('Données projet'!$B$9,Paramètres!$A$1:$I$89,3,0)*0.475*44/12</f>
        <v>4.3389199342712619</v>
      </c>
      <c r="AC35" s="22">
        <f t="shared" si="3"/>
        <v>26.185698427062668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12.833333333333334</v>
      </c>
      <c r="AI35" s="13">
        <f>IF('Données projet'!$A$62&gt;35,AI34+AH35-AQ34,IF(A35&lt;'Données projet'!$A$62,$AF$205^A35,IF(A35='Données projet'!$A$62,'Données projet'!$B$62,AI34+AH35-AQ34)))</f>
        <v>196.66666666666663</v>
      </c>
      <c r="AJ35" s="13">
        <f>AI35*VLOOKUP('Données projet'!$B$10,Paramètres!$A$1:$I$89,3,0)*VLOOKUP('Données projet'!$B$10,Paramètres!$A$1:$I$89,5,0)</f>
        <v>122.71999999999997</v>
      </c>
      <c r="AK35" s="13">
        <f t="shared" si="35"/>
        <v>32.308564708068729</v>
      </c>
      <c r="AL35" s="20">
        <f t="shared" si="4"/>
        <v>270.00808353321963</v>
      </c>
      <c r="AM35" s="59">
        <f t="shared" si="5"/>
        <v>563.34141686655289</v>
      </c>
      <c r="AN35" s="59">
        <f ca="1">AVERAGE(OFFSET($AM$3,0,0,'Données projet'!$E$10+1,1))-AVERAGE(OFFSET($H$3,0,0,'Données projet'!$E$10+1,1))</f>
        <v>180.31844548479722</v>
      </c>
      <c r="AO35" s="59">
        <f t="shared" si="36"/>
        <v>273.83237400307223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41.321307853075211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41.321307853075211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5.3369963369963358</v>
      </c>
      <c r="BD35" s="12">
        <f>IF('Données projet'!$A$88&gt;35,BD34+BC35-BL34,IF(A35&lt;'Données projet'!$A$88,$BA$205^A35,IF(A35='Données projet'!$A$88,'Données projet'!$B$88,BD34+BC35-BL34)))</f>
        <v>98.379120879120876</v>
      </c>
      <c r="BE35" s="13">
        <f>BD35*VLOOKUP('Données projet'!$B$11,Paramètres!$A$1:$I$89,3,0)*VLOOKUP('Données projet'!$B$11,Paramètres!$A$1:$I$89,5,0)</f>
        <v>99.756428571428572</v>
      </c>
      <c r="BF35" s="13">
        <f t="shared" si="37"/>
        <v>26.903961780895703</v>
      </c>
      <c r="BG35" s="20">
        <f t="shared" si="7"/>
        <v>220.60017986363141</v>
      </c>
      <c r="BH35" s="59">
        <f t="shared" si="8"/>
        <v>513.93351319696467</v>
      </c>
      <c r="BI35" s="59">
        <f ca="1">AVERAGE(OFFSET($BH$3,0,0,'Données projet'!$E$11+1,1))-AVERAGE(OFFSET($H$3,0,0,'Données projet'!$E$11+1,1))</f>
        <v>264.08050363622294</v>
      </c>
      <c r="BJ35" s="59">
        <f t="shared" si="38"/>
        <v>164.48884512322883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15.443999999999999</v>
      </c>
      <c r="D36" s="11">
        <f t="shared" si="32"/>
        <v>5.1753558655448444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159.16695755859178</v>
      </c>
      <c r="H36" s="67">
        <f t="shared" si="1"/>
        <v>329.2453781324906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18.100000000000001</v>
      </c>
      <c r="N36" s="13">
        <f>IF('Données projet'!$A$36&gt;35,N35+M36-V35,IF(A36&lt;'Données projet'!$A$36,$K$205^A36,IF(A36='Données projet'!$A$36,'Données projet'!$B$36,N35+M36-V35)))</f>
        <v>269.29230769230759</v>
      </c>
      <c r="O36" s="13">
        <f>N36*VLOOKUP('Données projet'!$B$9,Paramètres!$A$1:$I$89,3,0)*VLOOKUP('Données projet'!$B$9,Paramètres!$A$1:$I$89,5,0)</f>
        <v>150.53439999999995</v>
      </c>
      <c r="P36" s="13">
        <f t="shared" si="33"/>
        <v>38.700004790658191</v>
      </c>
      <c r="Q36" s="20">
        <f t="shared" si="53"/>
        <v>329.58325501039627</v>
      </c>
      <c r="R36" s="59">
        <f t="shared" si="0"/>
        <v>622.91658834372959</v>
      </c>
      <c r="S36" s="59">
        <f ca="1">AVERAGE(OFFSET($R$3,0,0,'Données projet'!$E$9+1,1))-AVERAGE(OFFSET($H$3,0,0,'Données projet'!$E$9+1,1))</f>
        <v>254.6443970237226</v>
      </c>
      <c r="T36" s="59">
        <f t="shared" si="34"/>
        <v>231.81667808018062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21.249377186033875</v>
      </c>
      <c r="AB36" s="21">
        <f>EXP(-LN(2)/2)*AB35+(1-EXP(-LN(2)/2))/(LN(2)/2)*V36*Y36*VLOOKUP('Données projet'!$B$9,Paramètres!$A$1:$I$89,3,0)*0.475*44/12</f>
        <v>3.0680797085486984</v>
      </c>
      <c r="AC36" s="22">
        <f t="shared" si="3"/>
        <v>24.317456894582573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12.833333333333334</v>
      </c>
      <c r="AI36" s="13">
        <f>IF('Données projet'!$A$62&gt;35,AI35+AH36-AQ35,IF(A36&lt;'Données projet'!$A$62,$AF$205^A36,IF(A36='Données projet'!$A$62,'Données projet'!$B$62,AI35+AH36-AQ35)))</f>
        <v>209.49999999999997</v>
      </c>
      <c r="AJ36" s="13">
        <f>AI36*VLOOKUP('Données projet'!$B$10,Paramètres!$A$1:$I$89,3,0)*VLOOKUP('Données projet'!$B$10,Paramètres!$A$1:$I$89,5,0)</f>
        <v>130.72799999999998</v>
      </c>
      <c r="AK36" s="13">
        <f t="shared" si="35"/>
        <v>34.164524045585857</v>
      </c>
      <c r="AL36" s="20">
        <f t="shared" si="4"/>
        <v>287.18781271272866</v>
      </c>
      <c r="AM36" s="59">
        <f t="shared" si="5"/>
        <v>580.52114604606197</v>
      </c>
      <c r="AN36" s="59">
        <f ca="1">AVERAGE(OFFSET($AM$3,0,0,'Données projet'!$E$10+1,1))-AVERAGE(OFFSET($H$3,0,0,'Données projet'!$E$10+1,1))</f>
        <v>180.31844548479722</v>
      </c>
      <c r="AO36" s="59">
        <f t="shared" si="36"/>
        <v>273.83237400307223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40.19137451683973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40.19137451683973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5.3369963369963358</v>
      </c>
      <c r="BD36" s="12">
        <f>IF('Données projet'!$A$88&gt;35,BD35+BC36-BL35,IF(A36&lt;'Données projet'!$A$88,$BA$205^A36,IF(A36='Données projet'!$A$88,'Données projet'!$B$88,BD35+BC36-BL35)))</f>
        <v>103.71611721611721</v>
      </c>
      <c r="BE36" s="13">
        <f>BD36*VLOOKUP('Données projet'!$B$11,Paramètres!$A$1:$I$89,3,0)*VLOOKUP('Données projet'!$B$11,Paramètres!$A$1:$I$89,5,0)</f>
        <v>105.16814285714285</v>
      </c>
      <c r="BF36" s="13">
        <f t="shared" si="37"/>
        <v>28.189602262365472</v>
      </c>
      <c r="BG36" s="20">
        <f t="shared" si="7"/>
        <v>232.264739416477</v>
      </c>
      <c r="BH36" s="59">
        <f t="shared" si="8"/>
        <v>525.59807274981029</v>
      </c>
      <c r="BI36" s="59">
        <f ca="1">AVERAGE(OFFSET($BH$3,0,0,'Données projet'!$E$11+1,1))-AVERAGE(OFFSET($H$3,0,0,'Données projet'!$E$11+1,1))</f>
        <v>264.08050363622294</v>
      </c>
      <c r="BJ36" s="59">
        <f t="shared" si="38"/>
        <v>164.48884512322883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15.911999999999999</v>
      </c>
      <c r="D37" s="11">
        <f t="shared" si="32"/>
        <v>5.3136882579005116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163.84741813116185</v>
      </c>
      <c r="H37" s="67">
        <f t="shared" si="1"/>
        <v>330.3014070491767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18.100000000000001</v>
      </c>
      <c r="N37" s="13">
        <f>IF('Données projet'!$A$36&gt;35,N36+M37-V36,IF(A37&lt;'Données projet'!$A$36,$K$205^A37,IF(A37='Données projet'!$A$36,'Données projet'!$B$36,N36+M37-V36)))</f>
        <v>287.39230769230761</v>
      </c>
      <c r="O37" s="13">
        <f>N37*VLOOKUP('Données projet'!$B$9,Paramètres!$A$1:$I$89,3,0)*VLOOKUP('Données projet'!$B$9,Paramètres!$A$1:$I$89,5,0)</f>
        <v>160.65229999999994</v>
      </c>
      <c r="P37" s="13">
        <f t="shared" si="33"/>
        <v>40.989608635643791</v>
      </c>
      <c r="Q37" s="20">
        <f t="shared" si="53"/>
        <v>351.19299087374617</v>
      </c>
      <c r="R37" s="59">
        <f t="shared" si="0"/>
        <v>644.52632420707948</v>
      </c>
      <c r="S37" s="59">
        <f ca="1">AVERAGE(OFFSET($R$3,0,0,'Données projet'!$E$9+1,1))-AVERAGE(OFFSET($H$3,0,0,'Données projet'!$E$9+1,1))</f>
        <v>254.6443970237226</v>
      </c>
      <c r="T37" s="59">
        <f t="shared" si="34"/>
        <v>231.81667808018062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20.668311849425599</v>
      </c>
      <c r="AB37" s="21">
        <f>EXP(-LN(2)/2)*AB36+(1-EXP(-LN(2)/2))/(LN(2)/2)*V37*Y37*VLOOKUP('Données projet'!$B$9,Paramètres!$A$1:$I$89,3,0)*0.475*44/12</f>
        <v>2.1694599671356309</v>
      </c>
      <c r="AC37" s="22">
        <f t="shared" si="3"/>
        <v>22.837771816561229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12.833333333333334</v>
      </c>
      <c r="AI37" s="13">
        <f>IF('Données projet'!$A$62&gt;35,AI36+AH37-AQ36,IF(A37&lt;'Données projet'!$A$62,$AF$205^A37,IF(A37='Données projet'!$A$62,'Données projet'!$B$62,AI36+AH37-AQ36)))</f>
        <v>222.33333333333331</v>
      </c>
      <c r="AJ37" s="13">
        <f>AI37*VLOOKUP('Données projet'!$B$10,Paramètres!$A$1:$I$89,3,0)*VLOOKUP('Données projet'!$B$10,Paramètres!$A$1:$I$89,5,0)</f>
        <v>138.73599999999999</v>
      </c>
      <c r="AK37" s="13">
        <f t="shared" si="35"/>
        <v>36.007288175538044</v>
      </c>
      <c r="AL37" s="20">
        <f t="shared" si="4"/>
        <v>304.34456023906205</v>
      </c>
      <c r="AM37" s="59">
        <f t="shared" si="5"/>
        <v>597.67789357239531</v>
      </c>
      <c r="AN37" s="59">
        <f ca="1">AVERAGE(OFFSET($AM$3,0,0,'Données projet'!$E$10+1,1))-AVERAGE(OFFSET($H$3,0,0,'Données projet'!$E$10+1,1))</f>
        <v>180.31844548479722</v>
      </c>
      <c r="AO37" s="59">
        <f t="shared" si="36"/>
        <v>273.83237400307223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39.092339267104222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39.092339267104222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5.3369963369963358</v>
      </c>
      <c r="BD37" s="12">
        <f>IF('Données projet'!$A$88&gt;35,BD36+BC37-BL36,IF(A37&lt;'Données projet'!$A$88,$BA$205^A37,IF(A37='Données projet'!$A$88,'Données projet'!$B$88,BD36+BC37-BL36)))</f>
        <v>109.05311355311355</v>
      </c>
      <c r="BE37" s="13">
        <f>BD37*VLOOKUP('Données projet'!$B$11,Paramètres!$A$1:$I$89,3,0)*VLOOKUP('Données projet'!$B$11,Paramètres!$A$1:$I$89,5,0)</f>
        <v>110.57985714285715</v>
      </c>
      <c r="BF37" s="13">
        <f t="shared" si="37"/>
        <v>29.467561605850825</v>
      </c>
      <c r="BG37" s="20">
        <f t="shared" si="7"/>
        <v>243.91592098733301</v>
      </c>
      <c r="BH37" s="59">
        <f t="shared" si="8"/>
        <v>537.2492543206663</v>
      </c>
      <c r="BI37" s="59">
        <f ca="1">AVERAGE(OFFSET($BH$3,0,0,'Données projet'!$E$11+1,1))-AVERAGE(OFFSET($H$3,0,0,'Données projet'!$E$11+1,1))</f>
        <v>264.08050363622294</v>
      </c>
      <c r="BJ37" s="59">
        <f t="shared" si="38"/>
        <v>164.48884512322883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16.38</v>
      </c>
      <c r="D38" s="11">
        <f t="shared" si="32"/>
        <v>5.4515478029518825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168.5242286543654</v>
      </c>
      <c r="H38" s="67">
        <f t="shared" si="1"/>
        <v>331.35661242347453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305.49230769230769</v>
      </c>
      <c r="L38" s="12">
        <f>VLOOKUP(A38,'Données projet'!$A$35:$I$55,9,0)</f>
        <v>18.100000000000001</v>
      </c>
      <c r="M38" s="12">
        <f t="array" ref="M38">INDEX(L:L,MIN(IF(ISNUMBER(L38:L234),ROW(L38:L234),"")))</f>
        <v>18.100000000000001</v>
      </c>
      <c r="N38" s="13">
        <f>IF('Données projet'!$A$36&gt;35,N37+M38-V37,IF(A38&lt;'Données projet'!$A$36,$K$205^A38,IF(A38='Données projet'!$A$36,'Données projet'!$B$36,N37+M38-V37)))</f>
        <v>305.49230769230763</v>
      </c>
      <c r="O38" s="13">
        <f>N38*VLOOKUP('Données projet'!$B$9,Paramètres!$A$1:$I$89,3,0)*VLOOKUP('Données projet'!$B$9,Paramètres!$A$1:$I$89,5,0)</f>
        <v>170.77019999999999</v>
      </c>
      <c r="P38" s="13">
        <f t="shared" si="33"/>
        <v>43.26247735598961</v>
      </c>
      <c r="Q38" s="20">
        <f t="shared" si="53"/>
        <v>372.77357972834852</v>
      </c>
      <c r="R38" s="59">
        <f t="shared" si="0"/>
        <v>666.10691306168178</v>
      </c>
      <c r="S38" s="59">
        <f ca="1">AVERAGE(OFFSET($R$3,0,0,'Données projet'!$E$9+1,1))-AVERAGE(OFFSET($H$3,0,0,'Données projet'!$E$9+1,1))</f>
        <v>254.6443970237226</v>
      </c>
      <c r="T38" s="59">
        <f t="shared" si="34"/>
        <v>231.81667808018062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70.5</v>
      </c>
      <c r="W38" s="16">
        <f>IF(ISNA(VLOOKUP(A38,'Données projet'!$A$35:$I$55,5,0)),0%,VLOOKUP(A38,'Données projet'!$A$35:$I$55,5,0)*VLOOKUP('Données projet'!$B$9,Paramètres!$A$1:$I$89,7,0))</f>
        <v>0.38500000000000001</v>
      </c>
      <c r="X38" s="16">
        <f>IF(ISNA(VLOOKUP(A38,'Données projet'!$A$35:$I$55,6,0)),0%,VLOOKUP(A38,'Données projet'!$A$35:$I$55,6,0)*VLOOKUP('Données projet'!$B$9,Paramètres!$A$1:$I$89,7,0))</f>
        <v>9.240000000000001E-2</v>
      </c>
      <c r="Y38" s="16">
        <f>IF(ISNA(VLOOKUP(A38,'Données projet'!$A$35:$I$55,7,0)),0%,VLOOKUP(A38,'Données projet'!$A$35:$I$55,7,0))</f>
        <v>0.13200000000000001</v>
      </c>
      <c r="Z38" s="21">
        <f>EXP(-LN(2)/35)*Z37+(1-EXP(-LN(2)/35))/(LN(2)/35)*V38*W38*VLOOKUP('Données projet'!$B$9,Paramètres!$A$1:$I$89,3,0)*0.475*44/12</f>
        <v>20.127508134058157</v>
      </c>
      <c r="AA38" s="21">
        <f>EXP(-LN(2)/25)*AA37+(1-EXP(-LN(2)/25))/(LN(2)/25)*Calculateur!V38*Calculateur!X38*VLOOKUP('Données projet'!$B$9,Paramètres!$A$1:$I$89,3,0)*0.475*44/12</f>
        <v>24.91471780668838</v>
      </c>
      <c r="AB38" s="21">
        <f>EXP(-LN(2)/2)*AB37+(1-EXP(-LN(2)/2))/(LN(2)/2)*V38*Y38*VLOOKUP('Données projet'!$B$9,Paramètres!$A$1:$I$89,3,0)*0.475*44/12</f>
        <v>7.4239734065510907</v>
      </c>
      <c r="AC38" s="22">
        <f t="shared" si="3"/>
        <v>52.466199347297625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12.833333333333334</v>
      </c>
      <c r="AI38" s="13">
        <f>IF('Données projet'!$A$62&gt;35,AI37+AH38-AQ37,IF(A38&lt;'Données projet'!$A$62,$AF$205^A38,IF(A38='Données projet'!$A$62,'Données projet'!$B$62,AI37+AH38-AQ37)))</f>
        <v>235.16666666666666</v>
      </c>
      <c r="AJ38" s="13">
        <f>AI38*VLOOKUP('Données projet'!$B$10,Paramètres!$A$1:$I$89,3,0)*VLOOKUP('Données projet'!$B$10,Paramètres!$A$1:$I$89,5,0)</f>
        <v>146.744</v>
      </c>
      <c r="AK38" s="13">
        <f t="shared" si="35"/>
        <v>37.837705514258651</v>
      </c>
      <c r="AL38" s="20">
        <f t="shared" si="4"/>
        <v>321.47980377066716</v>
      </c>
      <c r="AM38" s="59">
        <f t="shared" si="5"/>
        <v>614.81313710400048</v>
      </c>
      <c r="AN38" s="59">
        <f ca="1">AVERAGE(OFFSET($AM$3,0,0,'Données projet'!$E$10+1,1))-AVERAGE(OFFSET($H$3,0,0,'Données projet'!$E$10+1,1))</f>
        <v>180.31844548479722</v>
      </c>
      <c r="AO38" s="59">
        <f t="shared" si="36"/>
        <v>273.83237400307223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38.023357194068481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38.023357194068481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5.3369963369963358</v>
      </c>
      <c r="BD38" s="12">
        <f>IF('Données projet'!$A$88&gt;35,BD37+BC38-BL37,IF(A38&lt;'Données projet'!$A$88,$BA$205^A38,IF(A38='Données projet'!$A$88,'Données projet'!$B$88,BD37+BC38-BL37)))</f>
        <v>114.39010989010988</v>
      </c>
      <c r="BE38" s="13">
        <f>BD38*VLOOKUP('Données projet'!$B$11,Paramètres!$A$1:$I$89,3,0)*VLOOKUP('Données projet'!$B$11,Paramètres!$A$1:$I$89,5,0)</f>
        <v>115.99157142857143</v>
      </c>
      <c r="BF38" s="13">
        <f t="shared" si="37"/>
        <v>30.738258626956586</v>
      </c>
      <c r="BG38" s="20">
        <f t="shared" si="7"/>
        <v>255.55445401337798</v>
      </c>
      <c r="BH38" s="59">
        <f t="shared" si="8"/>
        <v>548.88778734671132</v>
      </c>
      <c r="BI38" s="59">
        <f ca="1">AVERAGE(OFFSET($BH$3,0,0,'Données projet'!$E$11+1,1))-AVERAGE(OFFSET($H$3,0,0,'Données projet'!$E$11+1,1))</f>
        <v>264.08050363622294</v>
      </c>
      <c r="BJ38" s="59">
        <f t="shared" si="38"/>
        <v>164.48884512322883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16.847999999999999</v>
      </c>
      <c r="D39" s="11">
        <f t="shared" si="32"/>
        <v>5.5889495622773833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173.19750539301842</v>
      </c>
      <c r="H39" s="67">
        <f t="shared" si="1"/>
        <v>332.4110204876331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18.229670329670324</v>
      </c>
      <c r="N39" s="13">
        <f>IF('Données projet'!$A$36&gt;35,N38+M39-V38,IF(A39&lt;'Données projet'!$A$36,$K$205^A39,IF(A39='Données projet'!$A$36,'Données projet'!$B$36,N38+M39-V38)))</f>
        <v>253.22197802197798</v>
      </c>
      <c r="O39" s="13">
        <f>N39*VLOOKUP('Données projet'!$B$9,Paramètres!$A$1:$I$89,3,0)*VLOOKUP('Données projet'!$B$9,Paramètres!$A$1:$I$89,5,0)</f>
        <v>141.55108571428568</v>
      </c>
      <c r="P39" s="13">
        <f t="shared" si="33"/>
        <v>36.652109269178737</v>
      </c>
      <c r="Q39" s="20">
        <f t="shared" si="53"/>
        <v>310.3705645962005</v>
      </c>
      <c r="R39" s="59">
        <f t="shared" si="0"/>
        <v>603.70389792953381</v>
      </c>
      <c r="S39" s="59">
        <f ca="1">AVERAGE(OFFSET($R$3,0,0,'Données projet'!$E$9+1,1))-AVERAGE(OFFSET($H$3,0,0,'Données projet'!$E$9+1,1))</f>
        <v>254.6443970237226</v>
      </c>
      <c r="T39" s="59">
        <f t="shared" si="34"/>
        <v>231.81667808018062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19.732819976117028</v>
      </c>
      <c r="AA39" s="21">
        <f>EXP(-LN(2)/25)*AA38+(1-EXP(-LN(2)/25))/(LN(2)/25)*Calculateur!V39*Calculateur!X39*VLOOKUP('Données projet'!$B$9,Paramètres!$A$1:$I$89,3,0)*0.475*44/12</f>
        <v>24.233423538056421</v>
      </c>
      <c r="AB39" s="21">
        <f>EXP(-LN(2)/2)*AB38+(1-EXP(-LN(2)/2))/(LN(2)/2)*V39*Y39*VLOOKUP('Données projet'!$B$9,Paramètres!$A$1:$I$89,3,0)*0.475*44/12</f>
        <v>5.2495419391208706</v>
      </c>
      <c r="AC39" s="22">
        <f t="shared" si="3"/>
        <v>49.215785453294316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248</v>
      </c>
      <c r="AG39" s="12">
        <f>VLOOKUP(A39,'Données projet'!$A$61:$I$81,9,0)</f>
        <v>12.833333333333334</v>
      </c>
      <c r="AH39" s="12">
        <f t="array" ref="AH39">INDEX(AG:AG,MIN(IF(ISNUMBER(AG39:AG235),ROW(AG39:AG235),"")))</f>
        <v>12.833333333333334</v>
      </c>
      <c r="AI39" s="13">
        <f>IF('Données projet'!$A$62&gt;35,AI38+AH39-AQ38,IF(A39&lt;'Données projet'!$A$62,$AF$205^A39,IF(A39='Données projet'!$A$62,'Données projet'!$B$62,AI38+AH39-AQ38)))</f>
        <v>248</v>
      </c>
      <c r="AJ39" s="13">
        <f>AI39*VLOOKUP('Données projet'!$B$10,Paramètres!$A$1:$I$89,3,0)*VLOOKUP('Données projet'!$B$10,Paramètres!$A$1:$I$89,5,0)</f>
        <v>154.75199999999998</v>
      </c>
      <c r="AK39" s="13">
        <f t="shared" si="35"/>
        <v>39.656526650076415</v>
      </c>
      <c r="AL39" s="20">
        <f t="shared" si="4"/>
        <v>338.5948505822164</v>
      </c>
      <c r="AM39" s="59">
        <f t="shared" si="5"/>
        <v>631.92818391554965</v>
      </c>
      <c r="AN39" s="59">
        <f ca="1">AVERAGE(OFFSET($AM$3,0,0,'Données projet'!$E$10+1,1))-AVERAGE(OFFSET($H$3,0,0,'Données projet'!$E$10+1,1))</f>
        <v>180.31844548479722</v>
      </c>
      <c r="AO39" s="59">
        <f t="shared" si="36"/>
        <v>273.83237400307223</v>
      </c>
      <c r="AP39" s="15">
        <f>IF(ISNA(VLOOKUP(A39,'Données projet'!$A$61:$I$81,3,0)),0,VLOOKUP(A39,'Données projet'!$A$61:$I$81,3,0))</f>
        <v>5</v>
      </c>
      <c r="AQ39" s="15">
        <f>IF(ISNA(VLOOKUP(A39,'Données projet'!$A$61:$I$81,4,0)),0,VLOOKUP(A39,'Données projet'!$A$61:$I$81,4,0))</f>
        <v>62</v>
      </c>
      <c r="AR39" s="16">
        <f>IF(ISNA(VLOOKUP(A39,'Données projet'!$A$61:$I$81,5,0)),0%,VLOOKUP(A39,'Données projet'!$A$61:$I$81,5,0)*VLOOKUP('Données projet'!$B$10,Paramètres!$A$1:$I$89,7,0))</f>
        <v>0.18</v>
      </c>
      <c r="AS39" s="16">
        <f>IF(ISNA(VLOOKUP(A39,'Données projet'!$A$61:$I$81,6,0)),0%,VLOOKUP(A39,'Données projet'!$A$61:$I$81,6,0)*VLOOKUP('Données projet'!$B$10,Paramètres!$A$1:$I$89,7,0))</f>
        <v>0.36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9.2379826173680861</v>
      </c>
      <c r="AV39" s="21">
        <f>EXP(-LN(2)/25)*AV38+(1-EXP(-LN(2)/25))/(LN(2)/25)*Calculateur!AQ39*Calculateur!AS39*VLOOKUP('Données projet'!$B$10,Paramètres!$A$1:$I$89,3,0)*0.475*44/12</f>
        <v>55.386824811747573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64.624807429115663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5.3369963369963358</v>
      </c>
      <c r="BD39" s="12">
        <f>IF('Données projet'!$A$88&gt;35,BD38+BC39-BL38,IF(A39&lt;'Données projet'!$A$88,$BA$205^A39,IF(A39='Données projet'!$A$88,'Données projet'!$B$88,BD38+BC39-BL38)))</f>
        <v>119.72710622710622</v>
      </c>
      <c r="BE39" s="13">
        <f>BD39*VLOOKUP('Données projet'!$B$11,Paramètres!$A$1:$I$89,3,0)*VLOOKUP('Données projet'!$B$11,Paramètres!$A$1:$I$89,5,0)</f>
        <v>121.40328571428572</v>
      </c>
      <c r="BF39" s="13">
        <f t="shared" si="37"/>
        <v>32.002070852076919</v>
      </c>
      <c r="BG39" s="20">
        <f t="shared" si="7"/>
        <v>267.18099601974819</v>
      </c>
      <c r="BH39" s="59">
        <f t="shared" si="8"/>
        <v>560.51432935308151</v>
      </c>
      <c r="BI39" s="59">
        <f ca="1">AVERAGE(OFFSET($BH$3,0,0,'Données projet'!$E$11+1,1))-AVERAGE(OFFSET($H$3,0,0,'Données projet'!$E$11+1,1))</f>
        <v>264.08050363622294</v>
      </c>
      <c r="BJ39" s="59">
        <f t="shared" si="38"/>
        <v>164.48884512322883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17.315999999999999</v>
      </c>
      <c r="D40" s="11">
        <f t="shared" si="32"/>
        <v>5.7259077130880893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177.86735778524135</v>
      </c>
      <c r="H40" s="67">
        <f t="shared" si="1"/>
        <v>333.46465593362842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18.229670329670324</v>
      </c>
      <c r="N40" s="13">
        <f>IF('Données projet'!$A$36&gt;35,N39+M40-V39,IF(A40&lt;'Données projet'!$A$36,$K$205^A40,IF(A40='Données projet'!$A$36,'Données projet'!$B$36,N39+M40-V39)))</f>
        <v>271.45164835164832</v>
      </c>
      <c r="O40" s="13">
        <f>N40*VLOOKUP('Données projet'!$B$9,Paramètres!$A$1:$I$89,3,0)*VLOOKUP('Données projet'!$B$9,Paramètres!$A$1:$I$89,5,0)</f>
        <v>151.74147142857143</v>
      </c>
      <c r="P40" s="13">
        <f t="shared" si="33"/>
        <v>38.974074991810518</v>
      </c>
      <c r="Q40" s="20">
        <f t="shared" si="53"/>
        <v>332.16291001549854</v>
      </c>
      <c r="R40" s="59">
        <f t="shared" si="0"/>
        <v>625.49624334883185</v>
      </c>
      <c r="S40" s="59">
        <f ca="1">AVERAGE(OFFSET($R$3,0,0,'Données projet'!$E$9+1,1))-AVERAGE(OFFSET($H$3,0,0,'Données projet'!$E$9+1,1))</f>
        <v>254.6443970237226</v>
      </c>
      <c r="T40" s="59">
        <f t="shared" si="34"/>
        <v>231.81667808018062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19.345871412217118</v>
      </c>
      <c r="AA40" s="21">
        <f>EXP(-LN(2)/25)*AA39+(1-EXP(-LN(2)/25))/(LN(2)/25)*Calculateur!V40*Calculateur!X40*VLOOKUP('Données projet'!$B$9,Paramètres!$A$1:$I$89,3,0)*0.475*44/12</f>
        <v>23.570759297027909</v>
      </c>
      <c r="AB40" s="21">
        <f>EXP(-LN(2)/2)*AB39+(1-EXP(-LN(2)/2))/(LN(2)/2)*V40*Y40*VLOOKUP('Données projet'!$B$9,Paramètres!$A$1:$I$89,3,0)*0.475*44/12</f>
        <v>3.7119867032755463</v>
      </c>
      <c r="AC40" s="22">
        <f t="shared" si="3"/>
        <v>46.628617412520576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11.5</v>
      </c>
      <c r="AI40" s="13">
        <f>IF('Données projet'!$A$62&gt;35,AI39+AH40-AQ39,IF(A40&lt;'Données projet'!$A$62,$AF$205^A40,IF(A40='Données projet'!$A$62,'Données projet'!$B$62,AI39+AH40-AQ39)))</f>
        <v>197.5</v>
      </c>
      <c r="AJ40" s="13">
        <f>AI40*VLOOKUP('Données projet'!$B$10,Paramètres!$A$1:$I$89,3,0)*VLOOKUP('Données projet'!$B$10,Paramètres!$A$1:$I$89,5,0)</f>
        <v>123.24</v>
      </c>
      <c r="AK40" s="13">
        <f t="shared" si="35"/>
        <v>32.429500380369056</v>
      </c>
      <c r="AL40" s="20">
        <f t="shared" si="4"/>
        <v>271.12437982914275</v>
      </c>
      <c r="AM40" s="59">
        <f t="shared" si="5"/>
        <v>564.45771316247601</v>
      </c>
      <c r="AN40" s="59">
        <f ca="1">AVERAGE(OFFSET($AM$3,0,0,'Données projet'!$E$10+1,1))-AVERAGE(OFFSET($H$3,0,0,'Données projet'!$E$10+1,1))</f>
        <v>180.31844548479722</v>
      </c>
      <c r="AO40" s="59">
        <f t="shared" si="36"/>
        <v>273.83237400307223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9.0568314128545229</v>
      </c>
      <c r="AV40" s="21">
        <f>EXP(-LN(2)/25)*AV39+(1-EXP(-LN(2)/25))/(LN(2)/25)*Calculateur!AQ40*Calculateur!AS40*VLOOKUP('Données projet'!$B$10,Paramètres!$A$1:$I$89,3,0)*0.475*44/12</f>
        <v>53.872269174603808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62.929100587458329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5.3369963369963358</v>
      </c>
      <c r="BD40" s="12">
        <f>IF('Données projet'!$A$88&gt;35,BD39+BC40-BL39,IF(A40&lt;'Données projet'!$A$88,$BA$205^A40,IF(A40='Données projet'!$A$88,'Données projet'!$B$88,BD39+BC40-BL39)))</f>
        <v>125.06410256410255</v>
      </c>
      <c r="BE40" s="13">
        <f>BD40*VLOOKUP('Données projet'!$B$11,Paramètres!$A$1:$I$89,3,0)*VLOOKUP('Données projet'!$B$11,Paramètres!$A$1:$I$89,5,0)</f>
        <v>126.81499999999998</v>
      </c>
      <c r="BF40" s="13">
        <f t="shared" si="37"/>
        <v>33.259340247246584</v>
      </c>
      <c r="BG40" s="20">
        <f t="shared" si="7"/>
        <v>278.79614259728777</v>
      </c>
      <c r="BH40" s="59">
        <f t="shared" si="8"/>
        <v>572.12947593062108</v>
      </c>
      <c r="BI40" s="59">
        <f ca="1">AVERAGE(OFFSET($BH$3,0,0,'Données projet'!$E$11+1,1))-AVERAGE(OFFSET($H$3,0,0,'Données projet'!$E$11+1,1))</f>
        <v>264.08050363622294</v>
      </c>
      <c r="BJ40" s="59">
        <f t="shared" si="38"/>
        <v>164.48884512322883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17.783999999999999</v>
      </c>
      <c r="D41" s="11">
        <f t="shared" si="32"/>
        <v>5.862435622634961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182.5338890168313</v>
      </c>
      <c r="H41" s="67">
        <f t="shared" si="1"/>
        <v>334.51754204275585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18.229670329670324</v>
      </c>
      <c r="N41" s="13">
        <f>IF('Données projet'!$A$36&gt;35,N40+M41-V40,IF(A41&lt;'Données projet'!$A$36,$K$205^A41,IF(A41='Données projet'!$A$36,'Données projet'!$B$36,N40+M41-V40)))</f>
        <v>289.68131868131866</v>
      </c>
      <c r="O41" s="13">
        <f>N41*VLOOKUP('Données projet'!$B$9,Paramètres!$A$1:$I$89,3,0)*VLOOKUP('Données projet'!$B$9,Paramètres!$A$1:$I$89,5,0)</f>
        <v>161.93185714285713</v>
      </c>
      <c r="P41" s="13">
        <f t="shared" si="33"/>
        <v>41.277946347593272</v>
      </c>
      <c r="Q41" s="20">
        <f t="shared" si="53"/>
        <v>353.92374107920108</v>
      </c>
      <c r="R41" s="59">
        <f t="shared" si="0"/>
        <v>647.25707441253439</v>
      </c>
      <c r="S41" s="59">
        <f ca="1">AVERAGE(OFFSET($R$3,0,0,'Données projet'!$E$9+1,1))-AVERAGE(OFFSET($H$3,0,0,'Données projet'!$E$9+1,1))</f>
        <v>254.6443970237226</v>
      </c>
      <c r="T41" s="59">
        <f t="shared" si="34"/>
        <v>231.81667808018062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18.966510673639966</v>
      </c>
      <c r="AA41" s="21">
        <f>EXP(-LN(2)/25)*AA40+(1-EXP(-LN(2)/25))/(LN(2)/25)*Calculateur!V41*Calculateur!X41*VLOOKUP('Données projet'!$B$9,Paramètres!$A$1:$I$89,3,0)*0.475*44/12</f>
        <v>22.926215644518322</v>
      </c>
      <c r="AB41" s="21">
        <f>EXP(-LN(2)/2)*AB40+(1-EXP(-LN(2)/2))/(LN(2)/2)*V41*Y41*VLOOKUP('Données projet'!$B$9,Paramètres!$A$1:$I$89,3,0)*0.475*44/12</f>
        <v>2.6247709695604358</v>
      </c>
      <c r="AC41" s="22">
        <f t="shared" si="3"/>
        <v>44.517497287718726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11.5</v>
      </c>
      <c r="AI41" s="13">
        <f>IF('Données projet'!$A$62&gt;35,AI40+AH41-AQ40,IF(A41&lt;'Données projet'!$A$62,$AF$205^A41,IF(A41='Données projet'!$A$62,'Données projet'!$B$62,AI40+AH41-AQ40)))</f>
        <v>209</v>
      </c>
      <c r="AJ41" s="13">
        <f>AI41*VLOOKUP('Données projet'!$B$10,Paramètres!$A$1:$I$89,3,0)*VLOOKUP('Données projet'!$B$10,Paramètres!$A$1:$I$89,5,0)</f>
        <v>130.416</v>
      </c>
      <c r="AK41" s="13">
        <f t="shared" si="35"/>
        <v>34.092466837179941</v>
      </c>
      <c r="AL41" s="20">
        <f t="shared" si="4"/>
        <v>286.51891307475506</v>
      </c>
      <c r="AM41" s="59">
        <f t="shared" si="5"/>
        <v>579.85224640808838</v>
      </c>
      <c r="AN41" s="59">
        <f ca="1">AVERAGE(OFFSET($AM$3,0,0,'Données projet'!$E$10+1,1))-AVERAGE(OFFSET($H$3,0,0,'Données projet'!$E$10+1,1))</f>
        <v>180.31844548479722</v>
      </c>
      <c r="AO41" s="59">
        <f t="shared" si="36"/>
        <v>273.83237400307223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8.8792324729701466</v>
      </c>
      <c r="AV41" s="21">
        <f>EXP(-LN(2)/25)*AV40+(1-EXP(-LN(2)/25))/(LN(2)/25)*Calculateur!AQ41*Calculateur!AS41*VLOOKUP('Données projet'!$B$10,Paramètres!$A$1:$I$89,3,0)*0.475*44/12</f>
        <v>52.399129141004757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61.278361613974901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5.3369963369963358</v>
      </c>
      <c r="BD41" s="12">
        <f>IF('Données projet'!$A$88&gt;35,BD40+BC41-BL40,IF(A41&lt;'Données projet'!$A$88,$BA$205^A41,IF(A41='Données projet'!$A$88,'Données projet'!$B$88,BD40+BC41-BL40)))</f>
        <v>130.40109890109889</v>
      </c>
      <c r="BE41" s="13">
        <f>BD41*VLOOKUP('Données projet'!$B$11,Paramètres!$A$1:$I$89,3,0)*VLOOKUP('Données projet'!$B$11,Paramètres!$A$1:$I$89,5,0)</f>
        <v>132.22671428571428</v>
      </c>
      <c r="BF41" s="13">
        <f t="shared" si="37"/>
        <v>34.510377941523238</v>
      </c>
      <c r="BG41" s="20">
        <f t="shared" si="7"/>
        <v>290.4004356291054</v>
      </c>
      <c r="BH41" s="59">
        <f t="shared" si="8"/>
        <v>583.73376896243872</v>
      </c>
      <c r="BI41" s="59">
        <f ca="1">AVERAGE(OFFSET($BH$3,0,0,'Données projet'!$E$11+1,1))-AVERAGE(OFFSET($H$3,0,0,'Données projet'!$E$11+1,1))</f>
        <v>264.08050363622294</v>
      </c>
      <c r="BJ41" s="59">
        <f t="shared" si="38"/>
        <v>164.48884512322883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18.251999999999999</v>
      </c>
      <c r="D42" s="11">
        <f t="shared" si="32"/>
        <v>5.9985459145634135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187.19719653347192</v>
      </c>
      <c r="H42" s="67">
        <f t="shared" si="1"/>
        <v>335.56970080119794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18.229670329670324</v>
      </c>
      <c r="N42" s="13">
        <f>IF('Données projet'!$A$36&gt;35,N41+M42-V41,IF(A42&lt;'Données projet'!$A$36,$K$205^A42,IF(A42='Données projet'!$A$36,'Données projet'!$B$36,N41+M42-V41)))</f>
        <v>307.910989010989</v>
      </c>
      <c r="O42" s="13">
        <f>N42*VLOOKUP('Données projet'!$B$9,Paramètres!$A$1:$I$89,3,0)*VLOOKUP('Données projet'!$B$9,Paramètres!$A$1:$I$89,5,0)</f>
        <v>172.12224285714285</v>
      </c>
      <c r="P42" s="13">
        <f t="shared" si="33"/>
        <v>43.564991640658711</v>
      </c>
      <c r="Q42" s="20">
        <f t="shared" si="53"/>
        <v>375.65526675033772</v>
      </c>
      <c r="R42" s="59">
        <f t="shared" si="0"/>
        <v>668.98860008367103</v>
      </c>
      <c r="S42" s="59">
        <f ca="1">AVERAGE(OFFSET($R$3,0,0,'Données projet'!$E$9+1,1))-AVERAGE(OFFSET($H$3,0,0,'Données projet'!$E$9+1,1))</f>
        <v>254.6443970237226</v>
      </c>
      <c r="T42" s="59">
        <f t="shared" si="34"/>
        <v>231.81667808018062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18.594588967759112</v>
      </c>
      <c r="AA42" s="21">
        <f>EXP(-LN(2)/25)*AA41+(1-EXP(-LN(2)/25))/(LN(2)/25)*Calculateur!V42*Calculateur!X42*VLOOKUP('Données projet'!$B$9,Paramètres!$A$1:$I$89,3,0)*0.475*44/12</f>
        <v>22.299297072081686</v>
      </c>
      <c r="AB42" s="21">
        <f>EXP(-LN(2)/2)*AB41+(1-EXP(-LN(2)/2))/(LN(2)/2)*V42*Y42*VLOOKUP('Données projet'!$B$9,Paramètres!$A$1:$I$89,3,0)*0.475*44/12</f>
        <v>1.8559933516377733</v>
      </c>
      <c r="AC42" s="22">
        <f t="shared" si="3"/>
        <v>42.749879391478565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11.5</v>
      </c>
      <c r="AI42" s="13">
        <f>IF('Données projet'!$A$62&gt;35,AI41+AH42-AQ41,IF(A42&lt;'Données projet'!$A$62,$AF$205^A42,IF(A42='Données projet'!$A$62,'Données projet'!$B$62,AI41+AH42-AQ41)))</f>
        <v>220.5</v>
      </c>
      <c r="AJ42" s="13">
        <f>AI42*VLOOKUP('Données projet'!$B$10,Paramètres!$A$1:$I$89,3,0)*VLOOKUP('Données projet'!$B$10,Paramètres!$A$1:$I$89,5,0)</f>
        <v>137.59199999999998</v>
      </c>
      <c r="AK42" s="13">
        <f t="shared" si="35"/>
        <v>35.744810729505772</v>
      </c>
      <c r="AL42" s="20">
        <f t="shared" si="4"/>
        <v>301.89494535388923</v>
      </c>
      <c r="AM42" s="59">
        <f t="shared" si="5"/>
        <v>595.22827868722254</v>
      </c>
      <c r="AN42" s="59">
        <f ca="1">AVERAGE(OFFSET($AM$3,0,0,'Données projet'!$E$10+1,1))-AVERAGE(OFFSET($H$3,0,0,'Données projet'!$E$10+1,1))</f>
        <v>180.31844548479722</v>
      </c>
      <c r="AO42" s="59">
        <f t="shared" si="36"/>
        <v>273.83237400307223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8.7051161399722456</v>
      </c>
      <c r="AV42" s="21">
        <f>EXP(-LN(2)/25)*AV41+(1-EXP(-LN(2)/25))/(LN(2)/25)*Calculateur!AQ42*Calculateur!AS42*VLOOKUP('Données projet'!$B$10,Paramètres!$A$1:$I$89,3,0)*0.475*44/12</f>
        <v>50.966272199093538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59.671388339065786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5.3369963369963358</v>
      </c>
      <c r="BD42" s="12">
        <f>IF('Données projet'!$A$88&gt;35,BD41+BC42-BL41,IF(A42&lt;'Données projet'!$A$88,$BA$205^A42,IF(A42='Données projet'!$A$88,'Données projet'!$B$88,BD41+BC42-BL41)))</f>
        <v>135.73809523809524</v>
      </c>
      <c r="BE42" s="13">
        <f>BD42*VLOOKUP('Données projet'!$B$11,Paramètres!$A$1:$I$89,3,0)*VLOOKUP('Données projet'!$B$11,Paramètres!$A$1:$I$89,5,0)</f>
        <v>137.63842857142859</v>
      </c>
      <c r="BF42" s="13">
        <f t="shared" si="37"/>
        <v>35.755468155325104</v>
      </c>
      <c r="BG42" s="20">
        <f t="shared" si="7"/>
        <v>301.99437013242931</v>
      </c>
      <c r="BH42" s="59">
        <f t="shared" si="8"/>
        <v>595.32770346576262</v>
      </c>
      <c r="BI42" s="59">
        <f ca="1">AVERAGE(OFFSET($BH$3,0,0,'Données projet'!$E$11+1,1))-AVERAGE(OFFSET($H$3,0,0,'Données projet'!$E$11+1,1))</f>
        <v>264.08050363622294</v>
      </c>
      <c r="BJ42" s="59">
        <f t="shared" si="38"/>
        <v>164.48884512322883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18.72</v>
      </c>
      <c r="D43" s="11">
        <f t="shared" si="32"/>
        <v>6.1342505282708037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191.85737249893251</v>
      </c>
      <c r="H43" s="67">
        <f t="shared" si="1"/>
        <v>336.62115300340497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18.229670329670324</v>
      </c>
      <c r="N43" s="13">
        <f>IF('Données projet'!$A$36&gt;35,N42+M43-V42,IF(A43&lt;'Données projet'!$A$36,$K$205^A43,IF(A43='Données projet'!$A$36,'Données projet'!$B$36,N42+M43-V42)))</f>
        <v>326.14065934065934</v>
      </c>
      <c r="O43" s="13">
        <f>N43*VLOOKUP('Données projet'!$B$9,Paramètres!$A$1:$I$89,3,0)*VLOOKUP('Données projet'!$B$9,Paramètres!$A$1:$I$89,5,0)</f>
        <v>182.31262857142858</v>
      </c>
      <c r="P43" s="13">
        <f t="shared" si="33"/>
        <v>45.836320512875403</v>
      </c>
      <c r="Q43" s="20">
        <f t="shared" si="53"/>
        <v>397.35941965516275</v>
      </c>
      <c r="R43" s="59">
        <f t="shared" si="0"/>
        <v>690.69275298849607</v>
      </c>
      <c r="S43" s="59">
        <f ca="1">AVERAGE(OFFSET($R$3,0,0,'Données projet'!$E$9+1,1))-AVERAGE(OFFSET($H$3,0,0,'Données projet'!$E$9+1,1))</f>
        <v>254.6443970237226</v>
      </c>
      <c r="T43" s="59">
        <f t="shared" si="34"/>
        <v>231.81667808018062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18.229960419680737</v>
      </c>
      <c r="AA43" s="21">
        <f>EXP(-LN(2)/25)*AA42+(1-EXP(-LN(2)/25))/(LN(2)/25)*Calculateur!V43*Calculateur!X43*VLOOKUP('Données projet'!$B$9,Paramètres!$A$1:$I$89,3,0)*0.475*44/12</f>
        <v>21.689521620976546</v>
      </c>
      <c r="AB43" s="21">
        <f>EXP(-LN(2)/2)*AB42+(1-EXP(-LN(2)/2))/(LN(2)/2)*V43*Y43*VLOOKUP('Données projet'!$B$9,Paramètres!$A$1:$I$89,3,0)*0.475*44/12</f>
        <v>1.3123854847802181</v>
      </c>
      <c r="AC43" s="22">
        <f t="shared" si="3"/>
        <v>41.231867525437501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11.5</v>
      </c>
      <c r="AI43" s="13">
        <f>IF('Données projet'!$A$62&gt;35,AI42+AH43-AQ42,IF(A43&lt;'Données projet'!$A$62,$AF$205^A43,IF(A43='Données projet'!$A$62,'Données projet'!$B$62,AI42+AH43-AQ42)))</f>
        <v>232</v>
      </c>
      <c r="AJ43" s="13">
        <f>AI43*VLOOKUP('Données projet'!$B$10,Paramètres!$A$1:$I$89,3,0)*VLOOKUP('Données projet'!$B$10,Paramètres!$A$1:$I$89,5,0)</f>
        <v>144.768</v>
      </c>
      <c r="AK43" s="13">
        <f t="shared" si="35"/>
        <v>37.387149255707826</v>
      </c>
      <c r="AL43" s="20">
        <f t="shared" si="4"/>
        <v>317.25355162035777</v>
      </c>
      <c r="AM43" s="59">
        <f t="shared" si="5"/>
        <v>610.58688495369108</v>
      </c>
      <c r="AN43" s="59">
        <f ca="1">AVERAGE(OFFSET($AM$3,0,0,'Données projet'!$E$10+1,1))-AVERAGE(OFFSET($H$3,0,0,'Données projet'!$E$10+1,1))</f>
        <v>180.31844548479722</v>
      </c>
      <c r="AO43" s="59">
        <f t="shared" si="36"/>
        <v>273.83237400307223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8.5344141220639553</v>
      </c>
      <c r="AV43" s="21">
        <f>EXP(-LN(2)/25)*AV42+(1-EXP(-LN(2)/25))/(LN(2)/25)*Calculateur!AQ43*Calculateur!AS43*VLOOKUP('Données projet'!$B$10,Paramètres!$A$1:$I$89,3,0)*0.475*44/12</f>
        <v>49.572596805609557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58.107010927673514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5.3369963369963358</v>
      </c>
      <c r="BD43" s="12">
        <f>IF('Données projet'!$A$88&gt;35,BD42+BC43-BL42,IF(A43&lt;'Données projet'!$A$88,$BA$205^A43,IF(A43='Données projet'!$A$88,'Données projet'!$B$88,BD42+BC43-BL42)))</f>
        <v>141.07509157509156</v>
      </c>
      <c r="BE43" s="13">
        <f>BD43*VLOOKUP('Données projet'!$B$11,Paramètres!$A$1:$I$89,3,0)*VLOOKUP('Données projet'!$B$11,Paramètres!$A$1:$I$89,5,0)</f>
        <v>143.05014285714284</v>
      </c>
      <c r="BF43" s="13">
        <f t="shared" si="37"/>
        <v>36.994871493561163</v>
      </c>
      <c r="BG43" s="20">
        <f t="shared" si="7"/>
        <v>313.57839999414279</v>
      </c>
      <c r="BH43" s="59">
        <f t="shared" si="8"/>
        <v>606.9117333274761</v>
      </c>
      <c r="BI43" s="59">
        <f ca="1">AVERAGE(OFFSET($BH$3,0,0,'Données projet'!$E$11+1,1))-AVERAGE(OFFSET($H$3,0,0,'Données projet'!$E$11+1,1))</f>
        <v>264.08050363622294</v>
      </c>
      <c r="BJ43" s="59">
        <f t="shared" si="38"/>
        <v>164.48884512322883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19.187999999999999</v>
      </c>
      <c r="D44" s="11">
        <f t="shared" si="32"/>
        <v>6.2695607721610704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196.51450420615564</v>
      </c>
      <c r="H44" s="67">
        <f t="shared" si="1"/>
        <v>337.6719183448472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18.229670329670324</v>
      </c>
      <c r="N44" s="13">
        <f>IF('Données projet'!$A$36&gt;35,N43+M44-V43,IF(A44&lt;'Données projet'!$A$36,$K$205^A44,IF(A44='Données projet'!$A$36,'Données projet'!$B$36,N43+M44-V43)))</f>
        <v>344.37032967032968</v>
      </c>
      <c r="O44" s="13">
        <f>N44*VLOOKUP('Données projet'!$B$9,Paramètres!$A$1:$I$89,3,0)*VLOOKUP('Données projet'!$B$9,Paramètres!$A$1:$I$89,5,0)</f>
        <v>192.50301428571427</v>
      </c>
      <c r="P44" s="13">
        <f t="shared" si="33"/>
        <v>48.092911552862631</v>
      </c>
      <c r="Q44" s="20">
        <f t="shared" si="53"/>
        <v>419.03790416885477</v>
      </c>
      <c r="R44" s="59">
        <f t="shared" si="0"/>
        <v>712.37123750218802</v>
      </c>
      <c r="S44" s="59">
        <f ca="1">AVERAGE(OFFSET($R$3,0,0,'Données projet'!$E$9+1,1))-AVERAGE(OFFSET($H$3,0,0,'Données projet'!$E$9+1,1))</f>
        <v>254.6443970237226</v>
      </c>
      <c r="T44" s="59">
        <f t="shared" si="34"/>
        <v>231.81667808018062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17.872482015028726</v>
      </c>
      <c r="AA44" s="21">
        <f>EXP(-LN(2)/25)*AA43+(1-EXP(-LN(2)/25))/(LN(2)/25)*Calculateur!V44*Calculateur!X44*VLOOKUP('Données projet'!$B$9,Paramètres!$A$1:$I$89,3,0)*0.475*44/12</f>
        <v>21.096420511648571</v>
      </c>
      <c r="AB44" s="21">
        <f>EXP(-LN(2)/2)*AB43+(1-EXP(-LN(2)/2))/(LN(2)/2)*V44*Y44*VLOOKUP('Données projet'!$B$9,Paramètres!$A$1:$I$89,3,0)*0.475*44/12</f>
        <v>0.9279966758188869</v>
      </c>
      <c r="AC44" s="22">
        <f t="shared" si="3"/>
        <v>39.896899202496186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11.5</v>
      </c>
      <c r="AI44" s="13">
        <f>IF('Données projet'!$A$62&gt;35,AI43+AH44-AQ43,IF(A44&lt;'Données projet'!$A$62,$AF$205^A44,IF(A44='Données projet'!$A$62,'Données projet'!$B$62,AI43+AH44-AQ43)))</f>
        <v>243.5</v>
      </c>
      <c r="AJ44" s="13">
        <f>AI44*VLOOKUP('Données projet'!$B$10,Paramètres!$A$1:$I$89,3,0)*VLOOKUP('Données projet'!$B$10,Paramètres!$A$1:$I$89,5,0)</f>
        <v>151.94399999999999</v>
      </c>
      <c r="AK44" s="13">
        <f t="shared" si="35"/>
        <v>39.02003496976517</v>
      </c>
      <c r="AL44" s="20">
        <f t="shared" si="4"/>
        <v>332.59569423900763</v>
      </c>
      <c r="AM44" s="59">
        <f t="shared" si="5"/>
        <v>625.92902757234094</v>
      </c>
      <c r="AN44" s="59">
        <f ca="1">AVERAGE(OFFSET($AM$3,0,0,'Données projet'!$E$10+1,1))-AVERAGE(OFFSET($H$3,0,0,'Données projet'!$E$10+1,1))</f>
        <v>180.31844548479722</v>
      </c>
      <c r="AO44" s="59">
        <f t="shared" si="36"/>
        <v>273.83237400307223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8.3670594666088967</v>
      </c>
      <c r="AV44" s="21">
        <f>EXP(-LN(2)/25)*AV43+(1-EXP(-LN(2)/25))/(LN(2)/25)*Calculateur!AQ44*Calculateur!AS44*VLOOKUP('Données projet'!$B$10,Paramètres!$A$1:$I$89,3,0)*0.475*44/12</f>
        <v>48.217031539050595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56.584091005659488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5.3369963369963358</v>
      </c>
      <c r="BD44" s="12">
        <f>IF('Données projet'!$A$88&gt;35,BD43+BC44-BL43,IF(A44&lt;'Données projet'!$A$88,$BA$205^A44,IF(A44='Données projet'!$A$88,'Données projet'!$B$88,BD43+BC44-BL43)))</f>
        <v>146.41208791208788</v>
      </c>
      <c r="BE44" s="13">
        <f>BD44*VLOOKUP('Données projet'!$B$11,Paramètres!$A$1:$I$89,3,0)*VLOOKUP('Données projet'!$B$11,Paramètres!$A$1:$I$89,5,0)</f>
        <v>148.46185714285713</v>
      </c>
      <c r="BF44" s="13">
        <f t="shared" si="37"/>
        <v>38.228827726420505</v>
      </c>
      <c r="BG44" s="20">
        <f t="shared" si="7"/>
        <v>325.15294281399184</v>
      </c>
      <c r="BH44" s="59">
        <f t="shared" si="8"/>
        <v>618.48627614732516</v>
      </c>
      <c r="BI44" s="59">
        <f ca="1">AVERAGE(OFFSET($BH$3,0,0,'Données projet'!$E$11+1,1))-AVERAGE(OFFSET($H$3,0,0,'Données projet'!$E$11+1,1))</f>
        <v>264.08050363622294</v>
      </c>
      <c r="BJ44" s="59">
        <f t="shared" si="38"/>
        <v>164.48884512322883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19.655999999999999</v>
      </c>
      <c r="D45" s="11">
        <f t="shared" si="32"/>
        <v>6.4044873715575275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201.16867444711076</v>
      </c>
      <c r="H45" s="67">
        <f t="shared" si="1"/>
        <v>338.72201550546265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362.59999999999997</v>
      </c>
      <c r="L45" s="12">
        <f>VLOOKUP(A45,'Données projet'!$A$35:$I$55,9,0)</f>
        <v>18.229670329670324</v>
      </c>
      <c r="M45" s="12">
        <f t="array" ref="M45">INDEX(L:L,MIN(IF(ISNUMBER(L45:L241),ROW(L45:L241),"")))</f>
        <v>18.229670329670324</v>
      </c>
      <c r="N45" s="13">
        <f>IF('Données projet'!$A$36&gt;35,N44+M45-V44,IF(A45&lt;'Données projet'!$A$36,$K$205^A45,IF(A45='Données projet'!$A$36,'Données projet'!$B$36,N44+M45-V44)))</f>
        <v>362.6</v>
      </c>
      <c r="O45" s="13">
        <f>N45*VLOOKUP('Données projet'!$B$9,Paramètres!$A$1:$I$89,3,0)*VLOOKUP('Données projet'!$B$9,Paramètres!$A$1:$I$89,5,0)</f>
        <v>202.69340000000003</v>
      </c>
      <c r="P45" s="13">
        <f t="shared" si="33"/>
        <v>50.335633892078647</v>
      </c>
      <c r="Q45" s="20">
        <f t="shared" si="53"/>
        <v>440.69223402870369</v>
      </c>
      <c r="R45" s="59">
        <f t="shared" si="0"/>
        <v>734.02556736203701</v>
      </c>
      <c r="S45" s="59">
        <f ca="1">AVERAGE(OFFSET($R$3,0,0,'Données projet'!$E$9+1,1))-AVERAGE(OFFSET($H$3,0,0,'Données projet'!$E$9+1,1))</f>
        <v>254.6443970237226</v>
      </c>
      <c r="T45" s="59">
        <f t="shared" si="34"/>
        <v>231.81667808018062</v>
      </c>
      <c r="U45" s="15">
        <f>IF(ISNA(VLOOKUP(A45,'Données projet'!$A$35:$I$55,3,0)),0,VLOOKUP(A45,'Données projet'!$A$35:$I$55,3,0))</f>
        <v>4</v>
      </c>
      <c r="V45" s="15">
        <f>IF(ISNA(VLOOKUP(A45,'Données projet'!$A$35:$I$55,4,0)),0,VLOOKUP(A45,'Données projet'!$A$35:$I$55,4,0))</f>
        <v>80.669230769230765</v>
      </c>
      <c r="W45" s="16">
        <f>IF(ISNA(VLOOKUP(A45,'Données projet'!$A$35:$I$55,5,0)),0%,VLOOKUP(A45,'Données projet'!$A$35:$I$55,5,0)*VLOOKUP('Données projet'!$B$9,Paramètres!$A$1:$I$89,7,0))</f>
        <v>0.38500000000000001</v>
      </c>
      <c r="X45" s="16">
        <f>IF(ISNA(VLOOKUP(A45,'Données projet'!$A$35:$I$55,6,0)),0%,VLOOKUP(A45,'Données projet'!$A$35:$I$55,6,0)*VLOOKUP('Données projet'!$B$9,Paramètres!$A$1:$I$89,7,0))</f>
        <v>9.240000000000001E-2</v>
      </c>
      <c r="Y45" s="16">
        <f>IF(ISNA(VLOOKUP(A45,'Données projet'!$A$35:$I$55,7,0)),0%,VLOOKUP(A45,'Données projet'!$A$35:$I$55,7,0))</f>
        <v>0.13200000000000001</v>
      </c>
      <c r="Z45" s="21">
        <f>EXP(-LN(2)/35)*Z44+(1-EXP(-LN(2)/35))/(LN(2)/35)*V45*W45*VLOOKUP('Données projet'!$B$9,Paramètres!$A$1:$I$89,3,0)*0.475*44/12</f>
        <v>40.552802174715566</v>
      </c>
      <c r="AA45" s="21">
        <f>EXP(-LN(2)/25)*AA44+(1-EXP(-LN(2)/25))/(LN(2)/25)*Calculateur!V45*Calculateur!X45*VLOOKUP('Données projet'!$B$9,Paramètres!$A$1:$I$89,3,0)*0.475*44/12</f>
        <v>26.025163617090385</v>
      </c>
      <c r="AB45" s="21">
        <f>EXP(-LN(2)/2)*AB44+(1-EXP(-LN(2)/2))/(LN(2)/2)*V45*Y45*VLOOKUP('Données projet'!$B$9,Paramètres!$A$1:$I$89,3,0)*0.475*44/12</f>
        <v>7.3957162735113524</v>
      </c>
      <c r="AC45" s="22">
        <f t="shared" si="3"/>
        <v>73.973682065317306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255</v>
      </c>
      <c r="AG45" s="12">
        <f>VLOOKUP(A45,'Données projet'!$A$61:$I$81,9,0)</f>
        <v>11.5</v>
      </c>
      <c r="AH45" s="12">
        <f t="array" ref="AH45">INDEX(AG:AG,MIN(IF(ISNUMBER(AG45:AG241),ROW(AG45:AG241),"")))</f>
        <v>11.5</v>
      </c>
      <c r="AI45" s="13">
        <f>IF('Données projet'!$A$62&gt;35,AI44+AH45-AQ44,IF(A45&lt;'Données projet'!$A$62,$AF$205^A45,IF(A45='Données projet'!$A$62,'Données projet'!$B$62,AI44+AH45-AQ44)))</f>
        <v>255</v>
      </c>
      <c r="AJ45" s="13">
        <f>AI45*VLOOKUP('Données projet'!$B$10,Paramètres!$A$1:$I$89,3,0)*VLOOKUP('Données projet'!$B$10,Paramètres!$A$1:$I$89,5,0)</f>
        <v>159.12</v>
      </c>
      <c r="AK45" s="13">
        <f t="shared" si="35"/>
        <v>40.643965284387697</v>
      </c>
      <c r="AL45" s="20">
        <f t="shared" si="4"/>
        <v>347.92223953697521</v>
      </c>
      <c r="AM45" s="59">
        <f t="shared" si="5"/>
        <v>641.25557287030847</v>
      </c>
      <c r="AN45" s="59">
        <f ca="1">AVERAGE(OFFSET($AM$3,0,0,'Données projet'!$E$10+1,1))-AVERAGE(OFFSET($H$3,0,0,'Données projet'!$E$10+1,1))</f>
        <v>180.31844548479722</v>
      </c>
      <c r="AO45" s="59">
        <f t="shared" si="36"/>
        <v>273.83237400307223</v>
      </c>
      <c r="AP45" s="15">
        <f>IF(ISNA(VLOOKUP(A45,'Données projet'!$A$61:$I$81,3,0)),0,VLOOKUP(A45,'Données projet'!$A$61:$I$81,3,0))</f>
        <v>6</v>
      </c>
      <c r="AQ45" s="15">
        <f>IF(ISNA(VLOOKUP(A45,'Données projet'!$A$61:$I$81,4,0)),0,VLOOKUP(A45,'Données projet'!$A$61:$I$81,4,0))</f>
        <v>67</v>
      </c>
      <c r="AR45" s="16">
        <f>IF(ISNA(VLOOKUP(A45,'Données projet'!$A$61:$I$81,5,0)),0%,VLOOKUP(A45,'Données projet'!$A$61:$I$81,5,0)*VLOOKUP('Données projet'!$B$10,Paramètres!$A$1:$I$89,7,0))</f>
        <v>0.18</v>
      </c>
      <c r="AS45" s="16">
        <f>IF(ISNA(VLOOKUP(A45,'Données projet'!$A$61:$I$81,6,0)),0%,VLOOKUP(A45,'Données projet'!$A$61:$I$81,6,0)*VLOOKUP('Données projet'!$B$10,Paramètres!$A$1:$I$89,7,0))</f>
        <v>0.36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18.185967749413983</v>
      </c>
      <c r="AV45" s="21">
        <f>EXP(-LN(2)/25)*AV44+(1-EXP(-LN(2)/25))/(LN(2)/25)*Calculateur!AQ45*Calculateur!AS45*VLOOKUP('Données projet'!$B$10,Paramètres!$A$1:$I$89,3,0)*0.475*44/12</f>
        <v>66.785883105358337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84.971850854772327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5.3369963369963358</v>
      </c>
      <c r="BD45" s="12">
        <f>IF('Données projet'!$A$88&gt;35,BD44+BC45-BL44,IF(A45&lt;'Données projet'!$A$88,$BA$205^A45,IF(A45='Données projet'!$A$88,'Données projet'!$B$88,BD44+BC45-BL44)))</f>
        <v>151.74908424908421</v>
      </c>
      <c r="BE45" s="13">
        <f>BD45*VLOOKUP('Données projet'!$B$11,Paramètres!$A$1:$I$89,3,0)*VLOOKUP('Données projet'!$B$11,Paramètres!$A$1:$I$89,5,0)</f>
        <v>153.87357142857138</v>
      </c>
      <c r="BF45" s="13">
        <f t="shared" si="37"/>
        <v>39.457558153305143</v>
      </c>
      <c r="BG45" s="20">
        <f t="shared" si="7"/>
        <v>336.71838402176826</v>
      </c>
      <c r="BH45" s="59">
        <f t="shared" si="8"/>
        <v>630.05171735510157</v>
      </c>
      <c r="BI45" s="59">
        <f ca="1">AVERAGE(OFFSET($BH$3,0,0,'Données projet'!$E$11+1,1))-AVERAGE(OFFSET($H$3,0,0,'Données projet'!$E$11+1,1))</f>
        <v>264.08050363622294</v>
      </c>
      <c r="BJ45" s="59">
        <f t="shared" si="38"/>
        <v>164.48884512322883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20.123999999999999</v>
      </c>
      <c r="D46" s="11">
        <f t="shared" si="32"/>
        <v>6.539040511923969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205.81996184643063</v>
      </c>
      <c r="H46" s="67">
        <f t="shared" si="1"/>
        <v>339.77146222493423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17.519780219780223</v>
      </c>
      <c r="N46" s="13">
        <f>IF('Données projet'!$A$36&gt;35,N45+M46-V45,IF(A46&lt;'Données projet'!$A$36,$K$205^A46,IF(A46='Données projet'!$A$36,'Données projet'!$B$36,N45+M46-V45)))</f>
        <v>299.45054945054949</v>
      </c>
      <c r="O46" s="13">
        <f>N46*VLOOKUP('Données projet'!$B$9,Paramètres!$A$1:$I$89,3,0)*VLOOKUP('Données projet'!$B$9,Paramètres!$A$1:$I$89,5,0)</f>
        <v>167.3928571428572</v>
      </c>
      <c r="P46" s="13">
        <f t="shared" si="33"/>
        <v>42.505586135425617</v>
      </c>
      <c r="Q46" s="20">
        <f t="shared" si="53"/>
        <v>365.57312204300916</v>
      </c>
      <c r="R46" s="59">
        <f t="shared" si="0"/>
        <v>658.90645537634248</v>
      </c>
      <c r="S46" s="59">
        <f ca="1">AVERAGE(OFFSET($R$3,0,0,'Données projet'!$E$9+1,1))-AVERAGE(OFFSET($H$3,0,0,'Données projet'!$E$9+1,1))</f>
        <v>254.6443970237226</v>
      </c>
      <c r="T46" s="59">
        <f t="shared" si="34"/>
        <v>231.81667808018062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39.757586458836364</v>
      </c>
      <c r="AA46" s="21">
        <f>EXP(-LN(2)/25)*AA45+(1-EXP(-LN(2)/25))/(LN(2)/25)*Calculateur!V46*Calculateur!X46*VLOOKUP('Données projet'!$B$9,Paramètres!$A$1:$I$89,3,0)*0.475*44/12</f>
        <v>25.313504149377174</v>
      </c>
      <c r="AB46" s="21">
        <f>EXP(-LN(2)/2)*AB45+(1-EXP(-LN(2)/2))/(LN(2)/2)*V46*Y46*VLOOKUP('Données projet'!$B$9,Paramètres!$A$1:$I$89,3,0)*0.475*44/12</f>
        <v>5.2295611287315813</v>
      </c>
      <c r="AC46" s="22">
        <f t="shared" si="3"/>
        <v>70.300651736945113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10.666666666666666</v>
      </c>
      <c r="AI46" s="13">
        <f>IF('Données projet'!$A$62&gt;35,AI45+AH46-AQ45,IF(A46&lt;'Données projet'!$A$62,$AF$205^A46,IF(A46='Données projet'!$A$62,'Données projet'!$B$62,AI45+AH46-AQ45)))</f>
        <v>198.66666666666669</v>
      </c>
      <c r="AJ46" s="13">
        <f>AI46*VLOOKUP('Données projet'!$B$10,Paramètres!$A$1:$I$89,3,0)*VLOOKUP('Données projet'!$B$10,Paramètres!$A$1:$I$89,5,0)</f>
        <v>123.968</v>
      </c>
      <c r="AK46" s="13">
        <f t="shared" si="35"/>
        <v>32.598710622532096</v>
      </c>
      <c r="AL46" s="20">
        <f t="shared" si="4"/>
        <v>272.68702100091008</v>
      </c>
      <c r="AM46" s="59">
        <f t="shared" si="5"/>
        <v>566.02035433424339</v>
      </c>
      <c r="AN46" s="59">
        <f ca="1">AVERAGE(OFFSET($AM$3,0,0,'Données projet'!$E$10+1,1))-AVERAGE(OFFSET($H$3,0,0,'Données projet'!$E$10+1,1))</f>
        <v>180.31844548479722</v>
      </c>
      <c r="AO46" s="59">
        <f t="shared" si="36"/>
        <v>273.83237400307223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17.829352014193024</v>
      </c>
      <c r="AV46" s="21">
        <f>EXP(-LN(2)/25)*AV45+(1-EXP(-LN(2)/25))/(LN(2)/25)*Calculateur!AQ46*Calculateur!AS46*VLOOKUP('Données projet'!$B$10,Paramètres!$A$1:$I$89,3,0)*0.475*44/12</f>
        <v>64.959619619725359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82.788971633918379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5.3369963369963358</v>
      </c>
      <c r="BD46" s="12">
        <f>IF('Données projet'!$A$88&gt;35,BD45+BC46-BL45,IF(A46&lt;'Données projet'!$A$88,$BA$205^A46,IF(A46='Données projet'!$A$88,'Données projet'!$B$88,BD45+BC46-BL45)))</f>
        <v>157.08608058608053</v>
      </c>
      <c r="BE46" s="13">
        <f>BD46*VLOOKUP('Données projet'!$B$11,Paramètres!$A$1:$I$89,3,0)*VLOOKUP('Données projet'!$B$11,Paramètres!$A$1:$I$89,5,0)</f>
        <v>159.28528571428566</v>
      </c>
      <c r="BF46" s="13">
        <f t="shared" si="37"/>
        <v>40.681267624862308</v>
      </c>
      <c r="BG46" s="20">
        <f t="shared" si="7"/>
        <v>348.27508039901596</v>
      </c>
      <c r="BH46" s="59">
        <f t="shared" si="8"/>
        <v>641.60841373234928</v>
      </c>
      <c r="BI46" s="59">
        <f ca="1">AVERAGE(OFFSET($BH$3,0,0,'Données projet'!$E$11+1,1))-AVERAGE(OFFSET($H$3,0,0,'Données projet'!$E$11+1,1))</f>
        <v>264.08050363622294</v>
      </c>
      <c r="BJ46" s="59">
        <f t="shared" si="38"/>
        <v>164.48884512322883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20.591999999999999</v>
      </c>
      <c r="D47" s="11">
        <f t="shared" si="32"/>
        <v>6.6732298779519512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210.46844116313787</v>
      </c>
      <c r="H47" s="67">
        <f t="shared" si="1"/>
        <v>340.8202753707663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17.519780219780223</v>
      </c>
      <c r="N47" s="13">
        <f>IF('Données projet'!$A$36&gt;35,N46+M47-V46,IF(A47&lt;'Données projet'!$A$36,$K$205^A47,IF(A47='Données projet'!$A$36,'Données projet'!$B$36,N46+M47-V46)))</f>
        <v>316.9703296703297</v>
      </c>
      <c r="O47" s="13">
        <f>N47*VLOOKUP('Données projet'!$B$9,Paramètres!$A$1:$I$89,3,0)*VLOOKUP('Données projet'!$B$9,Paramètres!$A$1:$I$89,5,0)</f>
        <v>177.18641428571431</v>
      </c>
      <c r="P47" s="13">
        <f t="shared" si="33"/>
        <v>44.695642380138821</v>
      </c>
      <c r="Q47" s="20">
        <f t="shared" si="53"/>
        <v>386.44458202636088</v>
      </c>
      <c r="R47" s="59">
        <f t="shared" si="0"/>
        <v>679.77791535969413</v>
      </c>
      <c r="S47" s="59">
        <f ca="1">AVERAGE(OFFSET($R$3,0,0,'Données projet'!$E$9+1,1))-AVERAGE(OFFSET($H$3,0,0,'Données projet'!$E$9+1,1))</f>
        <v>254.6443970237226</v>
      </c>
      <c r="T47" s="59">
        <f t="shared" si="34"/>
        <v>231.81667808018062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38.977964438111862</v>
      </c>
      <c r="AA47" s="21">
        <f>EXP(-LN(2)/25)*AA46+(1-EXP(-LN(2)/25))/(LN(2)/25)*Calculateur!V47*Calculateur!X47*VLOOKUP('Données projet'!$B$9,Paramètres!$A$1:$I$89,3,0)*0.475*44/12</f>
        <v>24.621305047233125</v>
      </c>
      <c r="AB47" s="21">
        <f>EXP(-LN(2)/2)*AB46+(1-EXP(-LN(2)/2))/(LN(2)/2)*V47*Y47*VLOOKUP('Données projet'!$B$9,Paramètres!$A$1:$I$89,3,0)*0.475*44/12</f>
        <v>3.6978581367556771</v>
      </c>
      <c r="AC47" s="22">
        <f t="shared" si="3"/>
        <v>67.297127622100675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10.666666666666666</v>
      </c>
      <c r="AI47" s="13">
        <f>IF('Données projet'!$A$62&gt;35,AI46+AH47-AQ46,IF(A47&lt;'Données projet'!$A$62,$AF$205^A47,IF(A47='Données projet'!$A$62,'Données projet'!$B$62,AI46+AH47-AQ46)))</f>
        <v>209.33333333333334</v>
      </c>
      <c r="AJ47" s="13">
        <f>AI47*VLOOKUP('Données projet'!$B$10,Paramètres!$A$1:$I$89,3,0)*VLOOKUP('Données projet'!$B$10,Paramètres!$A$1:$I$89,5,0)</f>
        <v>130.62400000000002</v>
      </c>
      <c r="AK47" s="13">
        <f t="shared" si="35"/>
        <v>34.140507202645395</v>
      </c>
      <c r="AL47" s="20">
        <f t="shared" si="4"/>
        <v>286.96485004460743</v>
      </c>
      <c r="AM47" s="59">
        <f t="shared" si="5"/>
        <v>580.29818337794075</v>
      </c>
      <c r="AN47" s="59">
        <f ca="1">AVERAGE(OFFSET($AM$3,0,0,'Données projet'!$E$10+1,1))-AVERAGE(OFFSET($H$3,0,0,'Données projet'!$E$10+1,1))</f>
        <v>180.31844548479722</v>
      </c>
      <c r="AO47" s="59">
        <f t="shared" si="36"/>
        <v>273.83237400307223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17.479729296025628</v>
      </c>
      <c r="AV47" s="21">
        <f>EXP(-LN(2)/25)*AV46+(1-EXP(-LN(2)/25))/(LN(2)/25)*Calculateur!AQ47*Calculateur!AS47*VLOOKUP('Données projet'!$B$10,Paramètres!$A$1:$I$89,3,0)*0.475*44/12</f>
        <v>63.18329540514604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80.663024701171665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162.42307692307691</v>
      </c>
      <c r="BB47" s="12">
        <f>VLOOKUP(A47,'Données projet'!$A$87:$I$107,9,0)</f>
        <v>5.3369963369963358</v>
      </c>
      <c r="BC47" s="12">
        <f t="array" ref="BC47">INDEX(BB:BB,MIN(IF(ISNUMBER(BB47:BB243),ROW(BB47:BB243),"")))</f>
        <v>5.3369963369963358</v>
      </c>
      <c r="BD47" s="12">
        <f>IF('Données projet'!$A$88&gt;35,BD46+BC47-BL46,IF(A47&lt;'Données projet'!$A$88,$BA$205^A47,IF(A47='Données projet'!$A$88,'Données projet'!$B$88,BD46+BC47-BL46)))</f>
        <v>162.42307692307685</v>
      </c>
      <c r="BE47" s="13">
        <f>BD47*VLOOKUP('Données projet'!$B$11,Paramètres!$A$1:$I$89,3,0)*VLOOKUP('Données projet'!$B$11,Paramètres!$A$1:$I$89,5,0)</f>
        <v>164.69699999999995</v>
      </c>
      <c r="BF47" s="13">
        <f t="shared" si="37"/>
        <v>41.900146282502362</v>
      </c>
      <c r="BG47" s="20">
        <f t="shared" si="7"/>
        <v>359.82336310869147</v>
      </c>
      <c r="BH47" s="59">
        <f t="shared" si="8"/>
        <v>653.15669644202478</v>
      </c>
      <c r="BI47" s="59">
        <f ca="1">AVERAGE(OFFSET($BH$3,0,0,'Données projet'!$E$11+1,1))-AVERAGE(OFFSET($H$3,0,0,'Données projet'!$E$11+1,1))</f>
        <v>264.08050363622294</v>
      </c>
      <c r="BJ47" s="59">
        <f t="shared" si="38"/>
        <v>164.48884512322883</v>
      </c>
      <c r="BK47" s="15">
        <f>IF(ISNA(VLOOKUP(A47,'Données projet'!$A$87:$I$107,3,0)),0,VLOOKUP(A47,'Données projet'!$A$87:$I$107,3,0))</f>
        <v>1</v>
      </c>
      <c r="BL47" s="15">
        <f>IF(ISNA(VLOOKUP(A47,'Données projet'!$A$87:$I$107,4,0)),0,VLOOKUP(A47,'Données projet'!$A$87:$I$107,4,0))</f>
        <v>64.416666666666657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21.06</v>
      </c>
      <c r="D48" s="11">
        <f t="shared" si="32"/>
        <v>6.8070646889944983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215.11418356416803</v>
      </c>
      <c r="H48" s="67">
        <f t="shared" si="1"/>
        <v>341.86847099999875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17.519780219780223</v>
      </c>
      <c r="N48" s="13">
        <f>IF('Données projet'!$A$36&gt;35,N47+M48-V47,IF(A48&lt;'Données projet'!$A$36,$K$205^A48,IF(A48='Données projet'!$A$36,'Données projet'!$B$36,N47+M48-V47)))</f>
        <v>334.49010989010992</v>
      </c>
      <c r="O48" s="13">
        <f>N48*VLOOKUP('Données projet'!$B$9,Paramètres!$A$1:$I$89,3,0)*VLOOKUP('Données projet'!$B$9,Paramètres!$A$1:$I$89,5,0)</f>
        <v>186.97997142857147</v>
      </c>
      <c r="P48" s="13">
        <f t="shared" si="33"/>
        <v>46.871646064498115</v>
      </c>
      <c r="Q48" s="20">
        <f t="shared" si="53"/>
        <v>407.29156713376284</v>
      </c>
      <c r="R48" s="59">
        <f t="shared" si="0"/>
        <v>700.62490046709615</v>
      </c>
      <c r="S48" s="59">
        <f ca="1">AVERAGE(OFFSET($R$3,0,0,'Données projet'!$E$9+1,1))-AVERAGE(OFFSET($H$3,0,0,'Données projet'!$E$9+1,1))</f>
        <v>254.6443970237226</v>
      </c>
      <c r="T48" s="59">
        <f t="shared" si="34"/>
        <v>231.81667808018062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38.213630329691284</v>
      </c>
      <c r="AA48" s="21">
        <f>EXP(-LN(2)/25)*AA47+(1-EXP(-LN(2)/25))/(LN(2)/25)*Calculateur!V48*Calculateur!X48*VLOOKUP('Données projet'!$B$9,Paramètres!$A$1:$I$89,3,0)*0.475*44/12</f>
        <v>23.948034165938378</v>
      </c>
      <c r="AB48" s="21">
        <f>EXP(-LN(2)/2)*AB47+(1-EXP(-LN(2)/2))/(LN(2)/2)*V48*Y48*VLOOKUP('Données projet'!$B$9,Paramètres!$A$1:$I$89,3,0)*0.475*44/12</f>
        <v>2.6147805643657911</v>
      </c>
      <c r="AC48" s="22">
        <f t="shared" si="3"/>
        <v>64.776445059995453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10.666666666666666</v>
      </c>
      <c r="AI48" s="13">
        <f>IF('Données projet'!$A$62&gt;35,AI47+AH48-AQ47,IF(A48&lt;'Données projet'!$A$62,$AF$205^A48,IF(A48='Données projet'!$A$62,'Données projet'!$B$62,AI47+AH48-AQ47)))</f>
        <v>220</v>
      </c>
      <c r="AJ48" s="13">
        <f>AI48*VLOOKUP('Données projet'!$B$10,Paramètres!$A$1:$I$89,3,0)*VLOOKUP('Données projet'!$B$10,Paramètres!$A$1:$I$89,5,0)</f>
        <v>137.28</v>
      </c>
      <c r="AK48" s="13">
        <f t="shared" si="35"/>
        <v>35.673181961873446</v>
      </c>
      <c r="AL48" s="20">
        <f t="shared" si="4"/>
        <v>301.22679191692959</v>
      </c>
      <c r="AM48" s="59">
        <f t="shared" si="5"/>
        <v>594.5601252502629</v>
      </c>
      <c r="AN48" s="59">
        <f ca="1">AVERAGE(OFFSET($AM$3,0,0,'Données projet'!$E$10+1,1))-AVERAGE(OFFSET($H$3,0,0,'Données projet'!$E$10+1,1))</f>
        <v>180.31844548479722</v>
      </c>
      <c r="AO48" s="59">
        <f t="shared" si="36"/>
        <v>273.83237400307223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17.136962466112692</v>
      </c>
      <c r="AV48" s="21">
        <f>EXP(-LN(2)/25)*AV47+(1-EXP(-LN(2)/25))/(LN(2)/25)*Calculateur!AQ48*Calculateur!AS48*VLOOKUP('Données projet'!$B$10,Paramètres!$A$1:$I$89,3,0)*0.475*44/12</f>
        <v>61.455544869627225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78.592507335739924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6.826007326007324</v>
      </c>
      <c r="BD48" s="12">
        <f>IF('Données projet'!$A$88&gt;35,BD47+BC48-BL47,IF(A48&lt;'Données projet'!$A$88,$BA$205^A48,IF(A48='Données projet'!$A$88,'Données projet'!$B$88,BD47+BC48-BL47)))</f>
        <v>104.83241758241752</v>
      </c>
      <c r="BE48" s="13">
        <f>BD48*VLOOKUP('Données projet'!$B$11,Paramètres!$A$1:$I$89,3,0)*VLOOKUP('Données projet'!$B$11,Paramètres!$A$1:$I$89,5,0)</f>
        <v>106.30007142857137</v>
      </c>
      <c r="BF48" s="13">
        <f t="shared" si="37"/>
        <v>28.457524292851215</v>
      </c>
      <c r="BG48" s="20">
        <f t="shared" si="7"/>
        <v>234.70281254814427</v>
      </c>
      <c r="BH48" s="59">
        <f t="shared" si="8"/>
        <v>528.03614588147752</v>
      </c>
      <c r="BI48" s="59">
        <f ca="1">AVERAGE(OFFSET($BH$3,0,0,'Données projet'!$E$11+1,1))-AVERAGE(OFFSET($H$3,0,0,'Données projet'!$E$11+1,1))</f>
        <v>264.08050363622294</v>
      </c>
      <c r="BJ48" s="59">
        <f t="shared" si="38"/>
        <v>164.48884512322883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49" s="11">
        <f t="shared" si="32"/>
        <v>6.9405537312613585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219.75725687289471</v>
      </c>
      <c r="H49" s="67">
        <f t="shared" si="1"/>
        <v>342.91606441528018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17.519780219780223</v>
      </c>
      <c r="N49" s="13">
        <f>IF('Données projet'!$A$36&gt;35,N48+M49-V48,IF(A49&lt;'Données projet'!$A$36,$K$205^A49,IF(A49='Données projet'!$A$36,'Données projet'!$B$36,N48+M49-V48)))</f>
        <v>352.00989010989014</v>
      </c>
      <c r="O49" s="13">
        <f>N49*VLOOKUP('Données projet'!$B$9,Paramètres!$A$1:$I$89,3,0)*VLOOKUP('Données projet'!$B$9,Paramètres!$A$1:$I$89,5,0)</f>
        <v>196.77352857142859</v>
      </c>
      <c r="P49" s="13">
        <f t="shared" si="33"/>
        <v>49.034417171503861</v>
      </c>
      <c r="Q49" s="20">
        <f t="shared" si="53"/>
        <v>428.11550550227395</v>
      </c>
      <c r="R49" s="59">
        <f t="shared" si="0"/>
        <v>721.44883883560726</v>
      </c>
      <c r="S49" s="59">
        <f ca="1">AVERAGE(OFFSET($R$3,0,0,'Données projet'!$E$9+1,1))-AVERAGE(OFFSET($H$3,0,0,'Données projet'!$E$9+1,1))</f>
        <v>254.6443970237226</v>
      </c>
      <c r="T49" s="59">
        <f t="shared" si="34"/>
        <v>231.81667808018062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37.464284346939067</v>
      </c>
      <c r="AA49" s="21">
        <f>EXP(-LN(2)/25)*AA48+(1-EXP(-LN(2)/25))/(LN(2)/25)*Calculateur!V49*Calculateur!X49*VLOOKUP('Données projet'!$B$9,Paramètres!$A$1:$I$89,3,0)*0.475*44/12</f>
        <v>23.29317391229841</v>
      </c>
      <c r="AB49" s="21">
        <f>EXP(-LN(2)/2)*AB48+(1-EXP(-LN(2)/2))/(LN(2)/2)*V49*Y49*VLOOKUP('Données projet'!$B$9,Paramètres!$A$1:$I$89,3,0)*0.475*44/12</f>
        <v>1.8489290683778388</v>
      </c>
      <c r="AC49" s="22">
        <f t="shared" si="3"/>
        <v>62.606387327615323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10.666666666666666</v>
      </c>
      <c r="AI49" s="13">
        <f>IF('Données projet'!$A$62&gt;35,AI48+AH49-AQ48,IF(A49&lt;'Données projet'!$A$62,$AF$205^A49,IF(A49='Données projet'!$A$62,'Données projet'!$B$62,AI48+AH49-AQ48)))</f>
        <v>230.66666666666666</v>
      </c>
      <c r="AJ49" s="13">
        <f>AI49*VLOOKUP('Données projet'!$B$10,Paramètres!$A$1:$I$89,3,0)*VLOOKUP('Données projet'!$B$10,Paramètres!$A$1:$I$89,5,0)</f>
        <v>143.93599999999998</v>
      </c>
      <c r="AK49" s="13">
        <f t="shared" si="35"/>
        <v>37.197227655019397</v>
      </c>
      <c r="AL49" s="20">
        <f t="shared" si="4"/>
        <v>315.47370483249205</v>
      </c>
      <c r="AM49" s="59">
        <f t="shared" si="5"/>
        <v>608.80703816582536</v>
      </c>
      <c r="AN49" s="59">
        <f ca="1">AVERAGE(OFFSET($AM$3,0,0,'Données projet'!$E$10+1,1))-AVERAGE(OFFSET($H$3,0,0,'Données projet'!$E$10+1,1))</f>
        <v>180.31844548479722</v>
      </c>
      <c r="AO49" s="59">
        <f t="shared" si="36"/>
        <v>273.83237400307223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16.800917084667226</v>
      </c>
      <c r="AV49" s="21">
        <f>EXP(-LN(2)/25)*AV48+(1-EXP(-LN(2)/25))/(LN(2)/25)*Calculateur!AQ49*Calculateur!AS49*VLOOKUP('Données projet'!$B$10,Paramètres!$A$1:$I$89,3,0)*0.475*44/12</f>
        <v>59.775039763360624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76.575956848027857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6.826007326007324</v>
      </c>
      <c r="BD49" s="12">
        <f>IF('Données projet'!$A$88&gt;35,BD48+BC49-BL48,IF(A49&lt;'Données projet'!$A$88,$BA$205^A49,IF(A49='Données projet'!$A$88,'Données projet'!$B$88,BD48+BC49-BL48)))</f>
        <v>111.65842490842485</v>
      </c>
      <c r="BE49" s="13">
        <f>BD49*VLOOKUP('Données projet'!$B$11,Paramètres!$A$1:$I$89,3,0)*VLOOKUP('Données projet'!$B$11,Paramètres!$A$1:$I$89,5,0)</f>
        <v>113.2216428571428</v>
      </c>
      <c r="BF49" s="13">
        <f t="shared" si="37"/>
        <v>30.088748821593761</v>
      </c>
      <c r="BG49" s="20">
        <f t="shared" si="7"/>
        <v>249.59893217379951</v>
      </c>
      <c r="BH49" s="59">
        <f t="shared" si="8"/>
        <v>542.9322655071328</v>
      </c>
      <c r="BI49" s="59">
        <f ca="1">AVERAGE(OFFSET($BH$3,0,0,'Données projet'!$E$11+1,1))-AVERAGE(OFFSET($H$3,0,0,'Données projet'!$E$11+1,1))</f>
        <v>264.08050363622294</v>
      </c>
      <c r="BJ49" s="59">
        <f t="shared" si="38"/>
        <v>164.48884512322883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21.995999999999999</v>
      </c>
      <c r="D50" s="11">
        <f t="shared" si="32"/>
        <v>7.0737053871356732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224.39772579543327</v>
      </c>
      <c r="H50" s="67">
        <f t="shared" si="1"/>
        <v>343.96307021592793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17.519780219780223</v>
      </c>
      <c r="N50" s="13">
        <f>IF('Données projet'!$A$36&gt;35,N49+M50-V49,IF(A50&lt;'Données projet'!$A$36,$K$205^A50,IF(A50='Données projet'!$A$36,'Données projet'!$B$36,N49+M50-V49)))</f>
        <v>369.52967032967035</v>
      </c>
      <c r="O50" s="13">
        <f>N50*VLOOKUP('Données projet'!$B$9,Paramètres!$A$1:$I$89,3,0)*VLOOKUP('Données projet'!$B$9,Paramètres!$A$1:$I$89,5,0)</f>
        <v>206.56708571428572</v>
      </c>
      <c r="P50" s="13">
        <f t="shared" si="33"/>
        <v>51.184689450990696</v>
      </c>
      <c r="Q50" s="20">
        <f t="shared" si="53"/>
        <v>448.91767507952301</v>
      </c>
      <c r="R50" s="59">
        <f t="shared" si="0"/>
        <v>742.25100841285632</v>
      </c>
      <c r="S50" s="59">
        <f ca="1">AVERAGE(OFFSET($R$3,0,0,'Données projet'!$E$9+1,1))-AVERAGE(OFFSET($H$3,0,0,'Données projet'!$E$9+1,1))</f>
        <v>254.6443970237226</v>
      </c>
      <c r="T50" s="59">
        <f t="shared" si="34"/>
        <v>231.81667808018062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36.729632581852698</v>
      </c>
      <c r="AA50" s="21">
        <f>EXP(-LN(2)/25)*AA49+(1-EXP(-LN(2)/25))/(LN(2)/25)*Calculateur!V50*Calculateur!X50*VLOOKUP('Données projet'!$B$9,Paramètres!$A$1:$I$89,3,0)*0.475*44/12</f>
        <v>22.656220846731831</v>
      </c>
      <c r="AB50" s="21">
        <f>EXP(-LN(2)/2)*AB49+(1-EXP(-LN(2)/2))/(LN(2)/2)*V50*Y50*VLOOKUP('Données projet'!$B$9,Paramètres!$A$1:$I$89,3,0)*0.475*44/12</f>
        <v>1.3073902821828958</v>
      </c>
      <c r="AC50" s="22">
        <f t="shared" si="3"/>
        <v>60.693243710767419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10.666666666666666</v>
      </c>
      <c r="AI50" s="13">
        <f>IF('Données projet'!$A$62&gt;35,AI49+AH50-AQ49,IF(A50&lt;'Données projet'!$A$62,$AF$205^A50,IF(A50='Données projet'!$A$62,'Données projet'!$B$62,AI49+AH50-AQ49)))</f>
        <v>241.33333333333331</v>
      </c>
      <c r="AJ50" s="13">
        <f>AI50*VLOOKUP('Données projet'!$B$10,Paramètres!$A$1:$I$89,3,0)*VLOOKUP('Données projet'!$B$10,Paramètres!$A$1:$I$89,5,0)</f>
        <v>150.59199999999998</v>
      </c>
      <c r="AK50" s="13">
        <f t="shared" si="35"/>
        <v>38.713088888505631</v>
      </c>
      <c r="AL50" s="20">
        <f t="shared" si="4"/>
        <v>329.70636314748066</v>
      </c>
      <c r="AM50" s="59">
        <f t="shared" si="5"/>
        <v>623.03969648081397</v>
      </c>
      <c r="AN50" s="59">
        <f ca="1">AVERAGE(OFFSET($AM$3,0,0,'Données projet'!$E$10+1,1))-AVERAGE(OFFSET($H$3,0,0,'Données projet'!$E$10+1,1))</f>
        <v>180.31844548479722</v>
      </c>
      <c r="AO50" s="59">
        <f t="shared" si="36"/>
        <v>273.83237400307223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16.471461348184462</v>
      </c>
      <c r="AV50" s="21">
        <f>EXP(-LN(2)/25)*AV49+(1-EXP(-LN(2)/25))/(LN(2)/25)*Calculateur!AQ50*Calculateur!AS50*VLOOKUP('Données projet'!$B$10,Paramètres!$A$1:$I$89,3,0)*0.475*44/12</f>
        <v>58.140488157598803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74.611949505783258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6.826007326007324</v>
      </c>
      <c r="BD50" s="12">
        <f>IF('Données projet'!$A$88&gt;35,BD49+BC50-BL49,IF(A50&lt;'Données projet'!$A$88,$BA$205^A50,IF(A50='Données projet'!$A$88,'Données projet'!$B$88,BD49+BC50-BL49)))</f>
        <v>118.48443223443218</v>
      </c>
      <c r="BE50" s="13">
        <f>BD50*VLOOKUP('Données projet'!$B$11,Paramètres!$A$1:$I$89,3,0)*VLOOKUP('Données projet'!$B$11,Paramètres!$A$1:$I$89,5,0)</f>
        <v>120.14321428571424</v>
      </c>
      <c r="BF50" s="13">
        <f t="shared" si="37"/>
        <v>31.708399355356544</v>
      </c>
      <c r="BG50" s="20">
        <f t="shared" si="7"/>
        <v>264.47489375819822</v>
      </c>
      <c r="BH50" s="59">
        <f t="shared" si="8"/>
        <v>557.80822709153153</v>
      </c>
      <c r="BI50" s="59">
        <f ca="1">AVERAGE(OFFSET($BH$3,0,0,'Données projet'!$E$11+1,1))-AVERAGE(OFFSET($H$3,0,0,'Données projet'!$E$11+1,1))</f>
        <v>264.08050363622294</v>
      </c>
      <c r="BJ50" s="59">
        <f t="shared" si="38"/>
        <v>164.48884512322883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22.463999999999999</v>
      </c>
      <c r="D51" s="11">
        <f t="shared" si="32"/>
        <v>7.2065276619252296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229.03565212714213</v>
      </c>
      <c r="H51" s="67">
        <f t="shared" si="1"/>
        <v>345.00950234451977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17.519780219780223</v>
      </c>
      <c r="N51" s="13">
        <f>IF('Données projet'!$A$36&gt;35,N50+M51-V50,IF(A51&lt;'Données projet'!$A$36,$K$205^A51,IF(A51='Données projet'!$A$36,'Données projet'!$B$36,N50+M51-V50)))</f>
        <v>387.04945054945057</v>
      </c>
      <c r="O51" s="13">
        <f>N51*VLOOKUP('Données projet'!$B$9,Paramètres!$A$1:$I$89,3,0)*VLOOKUP('Données projet'!$B$9,Paramètres!$A$1:$I$89,5,0)</f>
        <v>216.36064285714286</v>
      </c>
      <c r="P51" s="13">
        <f t="shared" si="33"/>
        <v>53.323123145592824</v>
      </c>
      <c r="Q51" s="20">
        <f t="shared" si="53"/>
        <v>469.69922578809798</v>
      </c>
      <c r="R51" s="59">
        <f t="shared" si="0"/>
        <v>763.03255912143129</v>
      </c>
      <c r="S51" s="59">
        <f ca="1">AVERAGE(OFFSET($R$3,0,0,'Données projet'!$E$9+1,1))-AVERAGE(OFFSET($H$3,0,0,'Données projet'!$E$9+1,1))</f>
        <v>254.6443970237226</v>
      </c>
      <c r="T51" s="59">
        <f t="shared" si="34"/>
        <v>231.81667808018062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36.009386889786342</v>
      </c>
      <c r="AA51" s="21">
        <f>EXP(-LN(2)/25)*AA50+(1-EXP(-LN(2)/25))/(LN(2)/25)*Calculateur!V51*Calculateur!X51*VLOOKUP('Données projet'!$B$9,Paramètres!$A$1:$I$89,3,0)*0.475*44/12</f>
        <v>22.036685296239074</v>
      </c>
      <c r="AB51" s="21">
        <f>EXP(-LN(2)/2)*AB50+(1-EXP(-LN(2)/2))/(LN(2)/2)*V51*Y51*VLOOKUP('Données projet'!$B$9,Paramètres!$A$1:$I$89,3,0)*0.475*44/12</f>
        <v>0.92446453418891961</v>
      </c>
      <c r="AC51" s="22">
        <f t="shared" si="3"/>
        <v>58.970536720214334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252</v>
      </c>
      <c r="AG51" s="12">
        <f>VLOOKUP(A51,'Données projet'!$A$61:$I$81,9,0)</f>
        <v>10.666666666666666</v>
      </c>
      <c r="AH51" s="12">
        <f t="array" ref="AH51">INDEX(AG:AG,MIN(IF(ISNUMBER(AG51:AG247),ROW(AG51:AG247),"")))</f>
        <v>10.666666666666666</v>
      </c>
      <c r="AI51" s="13">
        <f>IF('Données projet'!$A$62&gt;35,AI50+AH51-AQ50,IF(A51&lt;'Données projet'!$A$62,$AF$205^A51,IF(A51='Données projet'!$A$62,'Données projet'!$B$62,AI50+AH51-AQ50)))</f>
        <v>251.99999999999997</v>
      </c>
      <c r="AJ51" s="13">
        <f>AI51*VLOOKUP('Données projet'!$B$10,Paramètres!$A$1:$I$89,3,0)*VLOOKUP('Données projet'!$B$10,Paramètres!$A$1:$I$89,5,0)</f>
        <v>157.24799999999999</v>
      </c>
      <c r="AK51" s="13">
        <f t="shared" si="35"/>
        <v>40.22116874434861</v>
      </c>
      <c r="AL51" s="20">
        <f t="shared" si="4"/>
        <v>343.92546889640715</v>
      </c>
      <c r="AM51" s="59">
        <f t="shared" si="5"/>
        <v>637.25880222974047</v>
      </c>
      <c r="AN51" s="59">
        <f ca="1">AVERAGE(OFFSET($AM$3,0,0,'Données projet'!$E$10+1,1))-AVERAGE(OFFSET($H$3,0,0,'Données projet'!$E$10+1,1))</f>
        <v>180.31844548479722</v>
      </c>
      <c r="AO51" s="59">
        <f t="shared" si="36"/>
        <v>273.83237400307223</v>
      </c>
      <c r="AP51" s="15">
        <f>IF(ISNA(VLOOKUP(A51,'Données projet'!$A$61:$I$81,3,0)),0,VLOOKUP(A51,'Données projet'!$A$61:$I$81,3,0))</f>
        <v>7</v>
      </c>
      <c r="AQ51" s="15">
        <f>IF(ISNA(VLOOKUP(A51,'Données projet'!$A$61:$I$81,4,0)),0,VLOOKUP(A51,'Données projet'!$A$61:$I$81,4,0))</f>
        <v>65</v>
      </c>
      <c r="AR51" s="16">
        <f>IF(ISNA(VLOOKUP(A51,'Données projet'!$A$61:$I$81,5,0)),0%,VLOOKUP(A51,'Données projet'!$A$61:$I$81,5,0)*VLOOKUP('Données projet'!$B$10,Paramètres!$A$1:$I$89,7,0))</f>
        <v>0.24</v>
      </c>
      <c r="AS51" s="16">
        <f>IF(ISNA(VLOOKUP(A51,'Données projet'!$A$61:$I$81,6,0)),0%,VLOOKUP(A51,'Données projet'!$A$61:$I$81,6,0)*VLOOKUP('Données projet'!$B$10,Paramètres!$A$1:$I$89,7,0))</f>
        <v>0.36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29.061775072776626</v>
      </c>
      <c r="AV51" s="21">
        <f>EXP(-LN(2)/25)*AV50+(1-EXP(-LN(2)/25))/(LN(2)/25)*Calculateur!AQ51*Calculateur!AS51*VLOOKUP('Données projet'!$B$10,Paramètres!$A$1:$I$89,3,0)*0.475*44/12</f>
        <v>75.844330076958755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104.90610514973538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6.826007326007324</v>
      </c>
      <c r="BD51" s="12">
        <f>IF('Données projet'!$A$88&gt;35,BD50+BC51-BL50,IF(A51&lt;'Données projet'!$A$88,$BA$205^A51,IF(A51='Données projet'!$A$88,'Données projet'!$B$88,BD50+BC51-BL50)))</f>
        <v>125.31043956043951</v>
      </c>
      <c r="BE51" s="13">
        <f>BD51*VLOOKUP('Données projet'!$B$11,Paramètres!$A$1:$I$89,3,0)*VLOOKUP('Données projet'!$B$11,Paramètres!$A$1:$I$89,5,0)</f>
        <v>127.06478571428566</v>
      </c>
      <c r="BF51" s="13">
        <f t="shared" si="37"/>
        <v>33.317218652426654</v>
      </c>
      <c r="BG51" s="20">
        <f t="shared" si="7"/>
        <v>279.33199093869058</v>
      </c>
      <c r="BH51" s="59">
        <f t="shared" si="8"/>
        <v>572.66532427202389</v>
      </c>
      <c r="BI51" s="59">
        <f ca="1">AVERAGE(OFFSET($BH$3,0,0,'Données projet'!$E$11+1,1))-AVERAGE(OFFSET($H$3,0,0,'Données projet'!$E$11+1,1))</f>
        <v>264.08050363622294</v>
      </c>
      <c r="BJ51" s="59">
        <f t="shared" si="38"/>
        <v>164.48884512322883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22.931999999999999</v>
      </c>
      <c r="D52" s="11">
        <f t="shared" si="32"/>
        <v>7.3390282083215084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233.67109494142917</v>
      </c>
      <c r="H52" s="67">
        <f t="shared" si="1"/>
        <v>346.05537412949326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>
        <f>VLOOKUP(A52,'Données projet'!$A$35:$I$55,2,0)</f>
        <v>404.56923076923078</v>
      </c>
      <c r="L52" s="12">
        <f>VLOOKUP(A52,'Données projet'!$A$35:$I$55,9,0)</f>
        <v>17.519780219780223</v>
      </c>
      <c r="M52" s="12">
        <f t="array" ref="M52">INDEX(L:L,MIN(IF(ISNUMBER(L52:L248),ROW(L52:L248),"")))</f>
        <v>17.519780219780223</v>
      </c>
      <c r="N52" s="13">
        <f>IF('Données projet'!$A$36&gt;35,N51+M52-V51,IF(A52&lt;'Données projet'!$A$36,$K$205^A52,IF(A52='Données projet'!$A$36,'Données projet'!$B$36,N51+M52-V51)))</f>
        <v>404.56923076923078</v>
      </c>
      <c r="O52" s="13">
        <f>N52*VLOOKUP('Données projet'!$B$9,Paramètres!$A$1:$I$89,3,0)*VLOOKUP('Données projet'!$B$9,Paramètres!$A$1:$I$89,5,0)</f>
        <v>226.1542</v>
      </c>
      <c r="P52" s="13">
        <f t="shared" si="33"/>
        <v>55.450315347427015</v>
      </c>
      <c r="Q52" s="20">
        <f t="shared" si="53"/>
        <v>490.46119756343541</v>
      </c>
      <c r="R52" s="59">
        <f t="shared" si="0"/>
        <v>783.79453089676872</v>
      </c>
      <c r="S52" s="59">
        <f ca="1">AVERAGE(OFFSET($R$3,0,0,'Données projet'!$E$9+1,1))-AVERAGE(OFFSET($H$3,0,0,'Données projet'!$E$9+1,1))</f>
        <v>254.6443970237226</v>
      </c>
      <c r="T52" s="59">
        <f t="shared" si="34"/>
        <v>231.81667808018062</v>
      </c>
      <c r="U52" s="15">
        <f>IF(ISNA(VLOOKUP(A52,'Données projet'!$A$35:$I$55,3,0)),0,VLOOKUP(A52,'Données projet'!$A$35:$I$55,3,0))</f>
        <v>5</v>
      </c>
      <c r="V52" s="15">
        <f>IF(ISNA(VLOOKUP(A52,'Données projet'!$A$35:$I$55,4,0)),0,VLOOKUP(A52,'Données projet'!$A$35:$I$55,4,0))</f>
        <v>90.453846153846158</v>
      </c>
      <c r="W52" s="16">
        <f>IF(ISNA(VLOOKUP(A52,'Données projet'!$A$35:$I$55,5,0)),0%,VLOOKUP(A52,'Données projet'!$A$35:$I$55,5,0)*VLOOKUP('Données projet'!$B$9,Paramètres!$A$1:$I$89,7,0))</f>
        <v>0.38500000000000001</v>
      </c>
      <c r="X52" s="16">
        <f>IF(ISNA(VLOOKUP(A52,'Données projet'!$A$35:$I$55,6,0)),0%,VLOOKUP(A52,'Données projet'!$A$35:$I$55,6,0)*VLOOKUP('Données projet'!$B$9,Paramètres!$A$1:$I$89,7,0))</f>
        <v>9.240000000000001E-2</v>
      </c>
      <c r="Y52" s="16">
        <f>IF(ISNA(VLOOKUP(A52,'Données projet'!$A$35:$I$55,7,0)),0%,VLOOKUP(A52,'Données projet'!$A$35:$I$55,7,0))</f>
        <v>0.13200000000000001</v>
      </c>
      <c r="Z52" s="21">
        <f>EXP(-LN(2)/35)*Z51+(1-EXP(-LN(2)/35))/(LN(2)/35)*V52*W52*VLOOKUP('Données projet'!$B$9,Paramètres!$A$1:$I$89,3,0)*0.475*44/12</f>
        <v>61.127527531305603</v>
      </c>
      <c r="AA52" s="21">
        <f>EXP(-LN(2)/25)*AA51+(1-EXP(-LN(2)/25))/(LN(2)/25)*Calculateur!V52*Calculateur!X52*VLOOKUP('Données projet'!$B$9,Paramètres!$A$1:$I$89,3,0)*0.475*44/12</f>
        <v>27.607510848175917</v>
      </c>
      <c r="AB52" s="21">
        <f>EXP(-LN(2)/2)*AB51+(1-EXP(-LN(2)/2))/(LN(2)/2)*V52*Y52*VLOOKUP('Données projet'!$B$9,Paramètres!$A$1:$I$89,3,0)*0.475*44/12</f>
        <v>8.2106758984533919</v>
      </c>
      <c r="AC52" s="22">
        <f t="shared" si="3"/>
        <v>96.945714277934911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9.75</v>
      </c>
      <c r="AI52" s="13">
        <f>IF('Données projet'!$A$62&gt;35,AI51+AH52-AQ51,IF(A52&lt;'Données projet'!$A$62,$AF$205^A52,IF(A52='Données projet'!$A$62,'Données projet'!$B$62,AI51+AH52-AQ51)))</f>
        <v>196.75</v>
      </c>
      <c r="AJ52" s="13">
        <f>AI52*VLOOKUP('Données projet'!$B$10,Paramètres!$A$1:$I$89,3,0)*VLOOKUP('Données projet'!$B$10,Paramètres!$A$1:$I$89,5,0)</f>
        <v>122.77200000000001</v>
      </c>
      <c r="AK52" s="13">
        <f t="shared" si="35"/>
        <v>32.320660955470466</v>
      </c>
      <c r="AL52" s="20">
        <f t="shared" si="4"/>
        <v>270.11971783077774</v>
      </c>
      <c r="AM52" s="59">
        <f t="shared" si="5"/>
        <v>563.453051164111</v>
      </c>
      <c r="AN52" s="59">
        <f ca="1">AVERAGE(OFFSET($AM$3,0,0,'Données projet'!$E$10+1,1))-AVERAGE(OFFSET($H$3,0,0,'Données projet'!$E$10+1,1))</f>
        <v>180.31844548479722</v>
      </c>
      <c r="AO52" s="59">
        <f t="shared" si="36"/>
        <v>273.83237400307223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28.491891389531979</v>
      </c>
      <c r="AV52" s="21">
        <f>EXP(-LN(2)/25)*AV51+(1-EXP(-LN(2)/25))/(LN(2)/25)*Calculateur!AQ52*Calculateur!AS52*VLOOKUP('Données projet'!$B$10,Paramètres!$A$1:$I$89,3,0)*0.475*44/12</f>
        <v>73.770362882524338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102.26225427205631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6.826007326007324</v>
      </c>
      <c r="BD52" s="12">
        <f>IF('Données projet'!$A$88&gt;35,BD51+BC52-BL51,IF(A52&lt;'Données projet'!$A$88,$BA$205^A52,IF(A52='Données projet'!$A$88,'Données projet'!$B$88,BD51+BC52-BL51)))</f>
        <v>132.13644688644683</v>
      </c>
      <c r="BE52" s="13">
        <f>BD52*VLOOKUP('Données projet'!$B$11,Paramètres!$A$1:$I$89,3,0)*VLOOKUP('Données projet'!$B$11,Paramètres!$A$1:$I$89,5,0)</f>
        <v>133.98635714285712</v>
      </c>
      <c r="BF52" s="13">
        <f t="shared" si="37"/>
        <v>34.915863980670267</v>
      </c>
      <c r="BG52" s="20">
        <f t="shared" si="7"/>
        <v>294.17136845681017</v>
      </c>
      <c r="BH52" s="59">
        <f t="shared" si="8"/>
        <v>587.50470179014349</v>
      </c>
      <c r="BI52" s="59">
        <f ca="1">AVERAGE(OFFSET($BH$3,0,0,'Données projet'!$E$11+1,1))-AVERAGE(OFFSET($H$3,0,0,'Données projet'!$E$11+1,1))</f>
        <v>264.08050363622294</v>
      </c>
      <c r="BJ52" s="59">
        <f t="shared" si="38"/>
        <v>164.48884512322883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</v>
      </c>
      <c r="D53" s="11">
        <f t="shared" si="32"/>
        <v>7.4712143488056828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238.30411076271048</v>
      </c>
      <c r="H53" s="67">
        <f t="shared" si="1"/>
        <v>347.10069832416985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16.227472527472521</v>
      </c>
      <c r="N53" s="13">
        <f>IF('Données projet'!$A$36&gt;35,N52+M53-V52,IF(A53&lt;'Données projet'!$A$36,$K$205^A53,IF(A53='Données projet'!$A$36,'Données projet'!$B$36,N52+M53-V52)))</f>
        <v>330.34285714285716</v>
      </c>
      <c r="O53" s="13">
        <f>N53*VLOOKUP('Données projet'!$B$9,Paramètres!$A$1:$I$89,3,0)*VLOOKUP('Données projet'!$B$9,Paramètres!$A$1:$I$89,5,0)</f>
        <v>184.66165714285717</v>
      </c>
      <c r="P53" s="13">
        <f t="shared" si="33"/>
        <v>46.357770619215231</v>
      </c>
      <c r="Q53" s="20">
        <f t="shared" si="53"/>
        <v>402.35883668560945</v>
      </c>
      <c r="R53" s="59">
        <f t="shared" si="0"/>
        <v>695.69217001894276</v>
      </c>
      <c r="S53" s="59">
        <f ca="1">AVERAGE(OFFSET($R$3,0,0,'Données projet'!$E$9+1,1))-AVERAGE(OFFSET($H$3,0,0,'Données projet'!$E$9+1,1))</f>
        <v>254.6443970237226</v>
      </c>
      <c r="T53" s="59">
        <f t="shared" si="34"/>
        <v>231.81667808018062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59.928854000526997</v>
      </c>
      <c r="AA53" s="21">
        <f>EXP(-LN(2)/25)*AA52+(1-EXP(-LN(2)/25))/(LN(2)/25)*Calculateur!V53*Calculateur!X53*VLOOKUP('Données projet'!$B$9,Paramètres!$A$1:$I$89,3,0)*0.475*44/12</f>
        <v>26.852582012216647</v>
      </c>
      <c r="AB53" s="21">
        <f>EXP(-LN(2)/2)*AB52+(1-EXP(-LN(2)/2))/(LN(2)/2)*V53*Y53*VLOOKUP('Données projet'!$B$9,Paramètres!$A$1:$I$89,3,0)*0.475*44/12</f>
        <v>5.8058246059213428</v>
      </c>
      <c r="AC53" s="22">
        <f t="shared" si="3"/>
        <v>92.587260618664985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9.75</v>
      </c>
      <c r="AI53" s="13">
        <f>IF('Données projet'!$A$62&gt;35,AI52+AH53-AQ52,IF(A53&lt;'Données projet'!$A$62,$AF$205^A53,IF(A53='Données projet'!$A$62,'Données projet'!$B$62,AI52+AH53-AQ52)))</f>
        <v>206.5</v>
      </c>
      <c r="AJ53" s="13">
        <f>AI53*VLOOKUP('Données projet'!$B$10,Paramètres!$A$1:$I$89,3,0)*VLOOKUP('Données projet'!$B$10,Paramètres!$A$1:$I$89,5,0)</f>
        <v>128.85599999999999</v>
      </c>
      <c r="AK53" s="13">
        <f t="shared" si="35"/>
        <v>33.731878688740906</v>
      </c>
      <c r="AL53" s="20">
        <f t="shared" si="4"/>
        <v>283.1738887162237</v>
      </c>
      <c r="AM53" s="59">
        <f t="shared" si="5"/>
        <v>576.50722204955696</v>
      </c>
      <c r="AN53" s="59">
        <f ca="1">AVERAGE(OFFSET($AM$3,0,0,'Données projet'!$E$10+1,1))-AVERAGE(OFFSET($H$3,0,0,'Données projet'!$E$10+1,1))</f>
        <v>180.31844548479722</v>
      </c>
      <c r="AO53" s="59">
        <f t="shared" si="36"/>
        <v>273.83237400307223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27.933182777721036</v>
      </c>
      <c r="AV53" s="21">
        <f>EXP(-LN(2)/25)*AV52+(1-EXP(-LN(2)/25))/(LN(2)/25)*Calculateur!AQ53*Calculateur!AS53*VLOOKUP('Données projet'!$B$10,Paramètres!$A$1:$I$89,3,0)*0.475*44/12</f>
        <v>71.753108430086925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99.686291207807955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6.826007326007324</v>
      </c>
      <c r="BD53" s="12">
        <f>IF('Données projet'!$A$88&gt;35,BD52+BC53-BL52,IF(A53&lt;'Données projet'!$A$88,$BA$205^A53,IF(A53='Données projet'!$A$88,'Données projet'!$B$88,BD52+BC53-BL52)))</f>
        <v>138.96245421245416</v>
      </c>
      <c r="BE53" s="13">
        <f>BD53*VLOOKUP('Données projet'!$B$11,Paramètres!$A$1:$I$89,3,0)*VLOOKUP('Données projet'!$B$11,Paramètres!$A$1:$I$89,5,0)</f>
        <v>140.90792857142853</v>
      </c>
      <c r="BF53" s="13">
        <f t="shared" si="37"/>
        <v>36.504920865079967</v>
      </c>
      <c r="BG53" s="20">
        <f t="shared" si="7"/>
        <v>308.99404610191897</v>
      </c>
      <c r="BH53" s="59">
        <f t="shared" si="8"/>
        <v>602.32737943525228</v>
      </c>
      <c r="BI53" s="59">
        <f ca="1">AVERAGE(OFFSET($BH$3,0,0,'Données projet'!$E$11+1,1))-AVERAGE(OFFSET($H$3,0,0,'Données projet'!$E$11+1,1))</f>
        <v>264.08050363622294</v>
      </c>
      <c r="BJ53" s="59">
        <f t="shared" si="38"/>
        <v>164.48884512322883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23.867999999999999</v>
      </c>
      <c r="D54" s="11">
        <f t="shared" si="32"/>
        <v>7.6030930962115368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242.93475372514169</v>
      </c>
      <c r="H54" s="67">
        <f t="shared" si="1"/>
        <v>348.14548714256841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16.227472527472521</v>
      </c>
      <c r="N54" s="13">
        <f>IF('Données projet'!$A$36&gt;35,N53+M54-V53,IF(A54&lt;'Données projet'!$A$36,$K$205^A54,IF(A54='Données projet'!$A$36,'Données projet'!$B$36,N53+M54-V53)))</f>
        <v>346.57032967032967</v>
      </c>
      <c r="O54" s="13">
        <f>N54*VLOOKUP('Données projet'!$B$9,Paramètres!$A$1:$I$89,3,0)*VLOOKUP('Données projet'!$B$9,Paramètres!$A$1:$I$89,5,0)</f>
        <v>193.73281428571428</v>
      </c>
      <c r="P54" s="13">
        <f t="shared" si="33"/>
        <v>48.364288285880846</v>
      </c>
      <c r="Q54" s="20">
        <f t="shared" si="53"/>
        <v>421.65245364552817</v>
      </c>
      <c r="R54" s="59">
        <f t="shared" si="0"/>
        <v>714.98578697886148</v>
      </c>
      <c r="S54" s="59">
        <f ca="1">AVERAGE(OFFSET($R$3,0,0,'Données projet'!$E$9+1,1))-AVERAGE(OFFSET($H$3,0,0,'Données projet'!$E$9+1,1))</f>
        <v>254.6443970237226</v>
      </c>
      <c r="T54" s="59">
        <f t="shared" si="34"/>
        <v>231.81667808018062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58.753685726568293</v>
      </c>
      <c r="AA54" s="21">
        <f>EXP(-LN(2)/25)*AA53+(1-EXP(-LN(2)/25))/(LN(2)/25)*Calculateur!V54*Calculateur!X54*VLOOKUP('Données projet'!$B$9,Paramètres!$A$1:$I$89,3,0)*0.475*44/12</f>
        <v>26.118296744976668</v>
      </c>
      <c r="AB54" s="21">
        <f>EXP(-LN(2)/2)*AB53+(1-EXP(-LN(2)/2))/(LN(2)/2)*V54*Y54*VLOOKUP('Données projet'!$B$9,Paramètres!$A$1:$I$89,3,0)*0.475*44/12</f>
        <v>4.1053379492266968</v>
      </c>
      <c r="AC54" s="22">
        <f t="shared" si="3"/>
        <v>88.977320420771647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9.75</v>
      </c>
      <c r="AI54" s="13">
        <f>IF('Données projet'!$A$62&gt;35,AI53+AH54-AQ53,IF(A54&lt;'Données projet'!$A$62,$AF$205^A54,IF(A54='Données projet'!$A$62,'Données projet'!$B$62,AI53+AH54-AQ53)))</f>
        <v>216.25</v>
      </c>
      <c r="AJ54" s="13">
        <f>AI54*VLOOKUP('Données projet'!$B$10,Paramètres!$A$1:$I$89,3,0)*VLOOKUP('Données projet'!$B$10,Paramètres!$A$1:$I$89,5,0)</f>
        <v>134.94</v>
      </c>
      <c r="AK54" s="13">
        <f t="shared" si="35"/>
        <v>35.135358771568036</v>
      </c>
      <c r="AL54" s="20">
        <f t="shared" si="4"/>
        <v>296.21458319381429</v>
      </c>
      <c r="AM54" s="59">
        <f t="shared" si="5"/>
        <v>589.54791652714766</v>
      </c>
      <c r="AN54" s="59">
        <f ca="1">AVERAGE(OFFSET($AM$3,0,0,'Données projet'!$E$10+1,1))-AVERAGE(OFFSET($H$3,0,0,'Données projet'!$E$10+1,1))</f>
        <v>180.31844548479722</v>
      </c>
      <c r="AO54" s="59">
        <f t="shared" si="36"/>
        <v>273.83237400307223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27.385430101009103</v>
      </c>
      <c r="AV54" s="21">
        <f>EXP(-LN(2)/25)*AV53+(1-EXP(-LN(2)/25))/(LN(2)/25)*Calculateur!AQ54*Calculateur!AS54*VLOOKUP('Données projet'!$B$10,Paramètres!$A$1:$I$89,3,0)*0.475*44/12</f>
        <v>69.791015906734216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97.176446007743323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>
        <f>VLOOKUP(A54,'Données projet'!$A$87:$I$107,2,0)</f>
        <v>145.78846153846152</v>
      </c>
      <c r="BB54" s="12">
        <f>VLOOKUP(A54,'Données projet'!$A$87:$I$107,9,0)</f>
        <v>6.826007326007324</v>
      </c>
      <c r="BC54" s="12">
        <f t="array" ref="BC54">INDEX(BB:BB,MIN(IF(ISNUMBER(BB54:BB250),ROW(BB54:BB250),"")))</f>
        <v>6.826007326007324</v>
      </c>
      <c r="BD54" s="12">
        <f>IF('Données projet'!$A$88&gt;35,BD53+BC54-BL53,IF(A54&lt;'Données projet'!$A$88,$BA$205^A54,IF(A54='Données projet'!$A$88,'Données projet'!$B$88,BD53+BC54-BL53)))</f>
        <v>145.78846153846149</v>
      </c>
      <c r="BE54" s="13">
        <f>BD54*VLOOKUP('Données projet'!$B$11,Paramètres!$A$1:$I$89,3,0)*VLOOKUP('Données projet'!$B$11,Paramètres!$A$1:$I$89,5,0)</f>
        <v>147.82949999999997</v>
      </c>
      <c r="BF54" s="13">
        <f t="shared" si="37"/>
        <v>38.084914057462001</v>
      </c>
      <c r="BG54" s="20">
        <f t="shared" si="7"/>
        <v>323.80093781674623</v>
      </c>
      <c r="BH54" s="59">
        <f t="shared" si="8"/>
        <v>617.13427115007948</v>
      </c>
      <c r="BI54" s="59">
        <f ca="1">AVERAGE(OFFSET($BH$3,0,0,'Données projet'!$E$11+1,1))-AVERAGE(OFFSET($H$3,0,0,'Données projet'!$E$11+1,1))</f>
        <v>264.08050363622294</v>
      </c>
      <c r="BJ54" s="59">
        <f t="shared" si="38"/>
        <v>164.48884512322883</v>
      </c>
      <c r="BK54" s="15">
        <f>IF(ISNA(VLOOKUP(A54,'Données projet'!$A$87:$I$107,3,0)),0,VLOOKUP(A54,'Données projet'!$A$87:$I$107,3,0))</f>
        <v>2</v>
      </c>
      <c r="BL54" s="15">
        <f>IF(ISNA(VLOOKUP(A54,'Données projet'!$A$87:$I$107,4,0)),0,VLOOKUP(A54,'Données projet'!$A$87:$I$107,4,0))</f>
        <v>37.685897435897431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24.335999999999999</v>
      </c>
      <c r="D55" s="11">
        <f t="shared" si="32"/>
        <v>7.7346711726299766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247.56307571854714</v>
      </c>
      <c r="H55" s="67">
        <f t="shared" si="1"/>
        <v>349.18975229233052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16.227472527472521</v>
      </c>
      <c r="N55" s="13">
        <f>IF('Données projet'!$A$36&gt;35,N54+M55-V54,IF(A55&lt;'Données projet'!$A$36,$K$205^A55,IF(A55='Données projet'!$A$36,'Données projet'!$B$36,N54+M55-V54)))</f>
        <v>362.79780219780218</v>
      </c>
      <c r="O55" s="13">
        <f>N55*VLOOKUP('Données projet'!$B$9,Paramètres!$A$1:$I$89,3,0)*VLOOKUP('Données projet'!$B$9,Paramètres!$A$1:$I$89,5,0)</f>
        <v>202.80397142857143</v>
      </c>
      <c r="P55" s="13">
        <f t="shared" si="33"/>
        <v>50.359895566849602</v>
      </c>
      <c r="Q55" s="20">
        <f t="shared" si="53"/>
        <v>440.92706835035824</v>
      </c>
      <c r="R55" s="59">
        <f t="shared" si="0"/>
        <v>734.2604016836915</v>
      </c>
      <c r="S55" s="59">
        <f ca="1">AVERAGE(OFFSET($R$3,0,0,'Données projet'!$E$9+1,1))-AVERAGE(OFFSET($H$3,0,0,'Données projet'!$E$9+1,1))</f>
        <v>254.6443970237226</v>
      </c>
      <c r="T55" s="59">
        <f t="shared" si="34"/>
        <v>231.81667808018062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57.601561785680047</v>
      </c>
      <c r="AA55" s="21">
        <f>EXP(-LN(2)/25)*AA54+(1-EXP(-LN(2)/25))/(LN(2)/25)*Calculateur!V55*Calculateur!X55*VLOOKUP('Données projet'!$B$9,Paramètres!$A$1:$I$89,3,0)*0.475*44/12</f>
        <v>25.404090546983749</v>
      </c>
      <c r="AB55" s="21">
        <f>EXP(-LN(2)/2)*AB54+(1-EXP(-LN(2)/2))/(LN(2)/2)*V55*Y55*VLOOKUP('Données projet'!$B$9,Paramètres!$A$1:$I$89,3,0)*0.475*44/12</f>
        <v>2.9029123029606718</v>
      </c>
      <c r="AC55" s="22">
        <f t="shared" si="3"/>
        <v>85.908564635624472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9.75</v>
      </c>
      <c r="AI55" s="13">
        <f>IF('Données projet'!$A$62&gt;35,AI54+AH55-AQ54,IF(A55&lt;'Données projet'!$A$62,$AF$205^A55,IF(A55='Données projet'!$A$62,'Données projet'!$B$62,AI54+AH55-AQ54)))</f>
        <v>226</v>
      </c>
      <c r="AJ55" s="13">
        <f>AI55*VLOOKUP('Données projet'!$B$10,Paramètres!$A$1:$I$89,3,0)*VLOOKUP('Données projet'!$B$10,Paramètres!$A$1:$I$89,5,0)</f>
        <v>141.024</v>
      </c>
      <c r="AK55" s="13">
        <f t="shared" si="35"/>
        <v>36.531489925882461</v>
      </c>
      <c r="AL55" s="20">
        <f t="shared" si="4"/>
        <v>309.24247828757859</v>
      </c>
      <c r="AM55" s="59">
        <f t="shared" si="5"/>
        <v>602.57581162091196</v>
      </c>
      <c r="AN55" s="59">
        <f ca="1">AVERAGE(OFFSET($AM$3,0,0,'Données projet'!$E$10+1,1))-AVERAGE(OFFSET($H$3,0,0,'Données projet'!$E$10+1,1))</f>
        <v>180.31844548479722</v>
      </c>
      <c r="AO55" s="59">
        <f t="shared" si="36"/>
        <v>273.83237400307223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26.848418520191345</v>
      </c>
      <c r="AV55" s="21">
        <f>EXP(-LN(2)/25)*AV54+(1-EXP(-LN(2)/25))/(LN(2)/25)*Calculateur!AQ55*Calculateur!AS55*VLOOKUP('Données projet'!$B$10,Paramètres!$A$1:$I$89,3,0)*0.475*44/12</f>
        <v>67.882576906614545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94.73099542680589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6.3942307692307701</v>
      </c>
      <c r="BD55" s="12">
        <f>IF('Données projet'!$A$88&gt;35,BD54+BC55-BL54,IF(A55&lt;'Données projet'!$A$88,$BA$205^A55,IF(A55='Données projet'!$A$88,'Données projet'!$B$88,BD54+BC55-BL54)))</f>
        <v>114.49679487179483</v>
      </c>
      <c r="BE55" s="13">
        <f>BD55*VLOOKUP('Données projet'!$B$11,Paramètres!$A$1:$I$89,3,0)*VLOOKUP('Données projet'!$B$11,Paramètres!$A$1:$I$89,5,0)</f>
        <v>116.09974999999996</v>
      </c>
      <c r="BF55" s="13">
        <f t="shared" si="37"/>
        <v>30.763588103307637</v>
      </c>
      <c r="BG55" s="20">
        <f t="shared" si="7"/>
        <v>255.78698052992738</v>
      </c>
      <c r="BH55" s="59">
        <f t="shared" si="8"/>
        <v>549.12031386326066</v>
      </c>
      <c r="BI55" s="59">
        <f ca="1">AVERAGE(OFFSET($BH$3,0,0,'Données projet'!$E$11+1,1))-AVERAGE(OFFSET($H$3,0,0,'Données projet'!$E$11+1,1))</f>
        <v>264.08050363622294</v>
      </c>
      <c r="BJ55" s="59">
        <f t="shared" si="38"/>
        <v>164.48884512322883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24.803999999999998</v>
      </c>
      <c r="D56" s="11">
        <f t="shared" si="32"/>
        <v>7.8659550268183116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252.18912652280798</v>
      </c>
      <c r="H56" s="67">
        <f t="shared" si="1"/>
        <v>350.23350500504188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16.227472527472521</v>
      </c>
      <c r="N56" s="13">
        <f>IF('Données projet'!$A$36&gt;35,N55+M56-V55,IF(A56&lt;'Données projet'!$A$36,$K$205^A56,IF(A56='Données projet'!$A$36,'Données projet'!$B$36,N55+M56-V55)))</f>
        <v>379.0252747252747</v>
      </c>
      <c r="O56" s="13">
        <f>N56*VLOOKUP('Données projet'!$B$9,Paramètres!$A$1:$I$89,3,0)*VLOOKUP('Données projet'!$B$9,Paramètres!$A$1:$I$89,5,0)</f>
        <v>211.87512857142855</v>
      </c>
      <c r="P56" s="13">
        <f t="shared" si="33"/>
        <v>52.345136228066686</v>
      </c>
      <c r="Q56" s="20">
        <f t="shared" si="53"/>
        <v>460.18362785912086</v>
      </c>
      <c r="R56" s="59">
        <f t="shared" si="0"/>
        <v>753.51696119245412</v>
      </c>
      <c r="S56" s="59">
        <f ca="1">AVERAGE(OFFSET($R$3,0,0,'Données projet'!$E$9+1,1))-AVERAGE(OFFSET($H$3,0,0,'Données projet'!$E$9+1,1))</f>
        <v>254.6443970237226</v>
      </c>
      <c r="T56" s="59">
        <f t="shared" si="34"/>
        <v>231.81667808018062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56.472030292546407</v>
      </c>
      <c r="AA56" s="21">
        <f>EXP(-LN(2)/25)*AA55+(1-EXP(-LN(2)/25))/(LN(2)/25)*Calculateur!V56*Calculateur!X56*VLOOKUP('Données projet'!$B$9,Paramètres!$A$1:$I$89,3,0)*0.475*44/12</f>
        <v>24.709414355033417</v>
      </c>
      <c r="AB56" s="21">
        <f>EXP(-LN(2)/2)*AB55+(1-EXP(-LN(2)/2))/(LN(2)/2)*V56*Y56*VLOOKUP('Données projet'!$B$9,Paramètres!$A$1:$I$89,3,0)*0.475*44/12</f>
        <v>2.0526689746133489</v>
      </c>
      <c r="AC56" s="22">
        <f t="shared" si="3"/>
        <v>83.234113622193178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9.75</v>
      </c>
      <c r="AI56" s="13">
        <f>IF('Données projet'!$A$62&gt;35,AI55+AH56-AQ55,IF(A56&lt;'Données projet'!$A$62,$AF$205^A56,IF(A56='Données projet'!$A$62,'Données projet'!$B$62,AI55+AH56-AQ55)))</f>
        <v>235.75</v>
      </c>
      <c r="AJ56" s="13">
        <f>AI56*VLOOKUP('Données projet'!$B$10,Paramètres!$A$1:$I$89,3,0)*VLOOKUP('Données projet'!$B$10,Paramètres!$A$1:$I$89,5,0)</f>
        <v>147.108</v>
      </c>
      <c r="AK56" s="13">
        <f t="shared" si="35"/>
        <v>37.920625436598897</v>
      </c>
      <c r="AL56" s="20">
        <f t="shared" si="4"/>
        <v>322.25818930207646</v>
      </c>
      <c r="AM56" s="59">
        <f t="shared" si="5"/>
        <v>615.59152263540977</v>
      </c>
      <c r="AN56" s="59">
        <f ca="1">AVERAGE(OFFSET($AM$3,0,0,'Données projet'!$E$10+1,1))-AVERAGE(OFFSET($H$3,0,0,'Données projet'!$E$10+1,1))</f>
        <v>180.31844548479722</v>
      </c>
      <c r="AO56" s="59">
        <f t="shared" si="36"/>
        <v>273.83237400307223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26.321937408928701</v>
      </c>
      <c r="AV56" s="21">
        <f>EXP(-LN(2)/25)*AV55+(1-EXP(-LN(2)/25))/(LN(2)/25)*Calculateur!AQ56*Calculateur!AS56*VLOOKUP('Données projet'!$B$10,Paramètres!$A$1:$I$89,3,0)*0.475*44/12</f>
        <v>66.026324271313598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92.348261680242302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6.3942307692307701</v>
      </c>
      <c r="BD56" s="12">
        <f>IF('Données projet'!$A$88&gt;35,BD55+BC56-BL55,IF(A56&lt;'Données projet'!$A$88,$BA$205^A56,IF(A56='Données projet'!$A$88,'Données projet'!$B$88,BD55+BC56-BL55)))</f>
        <v>120.89102564102561</v>
      </c>
      <c r="BE56" s="13">
        <f>BD56*VLOOKUP('Données projet'!$B$11,Paramètres!$A$1:$I$89,3,0)*VLOOKUP('Données projet'!$B$11,Paramètres!$A$1:$I$89,5,0)</f>
        <v>122.58349999999999</v>
      </c>
      <c r="BF56" s="13">
        <f t="shared" si="37"/>
        <v>32.276809219275542</v>
      </c>
      <c r="BG56" s="20">
        <f t="shared" si="7"/>
        <v>269.71503855690486</v>
      </c>
      <c r="BH56" s="59">
        <f t="shared" si="8"/>
        <v>563.04837189023817</v>
      </c>
      <c r="BI56" s="59">
        <f ca="1">AVERAGE(OFFSET($BH$3,0,0,'Données projet'!$E$11+1,1))-AVERAGE(OFFSET($H$3,0,0,'Données projet'!$E$11+1,1))</f>
        <v>264.08050363622294</v>
      </c>
      <c r="BJ56" s="59">
        <f t="shared" si="38"/>
        <v>164.48884512322883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25.271999999999998</v>
      </c>
      <c r="D57" s="11">
        <f t="shared" si="32"/>
        <v>7.996950850258413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256.81295393181932</v>
      </c>
      <c r="H57" s="67">
        <f t="shared" si="1"/>
        <v>351.27675606420007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16.227472527472521</v>
      </c>
      <c r="N57" s="13">
        <f>IF('Données projet'!$A$36&gt;35,N56+M57-V56,IF(A57&lt;'Données projet'!$A$36,$K$205^A57,IF(A57='Données projet'!$A$36,'Données projet'!$B$36,N56+M57-V56)))</f>
        <v>395.25274725274721</v>
      </c>
      <c r="O57" s="13">
        <f>N57*VLOOKUP('Données projet'!$B$9,Paramètres!$A$1:$I$89,3,0)*VLOOKUP('Données projet'!$B$9,Paramètres!$A$1:$I$89,5,0)</f>
        <v>220.94628571428569</v>
      </c>
      <c r="P57" s="13">
        <f t="shared" si="33"/>
        <v>54.320504840756463</v>
      </c>
      <c r="Q57" s="20">
        <f t="shared" si="53"/>
        <v>479.42299355003178</v>
      </c>
      <c r="R57" s="59">
        <f t="shared" si="0"/>
        <v>772.75632688336509</v>
      </c>
      <c r="S57" s="59">
        <f ca="1">AVERAGE(OFFSET($R$3,0,0,'Données projet'!$E$9+1,1))-AVERAGE(OFFSET($H$3,0,0,'Données projet'!$E$9+1,1))</f>
        <v>254.6443970237226</v>
      </c>
      <c r="T57" s="59">
        <f t="shared" si="34"/>
        <v>231.81667808018062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55.364648223046935</v>
      </c>
      <c r="AA57" s="21">
        <f>EXP(-LN(2)/25)*AA56+(1-EXP(-LN(2)/25))/(LN(2)/25)*Calculateur!V57*Calculateur!X57*VLOOKUP('Données projet'!$B$9,Paramètres!$A$1:$I$89,3,0)*0.475*44/12</f>
        <v>24.033734120083402</v>
      </c>
      <c r="AB57" s="21">
        <f>EXP(-LN(2)/2)*AB56+(1-EXP(-LN(2)/2))/(LN(2)/2)*V57*Y57*VLOOKUP('Données projet'!$B$9,Paramètres!$A$1:$I$89,3,0)*0.475*44/12</f>
        <v>1.4514561514803361</v>
      </c>
      <c r="AC57" s="22">
        <f t="shared" si="3"/>
        <v>80.84983849461068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9.75</v>
      </c>
      <c r="AI57" s="13">
        <f>IF('Données projet'!$A$62&gt;35,AI56+AH57-AQ56,IF(A57&lt;'Données projet'!$A$62,$AF$205^A57,IF(A57='Données projet'!$A$62,'Données projet'!$B$62,AI56+AH57-AQ56)))</f>
        <v>245.5</v>
      </c>
      <c r="AJ57" s="13">
        <f>AI57*VLOOKUP('Données projet'!$B$10,Paramètres!$A$1:$I$89,3,0)*VLOOKUP('Données projet'!$B$10,Paramètres!$A$1:$I$89,5,0)</f>
        <v>153.19199999999998</v>
      </c>
      <c r="AK57" s="13">
        <f t="shared" si="35"/>
        <v>39.303087713366921</v>
      </c>
      <c r="AL57" s="20">
        <f t="shared" si="4"/>
        <v>335.2622777674473</v>
      </c>
      <c r="AM57" s="59">
        <f t="shared" si="5"/>
        <v>628.59561110078062</v>
      </c>
      <c r="AN57" s="59">
        <f ca="1">AVERAGE(OFFSET($AM$3,0,0,'Données projet'!$E$10+1,1))-AVERAGE(OFFSET($H$3,0,0,'Données projet'!$E$10+1,1))</f>
        <v>180.31844548479722</v>
      </c>
      <c r="AO57" s="59">
        <f t="shared" si="36"/>
        <v>273.83237400307223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25.80578027113615</v>
      </c>
      <c r="AV57" s="21">
        <f>EXP(-LN(2)/25)*AV56+(1-EXP(-LN(2)/25))/(LN(2)/25)*Calculateur!AQ57*Calculateur!AS57*VLOOKUP('Données projet'!$B$10,Paramètres!$A$1:$I$89,3,0)*0.475*44/12</f>
        <v>64.220830961941033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90.026611233077176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6.3942307692307701</v>
      </c>
      <c r="BD57" s="12">
        <f>IF('Données projet'!$A$88&gt;35,BD56+BC57-BL56,IF(A57&lt;'Données projet'!$A$88,$BA$205^A57,IF(A57='Données projet'!$A$88,'Données projet'!$B$88,BD56+BC57-BL56)))</f>
        <v>127.28525641025638</v>
      </c>
      <c r="BE57" s="13">
        <f>BD57*VLOOKUP('Données projet'!$B$11,Paramètres!$A$1:$I$89,3,0)*VLOOKUP('Données projet'!$B$11,Paramètres!$A$1:$I$89,5,0)</f>
        <v>129.06724999999997</v>
      </c>
      <c r="BF57" s="13">
        <f t="shared" si="37"/>
        <v>33.780737949764791</v>
      </c>
      <c r="BG57" s="20">
        <f t="shared" si="7"/>
        <v>283.62691234584025</v>
      </c>
      <c r="BH57" s="59">
        <f t="shared" si="8"/>
        <v>576.96024567917357</v>
      </c>
      <c r="BI57" s="59">
        <f ca="1">AVERAGE(OFFSET($BH$3,0,0,'Données projet'!$E$11+1,1))-AVERAGE(OFFSET($H$3,0,0,'Données projet'!$E$11+1,1))</f>
        <v>264.08050363622294</v>
      </c>
      <c r="BJ57" s="59">
        <f t="shared" si="38"/>
        <v>164.48884512322883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25.74</v>
      </c>
      <c r="D58" s="11">
        <f t="shared" si="32"/>
        <v>8.1276645919917723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261.43460386800666</v>
      </c>
      <c r="H58" s="67">
        <f t="shared" si="1"/>
        <v>352.31951583105229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16.227472527472521</v>
      </c>
      <c r="N58" s="13">
        <f>IF('Données projet'!$A$36&gt;35,N57+M58-V57,IF(A58&lt;'Données projet'!$A$36,$K$205^A58,IF(A58='Données projet'!$A$36,'Données projet'!$B$36,N57+M58-V57)))</f>
        <v>411.48021978021973</v>
      </c>
      <c r="O58" s="13">
        <f>N58*VLOOKUP('Données projet'!$B$9,Paramètres!$A$1:$I$89,3,0)*VLOOKUP('Données projet'!$B$9,Paramètres!$A$1:$I$89,5,0)</f>
        <v>230.01744285714284</v>
      </c>
      <c r="P58" s="13">
        <f t="shared" si="33"/>
        <v>56.286453068022915</v>
      </c>
      <c r="Q58" s="20">
        <f t="shared" si="53"/>
        <v>498.64595206966368</v>
      </c>
      <c r="R58" s="59">
        <f t="shared" si="0"/>
        <v>791.97928540299699</v>
      </c>
      <c r="S58" s="59">
        <f ca="1">AVERAGE(OFFSET($R$3,0,0,'Données projet'!$E$9+1,1))-AVERAGE(OFFSET($H$3,0,0,'Données projet'!$E$9+1,1))</f>
        <v>254.6443970237226</v>
      </c>
      <c r="T58" s="59">
        <f t="shared" si="34"/>
        <v>231.81667808018062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54.278981240493977</v>
      </c>
      <c r="AA58" s="21">
        <f>EXP(-LN(2)/25)*AA57+(1-EXP(-LN(2)/25))/(LN(2)/25)*Calculateur!V58*Calculateur!X58*VLOOKUP('Données projet'!$B$9,Paramètres!$A$1:$I$89,3,0)*0.475*44/12</f>
        <v>23.376530396690573</v>
      </c>
      <c r="AB58" s="21">
        <f>EXP(-LN(2)/2)*AB57+(1-EXP(-LN(2)/2))/(LN(2)/2)*V58*Y58*VLOOKUP('Données projet'!$B$9,Paramètres!$A$1:$I$89,3,0)*0.475*44/12</f>
        <v>1.0263344873066744</v>
      </c>
      <c r="AC58" s="22">
        <f t="shared" si="3"/>
        <v>78.681846124491216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9.75</v>
      </c>
      <c r="AI58" s="13">
        <f>IF('Données projet'!$A$62&gt;35,AI57+AH58-AQ57,IF(A58&lt;'Données projet'!$A$62,$AF$205^A58,IF(A58='Données projet'!$A$62,'Données projet'!$B$62,AI57+AH58-AQ57)))</f>
        <v>255.25</v>
      </c>
      <c r="AJ58" s="13">
        <f>AI58*VLOOKUP('Données projet'!$B$10,Paramètres!$A$1:$I$89,3,0)*VLOOKUP('Données projet'!$B$10,Paramètres!$A$1:$I$89,5,0)</f>
        <v>159.27600000000001</v>
      </c>
      <c r="AK58" s="13">
        <f t="shared" si="35"/>
        <v>40.679172107249002</v>
      </c>
      <c r="AL58" s="20">
        <f t="shared" si="4"/>
        <v>348.25525808679203</v>
      </c>
      <c r="AM58" s="59">
        <f t="shared" si="5"/>
        <v>641.58859142012534</v>
      </c>
      <c r="AN58" s="59">
        <f ca="1">AVERAGE(OFFSET($AM$3,0,0,'Données projet'!$E$10+1,1))-AVERAGE(OFFSET($H$3,0,0,'Données projet'!$E$10+1,1))</f>
        <v>180.31844548479722</v>
      </c>
      <c r="AO58" s="59">
        <f t="shared" si="36"/>
        <v>273.83237400307223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25.299744659990942</v>
      </c>
      <c r="AV58" s="21">
        <f>EXP(-LN(2)/25)*AV57+(1-EXP(-LN(2)/25))/(LN(2)/25)*Calculateur!AQ58*Calculateur!AS58*VLOOKUP('Données projet'!$B$10,Paramètres!$A$1:$I$89,3,0)*0.475*44/12</f>
        <v>62.464708962060037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87.764453622050979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6.3942307692307701</v>
      </c>
      <c r="BD58" s="12">
        <f>IF('Données projet'!$A$88&gt;35,BD57+BC58-BL57,IF(A58&lt;'Données projet'!$A$88,$BA$205^A58,IF(A58='Données projet'!$A$88,'Données projet'!$B$88,BD57+BC58-BL57)))</f>
        <v>133.67948717948715</v>
      </c>
      <c r="BE58" s="13">
        <f>BD58*VLOOKUP('Données projet'!$B$11,Paramètres!$A$1:$I$89,3,0)*VLOOKUP('Données projet'!$B$11,Paramètres!$A$1:$I$89,5,0)</f>
        <v>135.55099999999999</v>
      </c>
      <c r="BF58" s="13">
        <f t="shared" si="37"/>
        <v>35.275894365560525</v>
      </c>
      <c r="BG58" s="20">
        <f t="shared" si="7"/>
        <v>297.52350768668458</v>
      </c>
      <c r="BH58" s="59">
        <f t="shared" si="8"/>
        <v>590.8568410200179</v>
      </c>
      <c r="BI58" s="59">
        <f ca="1">AVERAGE(OFFSET($BH$3,0,0,'Données projet'!$E$11+1,1))-AVERAGE(OFFSET($H$3,0,0,'Données projet'!$E$11+1,1))</f>
        <v>264.08050363622294</v>
      </c>
      <c r="BJ58" s="59">
        <f t="shared" si="38"/>
        <v>164.48884512322883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26.207999999999998</v>
      </c>
      <c r="D59" s="11">
        <f t="shared" si="32"/>
        <v>8.2581019723450986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266.05412048827799</v>
      </c>
      <c r="H59" s="67">
        <f t="shared" si="1"/>
        <v>353.361794268501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427.7076923076923</v>
      </c>
      <c r="L59" s="12">
        <f>VLOOKUP(A59,'Données projet'!$A$35:$I$55,9,0)</f>
        <v>16.227472527472521</v>
      </c>
      <c r="M59" s="12">
        <f t="array" ref="M59">INDEX(L:L,MIN(IF(ISNUMBER(L59:L255),ROW(L59:L255),"")))</f>
        <v>16.227472527472521</v>
      </c>
      <c r="N59" s="13">
        <f>IF('Données projet'!$A$36&gt;35,N58+M59-V58,IF(A59&lt;'Données projet'!$A$36,$K$205^A59,IF(A59='Données projet'!$A$36,'Données projet'!$B$36,N58+M59-V58)))</f>
        <v>427.70769230769224</v>
      </c>
      <c r="O59" s="13">
        <f>N59*VLOOKUP('Données projet'!$B$9,Paramètres!$A$1:$I$89,3,0)*VLOOKUP('Données projet'!$B$9,Paramètres!$A$1:$I$89,5,0)</f>
        <v>239.08859999999996</v>
      </c>
      <c r="P59" s="13">
        <f t="shared" si="33"/>
        <v>58.243394931850105</v>
      </c>
      <c r="Q59" s="20">
        <f t="shared" si="53"/>
        <v>517.85322450630554</v>
      </c>
      <c r="R59" s="59">
        <f t="shared" si="0"/>
        <v>811.18655783963891</v>
      </c>
      <c r="S59" s="59">
        <f ca="1">AVERAGE(OFFSET($R$3,0,0,'Données projet'!$E$9+1,1))-AVERAGE(OFFSET($H$3,0,0,'Données projet'!$E$9+1,1))</f>
        <v>254.6443970237226</v>
      </c>
      <c r="T59" s="59">
        <f t="shared" si="34"/>
        <v>231.81667808018062</v>
      </c>
      <c r="U59" s="15">
        <f>IF(ISNA(VLOOKUP(A59,'Données projet'!$A$35:$I$55,3,0)),0,VLOOKUP(A59,'Données projet'!$A$35:$I$55,3,0))</f>
        <v>6</v>
      </c>
      <c r="V59" s="15">
        <f>IF(ISNA(VLOOKUP(A59,'Données projet'!$A$35:$I$55,4,0)),0,VLOOKUP(A59,'Données projet'!$A$35:$I$55,4,0))</f>
        <v>75.869230769230768</v>
      </c>
      <c r="W59" s="16">
        <f>IF(ISNA(VLOOKUP(A59,'Données projet'!$A$35:$I$55,5,0)),0%,VLOOKUP(A59,'Données projet'!$A$35:$I$55,5,0)*VLOOKUP('Données projet'!$B$9,Paramètres!$A$1:$I$89,7,0))</f>
        <v>0.38500000000000001</v>
      </c>
      <c r="X59" s="16">
        <f>IF(ISNA(VLOOKUP(A59,'Données projet'!$A$35:$I$55,6,0)),0%,VLOOKUP(A59,'Données projet'!$A$35:$I$55,6,0)*VLOOKUP('Données projet'!$B$9,Paramètres!$A$1:$I$89,7,0))</f>
        <v>9.240000000000001E-2</v>
      </c>
      <c r="Y59" s="16">
        <f>IF(ISNA(VLOOKUP(A59,'Données projet'!$A$35:$I$55,7,0)),0%,VLOOKUP(A59,'Données projet'!$A$35:$I$55,7,0))</f>
        <v>0.13200000000000001</v>
      </c>
      <c r="Z59" s="21">
        <f>EXP(-LN(2)/35)*Z58+(1-EXP(-LN(2)/35))/(LN(2)/35)*V59*W59*VLOOKUP('Données projet'!$B$9,Paramètres!$A$1:$I$89,3,0)*0.475*44/12</f>
        <v>74.875008623609716</v>
      </c>
      <c r="AA59" s="21">
        <f>EXP(-LN(2)/25)*AA58+(1-EXP(-LN(2)/25))/(LN(2)/25)*Calculateur!V59*Calculateur!X59*VLOOKUP('Données projet'!$B$9,Paramètres!$A$1:$I$89,3,0)*0.475*44/12</f>
        <v>27.915326702922474</v>
      </c>
      <c r="AB59" s="21">
        <f>EXP(-LN(2)/2)*AB58+(1-EXP(-LN(2)/2))/(LN(2)/2)*V59*Y59*VLOOKUP('Données projet'!$B$9,Paramètres!$A$1:$I$89,3,0)*0.475*44/12</f>
        <v>7.0642348543659716</v>
      </c>
      <c r="AC59" s="22">
        <f t="shared" si="3"/>
        <v>109.85457018089816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9.75</v>
      </c>
      <c r="AI59" s="13">
        <f>IF('Données projet'!$A$62&gt;35,AI58+AH59-AQ58,IF(A59&lt;'Données projet'!$A$62,$AF$205^A59,IF(A59='Données projet'!$A$62,'Données projet'!$B$62,AI58+AH59-AQ58)))</f>
        <v>265</v>
      </c>
      <c r="AJ59" s="13">
        <f>AI59*VLOOKUP('Données projet'!$B$10,Paramètres!$A$1:$I$89,3,0)*VLOOKUP('Données projet'!$B$10,Paramètres!$A$1:$I$89,5,0)</f>
        <v>165.35999999999999</v>
      </c>
      <c r="AK59" s="13">
        <f t="shared" si="35"/>
        <v>42.04915012784209</v>
      </c>
      <c r="AL59" s="20">
        <f t="shared" si="4"/>
        <v>361.2376031393249</v>
      </c>
      <c r="AM59" s="59">
        <f t="shared" si="5"/>
        <v>654.57093647265822</v>
      </c>
      <c r="AN59" s="59">
        <f ca="1">AVERAGE(OFFSET($AM$3,0,0,'Données projet'!$E$10+1,1))-AVERAGE(OFFSET($H$3,0,0,'Données projet'!$E$10+1,1))</f>
        <v>180.31844548479722</v>
      </c>
      <c r="AO59" s="59">
        <f t="shared" si="36"/>
        <v>273.83237400307223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24.803632098529047</v>
      </c>
      <c r="AV59" s="21">
        <f>EXP(-LN(2)/25)*AV58+(1-EXP(-LN(2)/25))/(LN(2)/25)*Calculateur!AQ59*Calculateur!AS59*VLOOKUP('Données projet'!$B$10,Paramètres!$A$1:$I$89,3,0)*0.475*44/12</f>
        <v>60.756608210616228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85.560240309145271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6.3942307692307701</v>
      </c>
      <c r="BD59" s="12">
        <f>IF('Données projet'!$A$88&gt;35,BD58+BC59-BL58,IF(A59&lt;'Données projet'!$A$88,$BA$205^A59,IF(A59='Données projet'!$A$88,'Données projet'!$B$88,BD58+BC59-BL58)))</f>
        <v>140.07371794871793</v>
      </c>
      <c r="BE59" s="13">
        <f>BD59*VLOOKUP('Données projet'!$B$11,Paramètres!$A$1:$I$89,3,0)*VLOOKUP('Données projet'!$B$11,Paramètres!$A$1:$I$89,5,0)</f>
        <v>142.03474999999997</v>
      </c>
      <c r="BF59" s="13">
        <f t="shared" si="37"/>
        <v>36.762745973606584</v>
      </c>
      <c r="BG59" s="20">
        <f t="shared" si="7"/>
        <v>311.40563882069802</v>
      </c>
      <c r="BH59" s="59">
        <f t="shared" si="8"/>
        <v>604.73897215403133</v>
      </c>
      <c r="BI59" s="59">
        <f ca="1">AVERAGE(OFFSET($BH$3,0,0,'Données projet'!$E$11+1,1))-AVERAGE(OFFSET($H$3,0,0,'Données projet'!$E$11+1,1))</f>
        <v>264.08050363622294</v>
      </c>
      <c r="BJ59" s="59">
        <f t="shared" si="38"/>
        <v>164.48884512322883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26.675999999999998</v>
      </c>
      <c r="D60" s="11">
        <f t="shared" si="32"/>
        <v>8.388268495647786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270.67154628219339</v>
      </c>
      <c r="H60" s="67">
        <f t="shared" si="1"/>
        <v>354.40360096325321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14.839560439560453</v>
      </c>
      <c r="N60" s="13">
        <f>IF('Données projet'!$A$36&gt;35,N59+M60-V59,IF(A60&lt;'Données projet'!$A$36,$K$205^A60,IF(A60='Données projet'!$A$36,'Données projet'!$B$36,N59+M60-V59)))</f>
        <v>366.67802197802189</v>
      </c>
      <c r="O60" s="13">
        <f>N60*VLOOKUP('Données projet'!$B$9,Paramètres!$A$1:$I$89,3,0)*VLOOKUP('Données projet'!$B$9,Paramètres!$A$1:$I$89,5,0)</f>
        <v>204.97301428571424</v>
      </c>
      <c r="P60" s="13">
        <f t="shared" si="33"/>
        <v>50.835518579260878</v>
      </c>
      <c r="Q60" s="20">
        <f t="shared" si="53"/>
        <v>445.53319473983169</v>
      </c>
      <c r="R60" s="59">
        <f t="shared" si="0"/>
        <v>738.866528073165</v>
      </c>
      <c r="S60" s="59">
        <f ca="1">AVERAGE(OFFSET($R$3,0,0,'Données projet'!$E$9+1,1))-AVERAGE(OFFSET($H$3,0,0,'Données projet'!$E$9+1,1))</f>
        <v>254.6443970237226</v>
      </c>
      <c r="T60" s="59">
        <f t="shared" si="34"/>
        <v>231.81667808018062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73.40675537374652</v>
      </c>
      <c r="AA60" s="21">
        <f>EXP(-LN(2)/25)*AA59+(1-EXP(-LN(2)/25))/(LN(2)/25)*Calculateur!V60*Calculateur!X60*VLOOKUP('Données projet'!$B$9,Paramètres!$A$1:$I$89,3,0)*0.475*44/12</f>
        <v>27.151980626227829</v>
      </c>
      <c r="AB60" s="21">
        <f>EXP(-LN(2)/2)*AB59+(1-EXP(-LN(2)/2))/(LN(2)/2)*V60*Y60*VLOOKUP('Données projet'!$B$9,Paramètres!$A$1:$I$89,3,0)*0.475*44/12</f>
        <v>4.9951683694165423</v>
      </c>
      <c r="AC60" s="22">
        <f t="shared" si="3"/>
        <v>105.55390436939089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9.75</v>
      </c>
      <c r="AI60" s="13">
        <f>IF('Données projet'!$A$62&gt;35,AI59+AH60-AQ59,IF(A60&lt;'Données projet'!$A$62,$AF$205^A60,IF(A60='Données projet'!$A$62,'Données projet'!$B$62,AI59+AH60-AQ59)))</f>
        <v>274.75</v>
      </c>
      <c r="AJ60" s="13">
        <f>AI60*VLOOKUP('Données projet'!$B$10,Paramètres!$A$1:$I$89,3,0)*VLOOKUP('Données projet'!$B$10,Paramètres!$A$1:$I$89,5,0)</f>
        <v>171.44399999999999</v>
      </c>
      <c r="AK60" s="13">
        <f t="shared" si="35"/>
        <v>43.413272173627242</v>
      </c>
      <c r="AL60" s="20">
        <f t="shared" si="4"/>
        <v>374.20974903573409</v>
      </c>
      <c r="AM60" s="59">
        <f t="shared" si="5"/>
        <v>667.54308236906741</v>
      </c>
      <c r="AN60" s="59">
        <f ca="1">AVERAGE(OFFSET($AM$3,0,0,'Données projet'!$E$10+1,1))-AVERAGE(OFFSET($H$3,0,0,'Données projet'!$E$10+1,1))</f>
        <v>180.31844548479722</v>
      </c>
      <c r="AO60" s="59">
        <f t="shared" si="36"/>
        <v>273.83237400307223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24.317248001798635</v>
      </c>
      <c r="AV60" s="21">
        <f>EXP(-LN(2)/25)*AV59+(1-EXP(-LN(2)/25))/(LN(2)/25)*Calculateur!AQ60*Calculateur!AS60*VLOOKUP('Données projet'!$B$10,Paramètres!$A$1:$I$89,3,0)*0.475*44/12</f>
        <v>59.095215564045766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83.412463565844405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6.3942307692307701</v>
      </c>
      <c r="BD60" s="12">
        <f>IF('Données projet'!$A$88&gt;35,BD59+BC60-BL59,IF(A60&lt;'Données projet'!$A$88,$BA$205^A60,IF(A60='Données projet'!$A$88,'Données projet'!$B$88,BD59+BC60-BL59)))</f>
        <v>146.4679487179487</v>
      </c>
      <c r="BE60" s="13">
        <f>BD60*VLOOKUP('Données projet'!$B$11,Paramètres!$A$1:$I$89,3,0)*VLOOKUP('Données projet'!$B$11,Paramètres!$A$1:$I$89,5,0)</f>
        <v>148.51850000000002</v>
      </c>
      <c r="BF60" s="13">
        <f t="shared" si="37"/>
        <v>38.241715185767696</v>
      </c>
      <c r="BG60" s="20">
        <f t="shared" si="7"/>
        <v>325.27404144854546</v>
      </c>
      <c r="BH60" s="59">
        <f t="shared" si="8"/>
        <v>618.60737478187878</v>
      </c>
      <c r="BI60" s="59">
        <f ca="1">AVERAGE(OFFSET($BH$3,0,0,'Données projet'!$E$11+1,1))-AVERAGE(OFFSET($H$3,0,0,'Données projet'!$E$11+1,1))</f>
        <v>264.08050363622294</v>
      </c>
      <c r="BJ60" s="59">
        <f t="shared" si="38"/>
        <v>164.48884512322883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27.143999999999998</v>
      </c>
      <c r="D61" s="11">
        <f t="shared" si="32"/>
        <v>8.5181694620316346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275.2869221630512</v>
      </c>
      <c r="H61" s="67">
        <f t="shared" si="1"/>
        <v>355.44494514637177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14.839560439560453</v>
      </c>
      <c r="N61" s="13">
        <f>IF('Données projet'!$A$36&gt;35,N60+M61-V60,IF(A61&lt;'Données projet'!$A$36,$K$205^A61,IF(A61='Données projet'!$A$36,'Données projet'!$B$36,N60+M61-V60)))</f>
        <v>381.51758241758233</v>
      </c>
      <c r="O61" s="13">
        <f>N61*VLOOKUP('Données projet'!$B$9,Paramètres!$A$1:$I$89,3,0)*VLOOKUP('Données projet'!$B$9,Paramètres!$A$1:$I$89,5,0)</f>
        <v>213.26832857142853</v>
      </c>
      <c r="P61" s="13">
        <f t="shared" si="33"/>
        <v>52.649154508451623</v>
      </c>
      <c r="Q61" s="20">
        <f t="shared" si="53"/>
        <v>463.13961636412455</v>
      </c>
      <c r="R61" s="59">
        <f t="shared" si="0"/>
        <v>756.47294969745781</v>
      </c>
      <c r="S61" s="59">
        <f ca="1">AVERAGE(OFFSET($R$3,0,0,'Données projet'!$E$9+1,1))-AVERAGE(OFFSET($H$3,0,0,'Données projet'!$E$9+1,1))</f>
        <v>254.6443970237226</v>
      </c>
      <c r="T61" s="59">
        <f t="shared" si="34"/>
        <v>231.81667808018062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71.967293674567088</v>
      </c>
      <c r="AA61" s="21">
        <f>EXP(-LN(2)/25)*AA60+(1-EXP(-LN(2)/25))/(LN(2)/25)*Calculateur!V61*Calculateur!X61*VLOOKUP('Données projet'!$B$9,Paramètres!$A$1:$I$89,3,0)*0.475*44/12</f>
        <v>26.409508288143023</v>
      </c>
      <c r="AB61" s="21">
        <f>EXP(-LN(2)/2)*AB60+(1-EXP(-LN(2)/2))/(LN(2)/2)*V61*Y61*VLOOKUP('Données projet'!$B$9,Paramètres!$A$1:$I$89,3,0)*0.475*44/12</f>
        <v>3.5321174271829867</v>
      </c>
      <c r="AC61" s="22">
        <f t="shared" si="3"/>
        <v>101.9089193898931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9.75</v>
      </c>
      <c r="AI61" s="13">
        <f>IF('Données projet'!$A$62&gt;35,AI60+AH61-AQ60,IF(A61&lt;'Données projet'!$A$62,$AF$205^A61,IF(A61='Données projet'!$A$62,'Données projet'!$B$62,AI60+AH61-AQ60)))</f>
        <v>284.5</v>
      </c>
      <c r="AJ61" s="13">
        <f>AI61*VLOOKUP('Données projet'!$B$10,Paramètres!$A$1:$I$89,3,0)*VLOOKUP('Données projet'!$B$10,Paramètres!$A$1:$I$89,5,0)</f>
        <v>177.52800000000002</v>
      </c>
      <c r="AK61" s="13">
        <f t="shared" si="35"/>
        <v>44.771769863863661</v>
      </c>
      <c r="AL61" s="20">
        <f t="shared" si="4"/>
        <v>387.17209917956257</v>
      </c>
      <c r="AM61" s="59">
        <f t="shared" si="5"/>
        <v>680.50543251289582</v>
      </c>
      <c r="AN61" s="59">
        <f ca="1">AVERAGE(OFFSET($AM$3,0,0,'Données projet'!$E$10+1,1))-AVERAGE(OFFSET($H$3,0,0,'Données projet'!$E$10+1,1))</f>
        <v>180.31844548479722</v>
      </c>
      <c r="AO61" s="59">
        <f t="shared" si="36"/>
        <v>273.83237400307223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23.840401600540101</v>
      </c>
      <c r="AV61" s="21">
        <f>EXP(-LN(2)/25)*AV60+(1-EXP(-LN(2)/25))/(LN(2)/25)*Calculateur!AQ61*Calculateur!AS61*VLOOKUP('Données projet'!$B$10,Paramètres!$A$1:$I$89,3,0)*0.475*44/12</f>
        <v>57.479253786764609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81.319655387304707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6.3942307692307701</v>
      </c>
      <c r="BD61" s="12">
        <f>IF('Données projet'!$A$88&gt;35,BD60+BC61-BL60,IF(A61&lt;'Données projet'!$A$88,$BA$205^A61,IF(A61='Données projet'!$A$88,'Données projet'!$B$88,BD60+BC61-BL60)))</f>
        <v>152.86217948717947</v>
      </c>
      <c r="BE61" s="13">
        <f>BD61*VLOOKUP('Données projet'!$B$11,Paramètres!$A$1:$I$89,3,0)*VLOOKUP('Données projet'!$B$11,Paramètres!$A$1:$I$89,5,0)</f>
        <v>155.00225</v>
      </c>
      <c r="BF61" s="13">
        <f t="shared" si="37"/>
        <v>39.713185446553709</v>
      </c>
      <c r="BG61" s="20">
        <f t="shared" si="7"/>
        <v>339.12938340274769</v>
      </c>
      <c r="BH61" s="59">
        <f t="shared" si="8"/>
        <v>632.46271673608101</v>
      </c>
      <c r="BI61" s="59">
        <f ca="1">AVERAGE(OFFSET($BH$3,0,0,'Données projet'!$E$11+1,1))-AVERAGE(OFFSET($H$3,0,0,'Données projet'!$E$11+1,1))</f>
        <v>264.08050363622294</v>
      </c>
      <c r="BJ61" s="59">
        <f t="shared" si="38"/>
        <v>164.48884512322883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27.611999999999998</v>
      </c>
      <c r="D62" s="11">
        <f t="shared" si="32"/>
        <v>8.6478099783937541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279.90028755251325</v>
      </c>
      <c r="H62" s="67">
        <f t="shared" si="1"/>
        <v>356.48583571236912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14.839560439560453</v>
      </c>
      <c r="N62" s="13">
        <f>IF('Données projet'!$A$36&gt;35,N61+M62-V61,IF(A62&lt;'Données projet'!$A$36,$K$205^A62,IF(A62='Données projet'!$A$36,'Données projet'!$B$36,N61+M62-V61)))</f>
        <v>396.35714285714278</v>
      </c>
      <c r="O62" s="13">
        <f>N62*VLOOKUP('Données projet'!$B$9,Paramètres!$A$1:$I$89,3,0)*VLOOKUP('Données projet'!$B$9,Paramètres!$A$1:$I$89,5,0)</f>
        <v>221.56364285714281</v>
      </c>
      <c r="P62" s="13">
        <f t="shared" si="33"/>
        <v>54.45459555983345</v>
      </c>
      <c r="Q62" s="20">
        <f t="shared" si="53"/>
        <v>480.73176524290034</v>
      </c>
      <c r="R62" s="59">
        <f t="shared" si="0"/>
        <v>774.06509857623359</v>
      </c>
      <c r="S62" s="59">
        <f ca="1">AVERAGE(OFFSET($R$3,0,0,'Données projet'!$E$9+1,1))-AVERAGE(OFFSET($H$3,0,0,'Données projet'!$E$9+1,1))</f>
        <v>254.6443970237226</v>
      </c>
      <c r="T62" s="59">
        <f t="shared" si="34"/>
        <v>231.81667808018062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70.556058941323627</v>
      </c>
      <c r="AA62" s="21">
        <f>EXP(-LN(2)/25)*AA61+(1-EXP(-LN(2)/25))/(LN(2)/25)*Calculateur!V62*Calculateur!X62*VLOOKUP('Données projet'!$B$9,Paramètres!$A$1:$I$89,3,0)*0.475*44/12</f>
        <v>25.68733889518807</v>
      </c>
      <c r="AB62" s="21">
        <f>EXP(-LN(2)/2)*AB61+(1-EXP(-LN(2)/2))/(LN(2)/2)*V62*Y62*VLOOKUP('Données projet'!$B$9,Paramètres!$A$1:$I$89,3,0)*0.475*44/12</f>
        <v>2.4975841847082716</v>
      </c>
      <c r="AC62" s="22">
        <f t="shared" si="3"/>
        <v>98.740982021219963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294.25</v>
      </c>
      <c r="AJ62" s="13">
        <f>AI62*VLOOKUP('Données projet'!$B$10,Paramètres!$A$1:$I$89,3,0)*VLOOKUP('Données projet'!$B$10,Paramètres!$A$1:$I$89,5,0)</f>
        <v>183.61199999999999</v>
      </c>
      <c r="AK62" s="13">
        <f t="shared" si="35"/>
        <v>46.124858041839339</v>
      </c>
      <c r="AL62" s="20">
        <f t="shared" si="4"/>
        <v>400.12502775620351</v>
      </c>
      <c r="AM62" s="59">
        <f t="shared" si="5"/>
        <v>693.45836108953677</v>
      </c>
      <c r="AN62" s="59">
        <f ca="1">AVERAGE(OFFSET($AM$3,0,0,'Données projet'!$E$10+1,1))-AVERAGE(OFFSET($H$3,0,0,'Données projet'!$E$10+1,1))</f>
        <v>180.31844548479722</v>
      </c>
      <c r="AO62" s="59">
        <f t="shared" si="36"/>
        <v>273.83237400307223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23.372905866362661</v>
      </c>
      <c r="AV62" s="21">
        <f>EXP(-LN(2)/25)*AV61+(1-EXP(-LN(2)/25))/(LN(2)/25)*Calculateur!AQ62*Calculateur!AS62*VLOOKUP('Données projet'!$B$10,Paramètres!$A$1:$I$89,3,0)*0.475*44/12</f>
        <v>55.907480569262944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79.280386435625601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>
        <f>VLOOKUP(A62,'Données projet'!$A$87:$I$107,2,0)</f>
        <v>159.25641025641025</v>
      </c>
      <c r="BB62" s="12">
        <f>VLOOKUP(A62,'Données projet'!$A$87:$I$107,9,0)</f>
        <v>6.3942307692307701</v>
      </c>
      <c r="BC62" s="12">
        <f t="array" ref="BC62">INDEX(BB:BB,MIN(IF(ISNUMBER(BB62:BB258),ROW(BB62:BB258),"")))</f>
        <v>6.3942307692307701</v>
      </c>
      <c r="BD62" s="12">
        <f>IF('Données projet'!$A$88&gt;35,BD61+BC62-BL61,IF(A62&lt;'Données projet'!$A$88,$BA$205^A62,IF(A62='Données projet'!$A$88,'Données projet'!$B$88,BD61+BC62-BL61)))</f>
        <v>159.25641025641025</v>
      </c>
      <c r="BE62" s="13">
        <f>BD62*VLOOKUP('Données projet'!$B$11,Paramètres!$A$1:$I$89,3,0)*VLOOKUP('Données projet'!$B$11,Paramètres!$A$1:$I$89,5,0)</f>
        <v>161.48599999999999</v>
      </c>
      <c r="BF62" s="13">
        <f t="shared" si="37"/>
        <v>41.177506306658742</v>
      </c>
      <c r="BG62" s="20">
        <f t="shared" si="7"/>
        <v>352.97227348409729</v>
      </c>
      <c r="BH62" s="59">
        <f t="shared" si="8"/>
        <v>646.30560681743054</v>
      </c>
      <c r="BI62" s="59">
        <f ca="1">AVERAGE(OFFSET($BH$3,0,0,'Données projet'!$E$11+1,1))-AVERAGE(OFFSET($H$3,0,0,'Données projet'!$E$11+1,1))</f>
        <v>264.08050363622294</v>
      </c>
      <c r="BJ62" s="59">
        <f t="shared" si="38"/>
        <v>164.48884512322883</v>
      </c>
      <c r="BK62" s="15">
        <f>IF(ISNA(VLOOKUP(A62,'Données projet'!$A$87:$I$107,3,0)),0,VLOOKUP(A62,'Données projet'!$A$87:$I$107,3,0))</f>
        <v>3</v>
      </c>
      <c r="BL62" s="15">
        <f>IF(ISNA(VLOOKUP(A62,'Données projet'!$A$87:$I$107,4,0)),0,VLOOKUP(A62,'Données projet'!$A$87:$I$107,4,0))</f>
        <v>38.942307692307693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28.08</v>
      </c>
      <c r="D63" s="11">
        <f t="shared" si="32"/>
        <v>8.7771949685951878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284.51168045933133</v>
      </c>
      <c r="H63" s="67">
        <f t="shared" si="1"/>
        <v>357.52628123696991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14.839560439560453</v>
      </c>
      <c r="N63" s="13">
        <f>IF('Données projet'!$A$36&gt;35,N62+M63-V62,IF(A63&lt;'Données projet'!$A$36,$K$205^A63,IF(A63='Données projet'!$A$36,'Données projet'!$B$36,N62+M63-V62)))</f>
        <v>411.19670329670322</v>
      </c>
      <c r="O63" s="13">
        <f>N63*VLOOKUP('Données projet'!$B$9,Paramètres!$A$1:$I$89,3,0)*VLOOKUP('Données projet'!$B$9,Paramètres!$A$1:$I$89,5,0)</f>
        <v>229.85895714285712</v>
      </c>
      <c r="P63" s="13">
        <f t="shared" si="33"/>
        <v>56.252183679167004</v>
      </c>
      <c r="Q63" s="20">
        <f t="shared" si="53"/>
        <v>498.31023693169203</v>
      </c>
      <c r="R63" s="59">
        <f t="shared" si="0"/>
        <v>791.64357026502535</v>
      </c>
      <c r="S63" s="59">
        <f ca="1">AVERAGE(OFFSET($R$3,0,0,'Données projet'!$E$9+1,1))-AVERAGE(OFFSET($H$3,0,0,'Données projet'!$E$9+1,1))</f>
        <v>254.6443970237226</v>
      </c>
      <c r="T63" s="59">
        <f t="shared" si="34"/>
        <v>231.81667808018062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69.172497660430878</v>
      </c>
      <c r="AA63" s="21">
        <f>EXP(-LN(2)/25)*AA62+(1-EXP(-LN(2)/25))/(LN(2)/25)*Calculateur!V63*Calculateur!X63*VLOOKUP('Données projet'!$B$9,Paramètres!$A$1:$I$89,3,0)*0.475*44/12</f>
        <v>24.984917262260709</v>
      </c>
      <c r="AB63" s="21">
        <f>EXP(-LN(2)/2)*AB62+(1-EXP(-LN(2)/2))/(LN(2)/2)*V63*Y63*VLOOKUP('Données projet'!$B$9,Paramètres!$A$1:$I$89,3,0)*0.475*44/12</f>
        <v>1.7660587135914936</v>
      </c>
      <c r="AC63" s="22">
        <f t="shared" si="3"/>
        <v>95.923473636283077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304</v>
      </c>
      <c r="AG63" s="12">
        <f>VLOOKUP(A63,'Données projet'!$A$61:$I$81,9,0)</f>
        <v>9.75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304</v>
      </c>
      <c r="AJ63" s="13">
        <f>AI63*VLOOKUP('Données projet'!$B$10,Paramètres!$A$1:$I$89,3,0)*VLOOKUP('Données projet'!$B$10,Paramètres!$A$1:$I$89,5,0)</f>
        <v>189.696</v>
      </c>
      <c r="AK63" s="13">
        <f t="shared" si="35"/>
        <v>47.472736505152469</v>
      </c>
      <c r="AL63" s="20">
        <f t="shared" si="4"/>
        <v>413.06888274647389</v>
      </c>
      <c r="AM63" s="59">
        <f t="shared" si="5"/>
        <v>706.4022160798072</v>
      </c>
      <c r="AN63" s="59">
        <f ca="1">AVERAGE(OFFSET($AM$3,0,0,'Données projet'!$E$10+1,1))-AVERAGE(OFFSET($H$3,0,0,'Données projet'!$E$10+1,1))</f>
        <v>180.31844548479722</v>
      </c>
      <c r="AO63" s="59">
        <f t="shared" si="36"/>
        <v>273.83237400307223</v>
      </c>
      <c r="AP63" s="15" t="str">
        <f>IF(ISNA(VLOOKUP(A63,'Données projet'!$A$61:$I$81,3,0)),0,VLOOKUP(A63,'Données projet'!$A$61:$I$81,3,0))</f>
        <v>CR</v>
      </c>
      <c r="AQ63" s="15">
        <f>IF(ISNA(VLOOKUP(A63,'Données projet'!$A$61:$I$81,4,0)),0,VLOOKUP(A63,'Données projet'!$A$61:$I$81,4,0))</f>
        <v>304</v>
      </c>
      <c r="AR63" s="16">
        <f>IF(ISNA(VLOOKUP(A63,'Données projet'!$A$61:$I$81,5,0)),0%,VLOOKUP(A63,'Données projet'!$A$61:$I$81,5,0)*VLOOKUP('Données projet'!$B$10,Paramètres!$A$1:$I$89,7,0))</f>
        <v>0.24</v>
      </c>
      <c r="AS63" s="16">
        <f>IF(ISNA(VLOOKUP(A63,'Données projet'!$A$61:$I$81,6,0)),0%,VLOOKUP(A63,'Données projet'!$A$61:$I$81,6,0)*VLOOKUP('Données projet'!$B$10,Paramètres!$A$1:$I$89,7,0))</f>
        <v>0.36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83.309130463762358</v>
      </c>
      <c r="AV63" s="21">
        <f>EXP(-LN(2)/25)*AV62+(1-EXP(-LN(2)/25))/(LN(2)/25)*Calculateur!AQ63*Calculateur!AS63*VLOOKUP('Données projet'!$B$10,Paramètres!$A$1:$I$89,3,0)*0.475*44/12</f>
        <v>144.61382256002648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227.92295302378884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5.9431089743589762</v>
      </c>
      <c r="BD63" s="12">
        <f>IF('Données projet'!$A$88&gt;35,BD62+BC63-BL62,IF(A63&lt;'Données projet'!$A$88,$BA$205^A63,IF(A63='Données projet'!$A$88,'Données projet'!$B$88,BD62+BC63-BL62)))</f>
        <v>126.25721153846153</v>
      </c>
      <c r="BE63" s="13">
        <f>BD63*VLOOKUP('Données projet'!$B$11,Paramètres!$A$1:$I$89,3,0)*VLOOKUP('Données projet'!$B$11,Paramètres!$A$1:$I$89,5,0)</f>
        <v>128.0248125</v>
      </c>
      <c r="BF63" s="13">
        <f t="shared" si="37"/>
        <v>33.539545602958114</v>
      </c>
      <c r="BG63" s="20">
        <f t="shared" si="7"/>
        <v>281.39125702931875</v>
      </c>
      <c r="BH63" s="59">
        <f t="shared" si="8"/>
        <v>574.72459036265207</v>
      </c>
      <c r="BI63" s="59">
        <f ca="1">AVERAGE(OFFSET($BH$3,0,0,'Données projet'!$E$11+1,1))-AVERAGE(OFFSET($H$3,0,0,'Données projet'!$E$11+1,1))</f>
        <v>264.08050363622294</v>
      </c>
      <c r="BJ63" s="59">
        <f t="shared" si="38"/>
        <v>164.48884512322883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28.547999999999998</v>
      </c>
      <c r="D64" s="11">
        <f t="shared" si="32"/>
        <v>8.9063291829603237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289.1211375526762</v>
      </c>
      <c r="H64" s="67">
        <f t="shared" si="1"/>
        <v>358.56628999365586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14.839560439560453</v>
      </c>
      <c r="N64" s="13">
        <f>IF('Données projet'!$A$36&gt;35,N63+M64-V63,IF(A64&lt;'Données projet'!$A$36,$K$205^A64,IF(A64='Données projet'!$A$36,'Données projet'!$B$36,N63+M64-V63)))</f>
        <v>426.03626373626366</v>
      </c>
      <c r="O64" s="13">
        <f>N64*VLOOKUP('Données projet'!$B$9,Paramètres!$A$1:$I$89,3,0)*VLOOKUP('Données projet'!$B$9,Paramètres!$A$1:$I$89,5,0)</f>
        <v>238.15427142857138</v>
      </c>
      <c r="P64" s="13">
        <f t="shared" si="33"/>
        <v>58.042234732541061</v>
      </c>
      <c r="Q64" s="20">
        <f t="shared" si="53"/>
        <v>515.87558156393754</v>
      </c>
      <c r="R64" s="59">
        <f t="shared" si="0"/>
        <v>809.20891489727092</v>
      </c>
      <c r="S64" s="59">
        <f ca="1">AVERAGE(OFFSET($R$3,0,0,'Données projet'!$E$9+1,1))-AVERAGE(OFFSET($H$3,0,0,'Données projet'!$E$9+1,1))</f>
        <v>254.6443970237226</v>
      </c>
      <c r="T64" s="59">
        <f t="shared" si="34"/>
        <v>231.81667808018062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67.816067172367383</v>
      </c>
      <c r="AA64" s="21">
        <f>EXP(-LN(2)/25)*AA63+(1-EXP(-LN(2)/25))/(LN(2)/25)*Calculateur!V64*Calculateur!X64*VLOOKUP('Données projet'!$B$9,Paramètres!$A$1:$I$89,3,0)*0.475*44/12</f>
        <v>24.301703385824496</v>
      </c>
      <c r="AB64" s="21">
        <f>EXP(-LN(2)/2)*AB63+(1-EXP(-LN(2)/2))/(LN(2)/2)*V64*Y64*VLOOKUP('Données projet'!$B$9,Paramètres!$A$1:$I$89,3,0)*0.475*44/12</f>
        <v>1.248792092354136</v>
      </c>
      <c r="AC64" s="22">
        <f t="shared" si="3"/>
        <v>93.366562650546015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180.31844548479722</v>
      </c>
      <c r="AO64" s="59">
        <f t="shared" si="36"/>
        <v>273.83237400307223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81.675489228920142</v>
      </c>
      <c r="AV64" s="21">
        <f>EXP(-LN(2)/25)*AV63+(1-EXP(-LN(2)/25))/(LN(2)/25)*Calculateur!AQ64*Calculateur!AS64*VLOOKUP('Données projet'!$B$10,Paramètres!$A$1:$I$89,3,0)*0.475*44/12</f>
        <v>140.65934997721214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222.3348392061323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5.9431089743589762</v>
      </c>
      <c r="BD64" s="12">
        <f>IF('Données projet'!$A$88&gt;35,BD63+BC64-BL63,IF(A64&lt;'Données projet'!$A$88,$BA$205^A64,IF(A64='Données projet'!$A$88,'Données projet'!$B$88,BD63+BC64-BL63)))</f>
        <v>132.2003205128205</v>
      </c>
      <c r="BE64" s="13">
        <f>BD64*VLOOKUP('Données projet'!$B$11,Paramètres!$A$1:$I$89,3,0)*VLOOKUP('Données projet'!$B$11,Paramètres!$A$1:$I$89,5,0)</f>
        <v>134.05112499999998</v>
      </c>
      <c r="BF64" s="13">
        <f t="shared" si="37"/>
        <v>34.930776988059094</v>
      </c>
      <c r="BG64" s="20">
        <f t="shared" si="7"/>
        <v>294.31014596253618</v>
      </c>
      <c r="BH64" s="59">
        <f t="shared" si="8"/>
        <v>587.6434792958695</v>
      </c>
      <c r="BI64" s="59">
        <f ca="1">AVERAGE(OFFSET($BH$3,0,0,'Données projet'!$E$11+1,1))-AVERAGE(OFFSET($H$3,0,0,'Données projet'!$E$11+1,1))</f>
        <v>264.08050363622294</v>
      </c>
      <c r="BJ64" s="59">
        <f t="shared" si="38"/>
        <v>164.48884512322883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29.015999999999998</v>
      </c>
      <c r="D65" s="11">
        <f t="shared" si="32"/>
        <v>9.0352172071357693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293.72869423052168</v>
      </c>
      <c r="H65" s="67">
        <f t="shared" si="1"/>
        <v>359.60586996909478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14.839560439560453</v>
      </c>
      <c r="N65" s="13">
        <f>IF('Données projet'!$A$36&gt;35,N64+M65-V64,IF(A65&lt;'Données projet'!$A$36,$K$205^A65,IF(A65='Données projet'!$A$36,'Données projet'!$B$36,N64+M65-V64)))</f>
        <v>440.87582417582411</v>
      </c>
      <c r="O65" s="13">
        <f>N65*VLOOKUP('Données projet'!$B$9,Paramètres!$A$1:$I$89,3,0)*VLOOKUP('Données projet'!$B$9,Paramètres!$A$1:$I$89,5,0)</f>
        <v>246.44958571428569</v>
      </c>
      <c r="P65" s="13">
        <f t="shared" si="33"/>
        <v>59.825041333918982</v>
      </c>
      <c r="Q65" s="20">
        <f t="shared" si="53"/>
        <v>533.42830877562312</v>
      </c>
      <c r="R65" s="59">
        <f t="shared" si="0"/>
        <v>826.76164210895649</v>
      </c>
      <c r="S65" s="59">
        <f ca="1">AVERAGE(OFFSET($R$3,0,0,'Données projet'!$E$9+1,1))-AVERAGE(OFFSET($H$3,0,0,'Données projet'!$E$9+1,1))</f>
        <v>254.6443970237226</v>
      </c>
      <c r="T65" s="59">
        <f t="shared" si="34"/>
        <v>231.81667808018062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66.486235458833903</v>
      </c>
      <c r="AA65" s="21">
        <f>EXP(-LN(2)/25)*AA64+(1-EXP(-LN(2)/25))/(LN(2)/25)*Calculateur!V65*Calculateur!X65*VLOOKUP('Données projet'!$B$9,Paramètres!$A$1:$I$89,3,0)*0.475*44/12</f>
        <v>23.637172028768084</v>
      </c>
      <c r="AB65" s="21">
        <f>EXP(-LN(2)/2)*AB64+(1-EXP(-LN(2)/2))/(LN(2)/2)*V65*Y65*VLOOKUP('Données projet'!$B$9,Paramètres!$A$1:$I$89,3,0)*0.475*44/12</f>
        <v>0.88302935679574701</v>
      </c>
      <c r="AC65" s="22">
        <f t="shared" si="3"/>
        <v>91.006436844397726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180.31844548479722</v>
      </c>
      <c r="AO65" s="59">
        <f t="shared" si="36"/>
        <v>273.83237400307223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80.07388270227041</v>
      </c>
      <c r="AV65" s="21">
        <f>EXP(-LN(2)/25)*AV64+(1-EXP(-LN(2)/25))/(LN(2)/25)*Calculateur!AQ65*Calculateur!AS65*VLOOKUP('Données projet'!$B$10,Paramètres!$A$1:$I$89,3,0)*0.475*44/12</f>
        <v>136.81301265513156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216.88689535740195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5.9431089743589762</v>
      </c>
      <c r="BD65" s="12">
        <f>IF('Données projet'!$A$88&gt;35,BD64+BC65-BL64,IF(A65&lt;'Données projet'!$A$88,$BA$205^A65,IF(A65='Données projet'!$A$88,'Données projet'!$B$88,BD64+BC65-BL64)))</f>
        <v>138.14342948717947</v>
      </c>
      <c r="BE65" s="13">
        <f>BD65*VLOOKUP('Données projet'!$B$11,Paramètres!$A$1:$I$89,3,0)*VLOOKUP('Données projet'!$B$11,Paramètres!$A$1:$I$89,5,0)</f>
        <v>140.0774375</v>
      </c>
      <c r="BF65" s="13">
        <f t="shared" si="37"/>
        <v>36.314744767883546</v>
      </c>
      <c r="BG65" s="20">
        <f t="shared" si="7"/>
        <v>307.2163841165638</v>
      </c>
      <c r="BH65" s="59">
        <f t="shared" si="8"/>
        <v>600.54971744989712</v>
      </c>
      <c r="BI65" s="59">
        <f ca="1">AVERAGE(OFFSET($BH$3,0,0,'Données projet'!$E$11+1,1))-AVERAGE(OFFSET($H$3,0,0,'Données projet'!$E$11+1,1))</f>
        <v>264.08050363622294</v>
      </c>
      <c r="BJ65" s="59">
        <f t="shared" si="38"/>
        <v>164.48884512322883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29.483999999999998</v>
      </c>
      <c r="D66" s="11">
        <f t="shared" si="32"/>
        <v>9.1638634703614379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298.33438468349181</v>
      </c>
      <c r="H66" s="67">
        <f t="shared" si="1"/>
        <v>360.64502887754617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455.71538461538466</v>
      </c>
      <c r="L66" s="12">
        <f>VLOOKUP(A66,'Données projet'!$A$35:$I$55,9,0)</f>
        <v>14.839560439560453</v>
      </c>
      <c r="M66" s="12">
        <f t="array" ref="M66">INDEX(L:L,MIN(IF(ISNUMBER(L66:L262),ROW(L66:L262),"")))</f>
        <v>14.839560439560453</v>
      </c>
      <c r="N66" s="13">
        <f>IF('Données projet'!$A$36&gt;35,N65+M66-V65,IF(A66&lt;'Données projet'!$A$36,$K$205^A66,IF(A66='Données projet'!$A$36,'Données projet'!$B$36,N65+M66-V65)))</f>
        <v>455.71538461538455</v>
      </c>
      <c r="O66" s="13">
        <f>N66*VLOOKUP('Données projet'!$B$9,Paramètres!$A$1:$I$89,3,0)*VLOOKUP('Données projet'!$B$9,Paramètres!$A$1:$I$89,5,0)</f>
        <v>254.74489999999997</v>
      </c>
      <c r="P66" s="13">
        <f t="shared" si="33"/>
        <v>61.600875281297732</v>
      </c>
      <c r="Q66" s="20">
        <f t="shared" si="53"/>
        <v>550.96889194826019</v>
      </c>
      <c r="R66" s="59">
        <f t="shared" si="0"/>
        <v>844.30222528159356</v>
      </c>
      <c r="S66" s="59">
        <f ca="1">AVERAGE(OFFSET($R$3,0,0,'Données projet'!$E$9+1,1))-AVERAGE(OFFSET($H$3,0,0,'Données projet'!$E$9+1,1))</f>
        <v>254.6443970237226</v>
      </c>
      <c r="T66" s="59">
        <f t="shared" si="34"/>
        <v>231.81667808018062</v>
      </c>
      <c r="U66" s="15">
        <f>IF(ISNA(VLOOKUP(A66,'Données projet'!$A$35:$I$55,3,0)),0,VLOOKUP(A66,'Données projet'!$A$35:$I$55,3,0))</f>
        <v>7</v>
      </c>
      <c r="V66" s="15">
        <f>IF(ISNA(VLOOKUP(A66,'Données projet'!$A$35:$I$55,4,0)),0,VLOOKUP(A66,'Données projet'!$A$35:$I$55,4,0))</f>
        <v>79.723076923076917</v>
      </c>
      <c r="W66" s="16">
        <f>IF(ISNA(VLOOKUP(A66,'Données projet'!$A$35:$I$55,5,0)),0%,VLOOKUP(A66,'Données projet'!$A$35:$I$55,5,0)*VLOOKUP('Données projet'!$B$9,Paramètres!$A$1:$I$89,7,0))</f>
        <v>0.38500000000000001</v>
      </c>
      <c r="X66" s="16">
        <f>IF(ISNA(VLOOKUP(A66,'Données projet'!$A$35:$I$55,6,0)),0%,VLOOKUP(A66,'Données projet'!$A$35:$I$55,6,0)*VLOOKUP('Données projet'!$B$9,Paramètres!$A$1:$I$89,7,0))</f>
        <v>9.240000000000001E-2</v>
      </c>
      <c r="Y66" s="16">
        <f>IF(ISNA(VLOOKUP(A66,'Données projet'!$A$35:$I$55,7,0)),0%,VLOOKUP(A66,'Données projet'!$A$35:$I$55,7,0))</f>
        <v>0.13200000000000001</v>
      </c>
      <c r="Z66" s="21">
        <f>EXP(-LN(2)/35)*Z65+(1-EXP(-LN(2)/35))/(LN(2)/35)*V66*W66*VLOOKUP('Données projet'!$B$9,Paramètres!$A$1:$I$89,3,0)*0.475*44/12</f>
        <v>87.943145887863921</v>
      </c>
      <c r="AA66" s="21">
        <f>EXP(-LN(2)/25)*AA65+(1-EXP(-LN(2)/25))/(LN(2)/25)*Calculateur!V66*Calculateur!X66*VLOOKUP('Données projet'!$B$9,Paramètres!$A$1:$I$89,3,0)*0.475*44/12</f>
        <v>28.431863727023469</v>
      </c>
      <c r="AB66" s="21">
        <f>EXP(-LN(2)/2)*AB65+(1-EXP(-LN(2)/2))/(LN(2)/2)*V66*Y66*VLOOKUP('Données projet'!$B$9,Paramètres!$A$1:$I$89,3,0)*0.475*44/12</f>
        <v>7.2848730058929609</v>
      </c>
      <c r="AC66" s="22">
        <f t="shared" si="3"/>
        <v>123.65988262078035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180.31844548479722</v>
      </c>
      <c r="AO66" s="59">
        <f t="shared" si="36"/>
        <v>273.83237400307223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78.50368270272476</v>
      </c>
      <c r="AV66" s="21">
        <f>EXP(-LN(2)/25)*AV65+(1-EXP(-LN(2)/25))/(LN(2)/25)*Calculateur!AQ66*Calculateur!AS66*VLOOKUP('Données projet'!$B$10,Paramètres!$A$1:$I$89,3,0)*0.475*44/12</f>
        <v>133.07185362939333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211.57553633211808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5.9431089743589762</v>
      </c>
      <c r="BD66" s="12">
        <f>IF('Données projet'!$A$88&gt;35,BD65+BC66-BL65,IF(A66&lt;'Données projet'!$A$88,$BA$205^A66,IF(A66='Données projet'!$A$88,'Données projet'!$B$88,BD65+BC66-BL65)))</f>
        <v>144.08653846153845</v>
      </c>
      <c r="BE66" s="13">
        <f>BD66*VLOOKUP('Données projet'!$B$11,Paramètres!$A$1:$I$89,3,0)*VLOOKUP('Données projet'!$B$11,Paramètres!$A$1:$I$89,5,0)</f>
        <v>146.10374999999999</v>
      </c>
      <c r="BF66" s="13">
        <f t="shared" si="37"/>
        <v>37.691797153104957</v>
      </c>
      <c r="BG66" s="20">
        <f t="shared" si="7"/>
        <v>320.11057795832443</v>
      </c>
      <c r="BH66" s="59">
        <f t="shared" si="8"/>
        <v>613.44391129165774</v>
      </c>
      <c r="BI66" s="59">
        <f ca="1">AVERAGE(OFFSET($BH$3,0,0,'Données projet'!$E$11+1,1))-AVERAGE(OFFSET($H$3,0,0,'Données projet'!$E$11+1,1))</f>
        <v>264.08050363622294</v>
      </c>
      <c r="BJ66" s="59">
        <f t="shared" si="38"/>
        <v>164.48884512322883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29.951999999999998</v>
      </c>
      <c r="D67" s="11">
        <f t="shared" si="32"/>
        <v>9.2922722532016273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302.93824195453891</v>
      </c>
      <c r="H67" s="67">
        <f t="shared" si="1"/>
        <v>361.68377417432612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13.296703296703283</v>
      </c>
      <c r="N67" s="13">
        <f>IF('Données projet'!$A$36&gt;35,N66+M67-V66,IF(A67&lt;'Données projet'!$A$36,$K$205^A67,IF(A67='Données projet'!$A$36,'Données projet'!$B$36,N66+M67-V66)))</f>
        <v>389.28901098901093</v>
      </c>
      <c r="O67" s="13">
        <f>N67*VLOOKUP('Données projet'!$B$9,Paramètres!$A$1:$I$89,3,0)*VLOOKUP('Données projet'!$B$9,Paramètres!$A$1:$I$89,5,0)</f>
        <v>217.61255714285713</v>
      </c>
      <c r="P67" s="13">
        <f t="shared" si="33"/>
        <v>53.595657750447323</v>
      </c>
      <c r="Q67" s="20">
        <f t="shared" ref="Q67:Q98" si="54">(O67+P67)*0.475*44/12</f>
        <v>472.35430760583853</v>
      </c>
      <c r="R67" s="59">
        <f t="shared" ref="R67:R130" si="55">Q67+(I67+J67)*44/12</f>
        <v>765.68764093917184</v>
      </c>
      <c r="S67" s="59">
        <f ca="1">AVERAGE(OFFSET($R$3,0,0,'Données projet'!$E$9+1,1))-AVERAGE(OFFSET($H$3,0,0,'Données projet'!$E$9+1,1))</f>
        <v>254.6443970237226</v>
      </c>
      <c r="T67" s="59">
        <f t="shared" si="34"/>
        <v>231.81667808018062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86.218634437025386</v>
      </c>
      <c r="AA67" s="21">
        <f>EXP(-LN(2)/25)*AA66+(1-EXP(-LN(2)/25))/(LN(2)/25)*Calculateur!V67*Calculateur!X67*VLOOKUP('Données projet'!$B$9,Paramètres!$A$1:$I$89,3,0)*0.475*44/12</f>
        <v>27.654392918241282</v>
      </c>
      <c r="AB67" s="21">
        <f>EXP(-LN(2)/2)*AB66+(1-EXP(-LN(2)/2))/(LN(2)/2)*V67*Y67*VLOOKUP('Données projet'!$B$9,Paramètres!$A$1:$I$89,3,0)*0.475*44/12</f>
        <v>5.1511831025497408</v>
      </c>
      <c r="AC67" s="22">
        <f t="shared" si="3"/>
        <v>119.02421045781641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180.31844548479722</v>
      </c>
      <c r="AO67" s="59">
        <f t="shared" si="36"/>
        <v>273.83237400307223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76.964273367442772</v>
      </c>
      <c r="AV67" s="21">
        <f>EXP(-LN(2)/25)*AV66+(1-EXP(-LN(2)/25))/(LN(2)/25)*Calculateur!AQ67*Calculateur!AS67*VLOOKUP('Données projet'!$B$10,Paramètres!$A$1:$I$89,3,0)*0.475*44/12</f>
        <v>129.43299679395292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206.39727016139568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5.9431089743589762</v>
      </c>
      <c r="BD67" s="12">
        <f>IF('Données projet'!$A$88&gt;35,BD66+BC67-BL66,IF(A67&lt;'Données projet'!$A$88,$BA$205^A67,IF(A67='Données projet'!$A$88,'Données projet'!$B$88,BD66+BC67-BL66)))</f>
        <v>150.02964743589743</v>
      </c>
      <c r="BE67" s="13">
        <f>BD67*VLOOKUP('Données projet'!$B$11,Paramètres!$A$1:$I$89,3,0)*VLOOKUP('Données projet'!$B$11,Paramètres!$A$1:$I$89,5,0)</f>
        <v>152.13006250000001</v>
      </c>
      <c r="BF67" s="13">
        <f t="shared" si="37"/>
        <v>39.06225200390233</v>
      </c>
      <c r="BG67" s="20">
        <f t="shared" si="7"/>
        <v>332.99328109429655</v>
      </c>
      <c r="BH67" s="59">
        <f t="shared" si="8"/>
        <v>626.32661442762992</v>
      </c>
      <c r="BI67" s="59">
        <f ca="1">AVERAGE(OFFSET($BH$3,0,0,'Données projet'!$E$11+1,1))-AVERAGE(OFFSET($H$3,0,0,'Données projet'!$E$11+1,1))</f>
        <v>264.08050363622294</v>
      </c>
      <c r="BJ67" s="59">
        <f t="shared" si="38"/>
        <v>164.48884512322883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30.419999999999998</v>
      </c>
      <c r="D68" s="11">
        <f t="shared" si="32"/>
        <v>9.4204476947792024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307.54029799478684</v>
      </c>
      <c r="H68" s="67">
        <f t="shared" ref="H68:H131" si="56">(B68+E68+F68)*44/12+(C68+D68)*0.475*44/12</f>
        <v>362.72211306840711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13.296703296703283</v>
      </c>
      <c r="N68" s="13">
        <f>IF('Données projet'!$A$36&gt;35,N67+M68-V67,IF(A68&lt;'Données projet'!$A$36,$K$205^A68,IF(A68='Données projet'!$A$36,'Données projet'!$B$36,N67+M68-V67)))</f>
        <v>402.58571428571423</v>
      </c>
      <c r="O68" s="13">
        <f>N68*VLOOKUP('Données projet'!$B$9,Paramètres!$A$1:$I$89,3,0)*VLOOKUP('Données projet'!$B$9,Paramètres!$A$1:$I$89,5,0)</f>
        <v>225.04541428571423</v>
      </c>
      <c r="P68" s="13">
        <f t="shared" si="33"/>
        <v>55.210030257376133</v>
      </c>
      <c r="Q68" s="20">
        <f t="shared" si="54"/>
        <v>488.11156591254894</v>
      </c>
      <c r="R68" s="59">
        <f t="shared" si="55"/>
        <v>781.4448992458822</v>
      </c>
      <c r="S68" s="59">
        <f ca="1">AVERAGE(OFFSET($R$3,0,0,'Données projet'!$E$9+1,1))-AVERAGE(OFFSET($H$3,0,0,'Données projet'!$E$9+1,1))</f>
        <v>254.6443970237226</v>
      </c>
      <c r="T68" s="59">
        <f t="shared" si="34"/>
        <v>231.81667808018062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84.527939603889678</v>
      </c>
      <c r="AA68" s="21">
        <f>EXP(-LN(2)/25)*AA67+(1-EXP(-LN(2)/25))/(LN(2)/25)*Calculateur!V68*Calculateur!X68*VLOOKUP('Données projet'!$B$9,Paramètres!$A$1:$I$89,3,0)*0.475*44/12</f>
        <v>26.898182089610657</v>
      </c>
      <c r="AB68" s="21">
        <f>EXP(-LN(2)/2)*AB67+(1-EXP(-LN(2)/2))/(LN(2)/2)*V68*Y68*VLOOKUP('Données projet'!$B$9,Paramètres!$A$1:$I$89,3,0)*0.475*44/12</f>
        <v>3.6424365029464809</v>
      </c>
      <c r="AC68" s="22">
        <f t="shared" ref="AC68:AC131" si="57">SUM(Z68:AB68)</f>
        <v>115.06855819644682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180.31844548479722</v>
      </c>
      <c r="AO68" s="59">
        <f t="shared" si="36"/>
        <v>273.83237400307223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75.455050910278686</v>
      </c>
      <c r="AV68" s="21">
        <f>EXP(-LN(2)/25)*AV67+(1-EXP(-LN(2)/25))/(LN(2)/25)*Calculateur!AQ68*Calculateur!AS68*VLOOKUP('Données projet'!$B$10,Paramètres!$A$1:$I$89,3,0)*0.475*44/12</f>
        <v>125.89364469003681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201.34869560031549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5.9431089743589762</v>
      </c>
      <c r="BD68" s="12">
        <f>IF('Données projet'!$A$88&gt;35,BD67+BC68-BL67,IF(A68&lt;'Données projet'!$A$88,$BA$205^A68,IF(A68='Données projet'!$A$88,'Données projet'!$B$88,BD67+BC68-BL67)))</f>
        <v>155.97275641025641</v>
      </c>
      <c r="BE68" s="13">
        <f>BD68*VLOOKUP('Données projet'!$B$11,Paramètres!$A$1:$I$89,3,0)*VLOOKUP('Données projet'!$B$11,Paramètres!$A$1:$I$89,5,0)</f>
        <v>158.15637500000003</v>
      </c>
      <c r="BF68" s="13">
        <f t="shared" si="37"/>
        <v>40.426400572135641</v>
      </c>
      <c r="BG68" s="20">
        <f t="shared" ref="BG68:BG131" si="61">(BE68+BF68)*0.475*44/12</f>
        <v>345.86500078813629</v>
      </c>
      <c r="BH68" s="59">
        <f t="shared" ref="BH68:BH131" si="62">BG68+(AY68+AZ68)*44/12</f>
        <v>639.19833412146954</v>
      </c>
      <c r="BI68" s="59">
        <f ca="1">AVERAGE(OFFSET($BH$3,0,0,'Données projet'!$E$11+1,1))-AVERAGE(OFFSET($H$3,0,0,'Données projet'!$E$11+1,1))</f>
        <v>264.08050363622294</v>
      </c>
      <c r="BJ68" s="59">
        <f t="shared" si="38"/>
        <v>164.48884512322883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30.887999999999998</v>
      </c>
      <c r="D69" s="11">
        <f t="shared" ref="D69:D132" si="86">IFERROR(EXP(-1.0587+0.8836*LN(C69)+0.284),0)</f>
        <v>9.5483937995519046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312.14058371583923</v>
      </c>
      <c r="H69" s="67">
        <f t="shared" si="56"/>
        <v>363.76005253421954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13.296703296703283</v>
      </c>
      <c r="N69" s="13">
        <f>IF('Données projet'!$A$36&gt;35,N68+M69-V68,IF(A69&lt;'Données projet'!$A$36,$K$205^A69,IF(A69='Données projet'!$A$36,'Données projet'!$B$36,N68+M69-V68)))</f>
        <v>415.88241758241753</v>
      </c>
      <c r="O69" s="13">
        <f>N69*VLOOKUP('Données projet'!$B$9,Paramètres!$A$1:$I$89,3,0)*VLOOKUP('Données projet'!$B$9,Paramètres!$A$1:$I$89,5,0)</f>
        <v>232.47827142857142</v>
      </c>
      <c r="P69" s="13">
        <f t="shared" ref="P69:P132" si="87">EXP(-1.0587+0.8836*LN(O69)+0.284)</f>
        <v>56.818207052289068</v>
      </c>
      <c r="Q69" s="20">
        <f t="shared" si="54"/>
        <v>503.85803335416534</v>
      </c>
      <c r="R69" s="59">
        <f t="shared" si="55"/>
        <v>797.19136668749866</v>
      </c>
      <c r="S69" s="59">
        <f ca="1">AVERAGE(OFFSET($R$3,0,0,'Données projet'!$E$9+1,1))-AVERAGE(OFFSET($H$3,0,0,'Données projet'!$E$9+1,1))</f>
        <v>254.6443970237226</v>
      </c>
      <c r="T69" s="59">
        <f t="shared" ref="T69:T132" si="88">$T$3</f>
        <v>231.81667808018062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82.87039826520973</v>
      </c>
      <c r="AA69" s="21">
        <f>EXP(-LN(2)/25)*AA68+(1-EXP(-LN(2)/25))/(LN(2)/25)*Calculateur!V69*Calculateur!X69*VLOOKUP('Données projet'!$B$9,Paramètres!$A$1:$I$89,3,0)*0.475*44/12</f>
        <v>26.162649885856332</v>
      </c>
      <c r="AB69" s="21">
        <f>EXP(-LN(2)/2)*AB68+(1-EXP(-LN(2)/2))/(LN(2)/2)*V69*Y69*VLOOKUP('Données projet'!$B$9,Paramètres!$A$1:$I$89,3,0)*0.475*44/12</f>
        <v>2.5755915512748708</v>
      </c>
      <c r="AC69" s="22">
        <f t="shared" si="57"/>
        <v>111.60863970234092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180.31844548479722</v>
      </c>
      <c r="AO69" s="59">
        <f t="shared" ref="AO69:AO132" si="90">$AO$3</f>
        <v>273.83237400307223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73.975423384964785</v>
      </c>
      <c r="AV69" s="21">
        <f>EXP(-LN(2)/25)*AV68+(1-EXP(-LN(2)/25))/(LN(2)/25)*Calculateur!AQ69*Calculateur!AS69*VLOOKUP('Données projet'!$B$10,Paramètres!$A$1:$I$89,3,0)*0.475*44/12</f>
        <v>122.45107635552871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196.42649974049351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5.9431089743589762</v>
      </c>
      <c r="BD69" s="12">
        <f>IF('Données projet'!$A$88&gt;35,BD68+BC69-BL68,IF(A69&lt;'Données projet'!$A$88,$BA$205^A69,IF(A69='Données projet'!$A$88,'Données projet'!$B$88,BD68+BC69-BL68)))</f>
        <v>161.91586538461539</v>
      </c>
      <c r="BE69" s="13">
        <f>BD69*VLOOKUP('Données projet'!$B$11,Paramètres!$A$1:$I$89,3,0)*VLOOKUP('Données projet'!$B$11,Paramètres!$A$1:$I$89,5,0)</f>
        <v>164.18268750000001</v>
      </c>
      <c r="BF69" s="13">
        <f t="shared" ref="BF69:BF132" si="91">EXP(-1.0587+0.8836*LN(BE69)+0.284)</f>
        <v>41.784510657121224</v>
      </c>
      <c r="BG69" s="20">
        <f t="shared" si="61"/>
        <v>358.72620345698607</v>
      </c>
      <c r="BH69" s="59">
        <f t="shared" si="62"/>
        <v>652.05953679031938</v>
      </c>
      <c r="BI69" s="59">
        <f ca="1">AVERAGE(OFFSET($BH$3,0,0,'Données projet'!$E$11+1,1))-AVERAGE(OFFSET($H$3,0,0,'Données projet'!$E$11+1,1))</f>
        <v>264.08050363622294</v>
      </c>
      <c r="BJ69" s="59">
        <f t="shared" ref="BJ69:BJ132" si="92">$BJ$3</f>
        <v>164.48884512322883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31.355999999999998</v>
      </c>
      <c r="D70" s="11">
        <f t="shared" si="86"/>
        <v>9.6761144436663837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316.73912903882825</v>
      </c>
      <c r="H70" s="67">
        <f t="shared" si="56"/>
        <v>364.79759932271895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13.296703296703283</v>
      </c>
      <c r="N70" s="13">
        <f>IF('Données projet'!$A$36&gt;35,N69+M70-V69,IF(A70&lt;'Données projet'!$A$36,$K$205^A70,IF(A70='Données projet'!$A$36,'Données projet'!$B$36,N69+M70-V69)))</f>
        <v>429.17912087912083</v>
      </c>
      <c r="O70" s="13">
        <f>N70*VLOOKUP('Données projet'!$B$9,Paramètres!$A$1:$I$89,3,0)*VLOOKUP('Données projet'!$B$9,Paramètres!$A$1:$I$89,5,0)</f>
        <v>239.91112857142855</v>
      </c>
      <c r="P70" s="13">
        <f t="shared" si="87"/>
        <v>58.420408949287598</v>
      </c>
      <c r="Q70" s="20">
        <f t="shared" si="54"/>
        <v>519.59409451524732</v>
      </c>
      <c r="R70" s="59">
        <f t="shared" si="55"/>
        <v>812.92742784858069</v>
      </c>
      <c r="S70" s="59">
        <f ca="1">AVERAGE(OFFSET($R$3,0,0,'Données projet'!$E$9+1,1))-AVERAGE(OFFSET($H$3,0,0,'Données projet'!$E$9+1,1))</f>
        <v>254.6443970237226</v>
      </c>
      <c r="T70" s="59">
        <f t="shared" si="88"/>
        <v>231.81667808018062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81.245360301180909</v>
      </c>
      <c r="AA70" s="21">
        <f>EXP(-LN(2)/25)*AA69+(1-EXP(-LN(2)/25))/(LN(2)/25)*Calculateur!V70*Calculateur!X70*VLOOKUP('Données projet'!$B$9,Paramètres!$A$1:$I$89,3,0)*0.475*44/12</f>
        <v>25.447230848893629</v>
      </c>
      <c r="AB70" s="21">
        <f>EXP(-LN(2)/2)*AB69+(1-EXP(-LN(2)/2))/(LN(2)/2)*V70*Y70*VLOOKUP('Données projet'!$B$9,Paramètres!$A$1:$I$89,3,0)*0.475*44/12</f>
        <v>1.8212182514732407</v>
      </c>
      <c r="AC70" s="22">
        <f t="shared" si="57"/>
        <v>108.51380940154777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180.31844548479722</v>
      </c>
      <c r="AO70" s="59">
        <f t="shared" si="90"/>
        <v>273.83237400307223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72.52481045293861</v>
      </c>
      <c r="AV70" s="21">
        <f>EXP(-LN(2)/25)*AV69+(1-EXP(-LN(2)/25))/(LN(2)/25)*Calculateur!AQ70*Calculateur!AS70*VLOOKUP('Données projet'!$B$10,Paramètres!$A$1:$I$89,3,0)*0.475*44/12</f>
        <v>119.10264523316454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191.62745568610313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>
        <f>VLOOKUP(A70,'Données projet'!$A$87:$I$107,2,0)</f>
        <v>167.85897435897436</v>
      </c>
      <c r="BB70" s="12">
        <f>VLOOKUP(A70,'Données projet'!$A$87:$I$107,9,0)</f>
        <v>5.9431089743589762</v>
      </c>
      <c r="BC70" s="12">
        <f t="array" ref="BC70">INDEX(BB:BB,MIN(IF(ISNUMBER(BB70:BB266),ROW(BB70:BB266),"")))</f>
        <v>5.9431089743589762</v>
      </c>
      <c r="BD70" s="12">
        <f>IF('Données projet'!$A$88&gt;35,BD69+BC70-BL69,IF(A70&lt;'Données projet'!$A$88,$BA$205^A70,IF(A70='Données projet'!$A$88,'Données projet'!$B$88,BD69+BC70-BL69)))</f>
        <v>167.85897435897436</v>
      </c>
      <c r="BE70" s="13">
        <f>BD70*VLOOKUP('Données projet'!$B$11,Paramètres!$A$1:$I$89,3,0)*VLOOKUP('Données projet'!$B$11,Paramètres!$A$1:$I$89,5,0)</f>
        <v>170.209</v>
      </c>
      <c r="BF70" s="13">
        <f t="shared" si="91"/>
        <v>43.136829285053246</v>
      </c>
      <c r="BG70" s="20">
        <f t="shared" si="61"/>
        <v>371.57731933813437</v>
      </c>
      <c r="BH70" s="59">
        <f t="shared" si="62"/>
        <v>664.91065267146769</v>
      </c>
      <c r="BI70" s="59">
        <f ca="1">AVERAGE(OFFSET($BH$3,0,0,'Données projet'!$E$11+1,1))-AVERAGE(OFFSET($H$3,0,0,'Données projet'!$E$11+1,1))</f>
        <v>264.08050363622294</v>
      </c>
      <c r="BJ70" s="59">
        <f t="shared" si="92"/>
        <v>164.48884512322883</v>
      </c>
      <c r="BK70" s="15">
        <f>IF(ISNA(VLOOKUP(A70,'Données projet'!$A$87:$I$107,3,0)),0,VLOOKUP(A70,'Données projet'!$A$87:$I$107,3,0))</f>
        <v>4</v>
      </c>
      <c r="BL70" s="15">
        <f>IF(ISNA(VLOOKUP(A70,'Données projet'!$A$87:$I$107,4,0)),0,VLOOKUP(A70,'Données projet'!$A$87:$I$107,4,0))</f>
        <v>31.993589743589741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31.823999999999998</v>
      </c>
      <c r="D71" s="11">
        <f t="shared" si="86"/>
        <v>9.8036133809220889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321.33596294045122</v>
      </c>
      <c r="H71" s="67">
        <f t="shared" si="56"/>
        <v>365.8347599717726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13.296703296703283</v>
      </c>
      <c r="N71" s="13">
        <f>IF('Données projet'!$A$36&gt;35,N70+M71-V70,IF(A71&lt;'Données projet'!$A$36,$K$205^A71,IF(A71='Données projet'!$A$36,'Données projet'!$B$36,N70+M71-V70)))</f>
        <v>442.47582417582413</v>
      </c>
      <c r="O71" s="13">
        <f>N71*VLOOKUP('Données projet'!$B$9,Paramètres!$A$1:$I$89,3,0)*VLOOKUP('Données projet'!$B$9,Paramètres!$A$1:$I$89,5,0)</f>
        <v>247.34398571428571</v>
      </c>
      <c r="P71" s="13">
        <f t="shared" si="87"/>
        <v>60.016842302819605</v>
      </c>
      <c r="Q71" s="20">
        <f t="shared" si="54"/>
        <v>535.32010879645838</v>
      </c>
      <c r="R71" s="59">
        <f t="shared" si="55"/>
        <v>828.65344212979176</v>
      </c>
      <c r="S71" s="59">
        <f ca="1">AVERAGE(OFFSET($R$3,0,0,'Données projet'!$E$9+1,1))-AVERAGE(OFFSET($H$3,0,0,'Données projet'!$E$9+1,1))</f>
        <v>254.6443970237226</v>
      </c>
      <c r="T71" s="59">
        <f t="shared" si="88"/>
        <v>231.81667808018062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79.652188340451403</v>
      </c>
      <c r="AA71" s="21">
        <f>EXP(-LN(2)/25)*AA70+(1-EXP(-LN(2)/25))/(LN(2)/25)*Calculateur!V71*Calculateur!X71*VLOOKUP('Données projet'!$B$9,Paramètres!$A$1:$I$89,3,0)*0.475*44/12</f>
        <v>24.751374983118922</v>
      </c>
      <c r="AB71" s="21">
        <f>EXP(-LN(2)/2)*AB70+(1-EXP(-LN(2)/2))/(LN(2)/2)*V71*Y71*VLOOKUP('Données projet'!$B$9,Paramètres!$A$1:$I$89,3,0)*0.475*44/12</f>
        <v>1.2877957756374356</v>
      </c>
      <c r="AC71" s="22">
        <f t="shared" si="57"/>
        <v>105.69135909920776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180.31844548479722</v>
      </c>
      <c r="AO71" s="59">
        <f t="shared" si="90"/>
        <v>273.83237400307223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71.102643155722944</v>
      </c>
      <c r="AV71" s="21">
        <f>EXP(-LN(2)/25)*AV70+(1-EXP(-LN(2)/25))/(LN(2)/25)*Calculateur!AQ71*Calculateur!AS71*VLOOKUP('Données projet'!$B$10,Paramètres!$A$1:$I$89,3,0)*0.475*44/12</f>
        <v>115.84577713592775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186.94842029165068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5.6899038461538431</v>
      </c>
      <c r="BD71" s="12">
        <f>IF('Données projet'!$A$88&gt;35,BD70+BC71-BL70,IF(A71&lt;'Données projet'!$A$88,$BA$205^A71,IF(A71='Données projet'!$A$88,'Données projet'!$B$88,BD70+BC71-BL70)))</f>
        <v>141.55528846153845</v>
      </c>
      <c r="BE71" s="13">
        <f>BD71*VLOOKUP('Données projet'!$B$11,Paramètres!$A$1:$I$89,3,0)*VLOOKUP('Données projet'!$B$11,Paramètres!$A$1:$I$89,5,0)</f>
        <v>143.53706249999999</v>
      </c>
      <c r="BF71" s="13">
        <f t="shared" si="91"/>
        <v>37.106116440776098</v>
      </c>
      <c r="BG71" s="20">
        <f t="shared" si="61"/>
        <v>314.62020332185165</v>
      </c>
      <c r="BH71" s="59">
        <f t="shared" si="62"/>
        <v>607.95353665518496</v>
      </c>
      <c r="BI71" s="59">
        <f ca="1">AVERAGE(OFFSET($BH$3,0,0,'Données projet'!$E$11+1,1))-AVERAGE(OFFSET($H$3,0,0,'Données projet'!$E$11+1,1))</f>
        <v>264.08050363622294</v>
      </c>
      <c r="BJ71" s="59">
        <f t="shared" si="92"/>
        <v>164.48884512322883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32.292000000000002</v>
      </c>
      <c r="D72" s="11">
        <f t="shared" si="86"/>
        <v>9.9308942483743401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325.93111349622302</v>
      </c>
      <c r="H72" s="67">
        <f t="shared" si="56"/>
        <v>366.87154081591865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13.296703296703283</v>
      </c>
      <c r="N72" s="13">
        <f>IF('Données projet'!$A$36&gt;35,N71+M72-V71,IF(A72&lt;'Données projet'!$A$36,$K$205^A72,IF(A72='Données projet'!$A$36,'Données projet'!$B$36,N71+M72-V71)))</f>
        <v>455.77252747252743</v>
      </c>
      <c r="O72" s="13">
        <f>N72*VLOOKUP('Données projet'!$B$9,Paramètres!$A$1:$I$89,3,0)*VLOOKUP('Données projet'!$B$9,Paramètres!$A$1:$I$89,5,0)</f>
        <v>254.77684285714284</v>
      </c>
      <c r="P72" s="13">
        <f t="shared" si="87"/>
        <v>61.607700360287495</v>
      </c>
      <c r="Q72" s="20">
        <f t="shared" si="54"/>
        <v>551.03641277035774</v>
      </c>
      <c r="R72" s="59">
        <f t="shared" si="55"/>
        <v>844.36974610369111</v>
      </c>
      <c r="S72" s="59">
        <f ca="1">AVERAGE(OFFSET($R$3,0,0,'Données projet'!$E$9+1,1))-AVERAGE(OFFSET($H$3,0,0,'Données projet'!$E$9+1,1))</f>
        <v>254.6443970237226</v>
      </c>
      <c r="T72" s="59">
        <f t="shared" si="88"/>
        <v>231.81667808018062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78.090257510132858</v>
      </c>
      <c r="AA72" s="21">
        <f>EXP(-LN(2)/25)*AA71+(1-EXP(-LN(2)/25))/(LN(2)/25)*Calculateur!V72*Calculateur!X72*VLOOKUP('Données projet'!$B$9,Paramètres!$A$1:$I$89,3,0)*0.475*44/12</f>
        <v>24.074547332587294</v>
      </c>
      <c r="AB72" s="21">
        <f>EXP(-LN(2)/2)*AB71+(1-EXP(-LN(2)/2))/(LN(2)/2)*V72*Y72*VLOOKUP('Données projet'!$B$9,Paramètres!$A$1:$I$89,3,0)*0.475*44/12</f>
        <v>0.91060912573662056</v>
      </c>
      <c r="AC72" s="22">
        <f t="shared" si="57"/>
        <v>103.07541396845677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180.31844548479722</v>
      </c>
      <c r="AO72" s="59">
        <f t="shared" si="90"/>
        <v>273.83237400307223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69.708363691769279</v>
      </c>
      <c r="AV72" s="21">
        <f>EXP(-LN(2)/25)*AV71+(1-EXP(-LN(2)/25))/(LN(2)/25)*Calculateur!AQ72*Calculateur!AS72*VLOOKUP('Données projet'!$B$10,Paramètres!$A$1:$I$89,3,0)*0.475*44/12</f>
        <v>112.67796826808116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182.38633195985045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5.6899038461538431</v>
      </c>
      <c r="BD72" s="12">
        <f>IF('Données projet'!$A$88&gt;35,BD71+BC72-BL71,IF(A72&lt;'Données projet'!$A$88,$BA$205^A72,IF(A72='Données projet'!$A$88,'Données projet'!$B$88,BD71+BC72-BL71)))</f>
        <v>147.24519230769229</v>
      </c>
      <c r="BE72" s="13">
        <f>BD72*VLOOKUP('Données projet'!$B$11,Paramètres!$A$1:$I$89,3,0)*VLOOKUP('Données projet'!$B$11,Paramètres!$A$1:$I$89,5,0)</f>
        <v>149.306625</v>
      </c>
      <c r="BF72" s="13">
        <f t="shared" si="91"/>
        <v>38.420971199416954</v>
      </c>
      <c r="BG72" s="20">
        <f t="shared" si="61"/>
        <v>326.95889671398453</v>
      </c>
      <c r="BH72" s="59">
        <f t="shared" si="62"/>
        <v>620.29223004731784</v>
      </c>
      <c r="BI72" s="59">
        <f ca="1">AVERAGE(OFFSET($BH$3,0,0,'Données projet'!$E$11+1,1))-AVERAGE(OFFSET($H$3,0,0,'Données projet'!$E$11+1,1))</f>
        <v>264.08050363622294</v>
      </c>
      <c r="BJ72" s="59">
        <f t="shared" si="92"/>
        <v>164.48884512322883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32.760000000000005</v>
      </c>
      <c r="D73" s="11">
        <f t="shared" si="86"/>
        <v>10.057960571603429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330.52460792114931</v>
      </c>
      <c r="H73" s="67">
        <f t="shared" si="56"/>
        <v>367.9079479955426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469.06923076923073</v>
      </c>
      <c r="L73" s="12">
        <f>VLOOKUP(A73,'Données projet'!$A$35:$I$55,9,0)</f>
        <v>13.296703296703283</v>
      </c>
      <c r="M73" s="12">
        <f t="array" ref="M73">INDEX(L:L,MIN(IF(ISNUMBER(L73:L269),ROW(L73:L269),"")))</f>
        <v>13.296703296703283</v>
      </c>
      <c r="N73" s="13">
        <f>IF('Données projet'!$A$36&gt;35,N72+M73-V72,IF(A73&lt;'Données projet'!$A$36,$K$205^A73,IF(A73='Données projet'!$A$36,'Données projet'!$B$36,N72+M73-V72)))</f>
        <v>469.06923076923073</v>
      </c>
      <c r="O73" s="13">
        <f>N73*VLOOKUP('Données projet'!$B$9,Paramètres!$A$1:$I$89,3,0)*VLOOKUP('Données projet'!$B$9,Paramètres!$A$1:$I$89,5,0)</f>
        <v>262.2097</v>
      </c>
      <c r="P73" s="13">
        <f t="shared" si="87"/>
        <v>63.193164452376628</v>
      </c>
      <c r="Q73" s="20">
        <f t="shared" si="54"/>
        <v>566.74332225455589</v>
      </c>
      <c r="R73" s="59">
        <f t="shared" si="55"/>
        <v>860.07665558788926</v>
      </c>
      <c r="S73" s="59">
        <f ca="1">AVERAGE(OFFSET($R$3,0,0,'Données projet'!$E$9+1,1))-AVERAGE(OFFSET($H$3,0,0,'Données projet'!$E$9+1,1))</f>
        <v>254.6443970237226</v>
      </c>
      <c r="T73" s="59">
        <f t="shared" si="88"/>
        <v>231.81667808018062</v>
      </c>
      <c r="U73" s="15">
        <f>IF(ISNA(VLOOKUP(A73,'Données projet'!$A$35:$I$55,3,0)),0,VLOOKUP(A73,'Données projet'!$A$35:$I$55,3,0))</f>
        <v>8</v>
      </c>
      <c r="V73" s="15">
        <f>IF(ISNA(VLOOKUP(A73,'Données projet'!$A$35:$I$55,4,0)),0,VLOOKUP(A73,'Données projet'!$A$35:$I$55,4,0))</f>
        <v>469.06923076923073</v>
      </c>
      <c r="W73" s="16">
        <f>IF(ISNA(VLOOKUP(A73,'Données projet'!$A$35:$I$55,5,0)),0%,VLOOKUP(A73,'Données projet'!$A$35:$I$55,5,0)*VLOOKUP('Données projet'!$B$9,Paramètres!$A$1:$I$89,7,0))</f>
        <v>0.38500000000000001</v>
      </c>
      <c r="X73" s="16">
        <f>IF(ISNA(VLOOKUP(A73,'Données projet'!$A$35:$I$55,6,0)),0%,VLOOKUP(A73,'Données projet'!$A$35:$I$55,6,0)*VLOOKUP('Données projet'!$B$9,Paramètres!$A$1:$I$89,7,0))</f>
        <v>9.240000000000001E-2</v>
      </c>
      <c r="Y73" s="16">
        <f>IF(ISNA(VLOOKUP(A73,'Données projet'!$A$35:$I$55,7,0)),0%,VLOOKUP(A73,'Données projet'!$A$35:$I$55,7,0))</f>
        <v>0.13200000000000001</v>
      </c>
      <c r="Z73" s="21">
        <f>EXP(-LN(2)/35)*Z72+(1-EXP(-LN(2)/35))/(LN(2)/35)*V73*W73*VLOOKUP('Données projet'!$B$9,Paramètres!$A$1:$I$89,3,0)*0.475*44/12</f>
        <v>210.47661132892722</v>
      </c>
      <c r="AA73" s="21">
        <f>EXP(-LN(2)/25)*AA72+(1-EXP(-LN(2)/25))/(LN(2)/25)*Calculateur!V73*Calculateur!X73*VLOOKUP('Données projet'!$B$9,Paramètres!$A$1:$I$89,3,0)*0.475*44/12</f>
        <v>55.429916681601206</v>
      </c>
      <c r="AB73" s="21">
        <f>EXP(-LN(2)/2)*AB72+(1-EXP(-LN(2)/2))/(LN(2)/2)*V73*Y73*VLOOKUP('Données projet'!$B$9,Paramètres!$A$1:$I$89,3,0)*0.475*44/12</f>
        <v>39.832360308362468</v>
      </c>
      <c r="AC73" s="22">
        <f t="shared" si="57"/>
        <v>305.73888831889087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180.31844548479722</v>
      </c>
      <c r="AO73" s="59">
        <f t="shared" si="90"/>
        <v>273.83237400307223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68.341425197677239</v>
      </c>
      <c r="AV73" s="21">
        <f>EXP(-LN(2)/25)*AV72+(1-EXP(-LN(2)/25))/(LN(2)/25)*Calculateur!AQ73*Calculateur!AS73*VLOOKUP('Données projet'!$B$10,Paramètres!$A$1:$I$89,3,0)*0.475*44/12</f>
        <v>109.59678330031366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177.9382084979909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5.6899038461538431</v>
      </c>
      <c r="BD73" s="12">
        <f>IF('Données projet'!$A$88&gt;35,BD72+BC73-BL72,IF(A73&lt;'Données projet'!$A$88,$BA$205^A73,IF(A73='Données projet'!$A$88,'Données projet'!$B$88,BD72+BC73-BL72)))</f>
        <v>152.93509615384613</v>
      </c>
      <c r="BE73" s="13">
        <f>BD73*VLOOKUP('Données projet'!$B$11,Paramètres!$A$1:$I$89,3,0)*VLOOKUP('Données projet'!$B$11,Paramètres!$A$1:$I$89,5,0)</f>
        <v>155.0761875</v>
      </c>
      <c r="BF73" s="13">
        <f t="shared" si="91"/>
        <v>39.729923507145784</v>
      </c>
      <c r="BG73" s="20">
        <f t="shared" si="61"/>
        <v>339.28731000411216</v>
      </c>
      <c r="BH73" s="59">
        <f t="shared" si="62"/>
        <v>632.62064333744547</v>
      </c>
      <c r="BI73" s="59">
        <f ca="1">AVERAGE(OFFSET($BH$3,0,0,'Données projet'!$E$11+1,1))-AVERAGE(OFFSET($H$3,0,0,'Données projet'!$E$11+1,1))</f>
        <v>264.08050363622294</v>
      </c>
      <c r="BJ73" s="59">
        <f t="shared" si="92"/>
        <v>164.48884512322883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33.228000000000009</v>
      </c>
      <c r="D74" s="11">
        <f t="shared" si="86"/>
        <v>10.184815769674017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335.11647260801004</v>
      </c>
      <c r="H74" s="67">
        <f t="shared" si="56"/>
        <v>368.94398746551559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254.6443970237226</v>
      </c>
      <c r="T74" s="59">
        <f t="shared" si="88"/>
        <v>231.81667808018062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206.34929335882359</v>
      </c>
      <c r="AA74" s="21">
        <f>EXP(-LN(2)/25)*AA73+(1-EXP(-LN(2)/25))/(LN(2)/25)*Calculateur!V74*Calculateur!X74*VLOOKUP('Données projet'!$B$9,Paramètres!$A$1:$I$89,3,0)*0.475*44/12</f>
        <v>53.91418269501019</v>
      </c>
      <c r="AB74" s="21">
        <f>EXP(-LN(2)/2)*AB73+(1-EXP(-LN(2)/2))/(LN(2)/2)*V74*Y74*VLOOKUP('Données projet'!$B$9,Paramètres!$A$1:$I$89,3,0)*0.475*44/12</f>
        <v>28.165732084708981</v>
      </c>
      <c r="AC74" s="22">
        <f t="shared" si="57"/>
        <v>288.42920813854272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180.31844548479722</v>
      </c>
      <c r="AO74" s="59">
        <f t="shared" si="90"/>
        <v>273.83237400307223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67.00129153370419</v>
      </c>
      <c r="AV74" s="21">
        <f>EXP(-LN(2)/25)*AV73+(1-EXP(-LN(2)/25))/(LN(2)/25)*Calculateur!AQ74*Calculateur!AS74*VLOOKUP('Données projet'!$B$10,Paramètres!$A$1:$I$89,3,0)*0.475*44/12</f>
        <v>106.59985349752223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173.60114503122642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5.6899038461538431</v>
      </c>
      <c r="BD74" s="12">
        <f>IF('Données projet'!$A$88&gt;35,BD73+BC74-BL73,IF(A74&lt;'Données projet'!$A$88,$BA$205^A74,IF(A74='Données projet'!$A$88,'Données projet'!$B$88,BD73+BC74-BL73)))</f>
        <v>158.62499999999997</v>
      </c>
      <c r="BE74" s="13">
        <f>BD74*VLOOKUP('Données projet'!$B$11,Paramètres!$A$1:$I$89,3,0)*VLOOKUP('Données projet'!$B$11,Paramètres!$A$1:$I$89,5,0)</f>
        <v>160.84574999999998</v>
      </c>
      <c r="BF74" s="13">
        <f t="shared" si="91"/>
        <v>41.033218108988017</v>
      </c>
      <c r="BG74" s="20">
        <f t="shared" si="61"/>
        <v>351.60586945648743</v>
      </c>
      <c r="BH74" s="59">
        <f t="shared" si="62"/>
        <v>644.93920278982068</v>
      </c>
      <c r="BI74" s="59">
        <f ca="1">AVERAGE(OFFSET($BH$3,0,0,'Données projet'!$E$11+1,1))-AVERAGE(OFFSET($H$3,0,0,'Données projet'!$E$11+1,1))</f>
        <v>264.08050363622294</v>
      </c>
      <c r="BJ74" s="59">
        <f t="shared" si="92"/>
        <v>164.48884512322883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33.696000000000012</v>
      </c>
      <c r="D75" s="11">
        <f t="shared" si="86"/>
        <v>10.311463159807191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339.70673316342402</v>
      </c>
      <c r="H75" s="67">
        <f t="shared" si="56"/>
        <v>369.97966500333087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254.6443970237226</v>
      </c>
      <c r="T75" s="59">
        <f t="shared" si="88"/>
        <v>231.81667808018062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202.30290957669831</v>
      </c>
      <c r="AA75" s="21">
        <f>EXP(-LN(2)/25)*AA74+(1-EXP(-LN(2)/25))/(LN(2)/25)*Calculateur!V75*Calculateur!X75*VLOOKUP('Données projet'!$B$9,Paramètres!$A$1:$I$89,3,0)*0.475*44/12</f>
        <v>52.439896533991494</v>
      </c>
      <c r="AB75" s="21">
        <f>EXP(-LN(2)/2)*AB74+(1-EXP(-LN(2)/2))/(LN(2)/2)*V75*Y75*VLOOKUP('Données projet'!$B$9,Paramètres!$A$1:$I$89,3,0)*0.475*44/12</f>
        <v>19.916180154181237</v>
      </c>
      <c r="AC75" s="22">
        <f t="shared" si="57"/>
        <v>274.65898626487103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180.31844548479722</v>
      </c>
      <c r="AO75" s="59">
        <f t="shared" si="90"/>
        <v>273.83237400307223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65.687437073480837</v>
      </c>
      <c r="AV75" s="21">
        <f>EXP(-LN(2)/25)*AV74+(1-EXP(-LN(2)/25))/(LN(2)/25)*Calculateur!AQ75*Calculateur!AS75*VLOOKUP('Données projet'!$B$10,Paramètres!$A$1:$I$89,3,0)*0.475*44/12</f>
        <v>103.68487489778983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169.37231197127068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5.6899038461538431</v>
      </c>
      <c r="BD75" s="12">
        <f>IF('Données projet'!$A$88&gt;35,BD74+BC75-BL74,IF(A75&lt;'Données projet'!$A$88,$BA$205^A75,IF(A75='Données projet'!$A$88,'Données projet'!$B$88,BD74+BC75-BL74)))</f>
        <v>164.31490384615381</v>
      </c>
      <c r="BE75" s="13">
        <f>BD75*VLOOKUP('Données projet'!$B$11,Paramètres!$A$1:$I$89,3,0)*VLOOKUP('Données projet'!$B$11,Paramètres!$A$1:$I$89,5,0)</f>
        <v>166.61531249999999</v>
      </c>
      <c r="BF75" s="13">
        <f t="shared" si="91"/>
        <v>42.331081196606618</v>
      </c>
      <c r="BG75" s="20">
        <f t="shared" si="61"/>
        <v>363.9149690215898</v>
      </c>
      <c r="BH75" s="59">
        <f t="shared" si="62"/>
        <v>657.24830235492311</v>
      </c>
      <c r="BI75" s="59">
        <f ca="1">AVERAGE(OFFSET($BH$3,0,0,'Données projet'!$E$11+1,1))-AVERAGE(OFFSET($H$3,0,0,'Données projet'!$E$11+1,1))</f>
        <v>264.08050363622294</v>
      </c>
      <c r="BJ75" s="59">
        <f t="shared" si="92"/>
        <v>164.48884512322883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34.164000000000016</v>
      </c>
      <c r="D76" s="11">
        <f t="shared" si="86"/>
        <v>10.437905961785614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344.29541444185406</v>
      </c>
      <c r="H76" s="67">
        <f t="shared" si="56"/>
        <v>371.01498621677661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254.6443970237226</v>
      </c>
      <c r="T76" s="59">
        <f t="shared" si="88"/>
        <v>231.81667808018062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198.33587291249009</v>
      </c>
      <c r="AA76" s="21">
        <f>EXP(-LN(2)/25)*AA75+(1-EXP(-LN(2)/25))/(LN(2)/25)*Calculateur!V76*Calculateur!X76*VLOOKUP('Données projet'!$B$9,Paramètres!$A$1:$I$89,3,0)*0.475*44/12</f>
        <v>51.005924805575191</v>
      </c>
      <c r="AB76" s="21">
        <f>EXP(-LN(2)/2)*AB75+(1-EXP(-LN(2)/2))/(LN(2)/2)*V76*Y76*VLOOKUP('Données projet'!$B$9,Paramètres!$A$1:$I$89,3,0)*0.475*44/12</f>
        <v>14.082866042354494</v>
      </c>
      <c r="AC76" s="22">
        <f t="shared" si="57"/>
        <v>263.42466376041978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180.31844548479722</v>
      </c>
      <c r="AO76" s="59">
        <f t="shared" si="90"/>
        <v>273.83237400307223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64.39934649785036</v>
      </c>
      <c r="AV76" s="21">
        <f>EXP(-LN(2)/25)*AV75+(1-EXP(-LN(2)/25))/(LN(2)/25)*Calculateur!AQ76*Calculateur!AS76*VLOOKUP('Données projet'!$B$10,Paramètres!$A$1:$I$89,3,0)*0.475*44/12</f>
        <v>100.84960654115916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165.24895303900951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5.6899038461538431</v>
      </c>
      <c r="BD76" s="12">
        <f>IF('Données projet'!$A$88&gt;35,BD75+BC76-BL75,IF(A76&lt;'Données projet'!$A$88,$BA$205^A76,IF(A76='Données projet'!$A$88,'Données projet'!$B$88,BD75+BC76-BL75)))</f>
        <v>170.00480769230765</v>
      </c>
      <c r="BE76" s="13">
        <f>BD76*VLOOKUP('Données projet'!$B$11,Paramètres!$A$1:$I$89,3,0)*VLOOKUP('Données projet'!$B$11,Paramètres!$A$1:$I$89,5,0)</f>
        <v>172.38487499999997</v>
      </c>
      <c r="BF76" s="13">
        <f t="shared" si="91"/>
        <v>43.623722408092668</v>
      </c>
      <c r="BG76" s="20">
        <f t="shared" si="61"/>
        <v>376.21497381909467</v>
      </c>
      <c r="BH76" s="59">
        <f t="shared" si="62"/>
        <v>669.54830715242792</v>
      </c>
      <c r="BI76" s="59">
        <f ca="1">AVERAGE(OFFSET($BH$3,0,0,'Données projet'!$E$11+1,1))-AVERAGE(OFFSET($H$3,0,0,'Données projet'!$E$11+1,1))</f>
        <v>264.08050363622294</v>
      </c>
      <c r="BJ76" s="59">
        <f t="shared" si="92"/>
        <v>164.48884512322883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34.632000000000019</v>
      </c>
      <c r="D77" s="11">
        <f t="shared" si="86"/>
        <v>10.564147302110397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348.88254057769444</v>
      </c>
      <c r="H77" s="67">
        <f t="shared" si="56"/>
        <v>372.04995655117563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254.6443970237226</v>
      </c>
      <c r="T77" s="59">
        <f t="shared" si="88"/>
        <v>231.81667808018062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194.44662741761354</v>
      </c>
      <c r="AA77" s="21">
        <f>EXP(-LN(2)/25)*AA76+(1-EXP(-LN(2)/25))/(LN(2)/25)*Calculateur!V77*Calculateur!X77*VLOOKUP('Données projet'!$B$9,Paramètres!$A$1:$I$89,3,0)*0.475*44/12</f>
        <v>49.611165109481725</v>
      </c>
      <c r="AB77" s="21">
        <f>EXP(-LN(2)/2)*AB76+(1-EXP(-LN(2)/2))/(LN(2)/2)*V77*Y77*VLOOKUP('Données projet'!$B$9,Paramètres!$A$1:$I$89,3,0)*0.475*44/12</f>
        <v>9.9580900770906204</v>
      </c>
      <c r="AC77" s="22">
        <f t="shared" si="57"/>
        <v>254.01588260418589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180.31844548479722</v>
      </c>
      <c r="AO77" s="59">
        <f t="shared" si="90"/>
        <v>273.83237400307223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63.136514592750331</v>
      </c>
      <c r="AV77" s="21">
        <f>EXP(-LN(2)/25)*AV76+(1-EXP(-LN(2)/25))/(LN(2)/25)*Calculateur!AQ77*Calculateur!AS77*VLOOKUP('Données projet'!$B$10,Paramètres!$A$1:$I$89,3,0)*0.475*44/12</f>
        <v>98.091868746840845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161.22838333959118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5.6899038461538431</v>
      </c>
      <c r="BD77" s="12">
        <f>IF('Données projet'!$A$88&gt;35,BD76+BC77-BL76,IF(A77&lt;'Données projet'!$A$88,$BA$205^A77,IF(A77='Données projet'!$A$88,'Données projet'!$B$88,BD76+BC77-BL76)))</f>
        <v>175.69471153846149</v>
      </c>
      <c r="BE77" s="13">
        <f>BD77*VLOOKUP('Données projet'!$B$11,Paramètres!$A$1:$I$89,3,0)*VLOOKUP('Données projet'!$B$11,Paramètres!$A$1:$I$89,5,0)</f>
        <v>178.15443749999994</v>
      </c>
      <c r="BF77" s="13">
        <f t="shared" si="91"/>
        <v>44.911336552510832</v>
      </c>
      <c r="BG77" s="20">
        <f t="shared" si="61"/>
        <v>388.50622314145625</v>
      </c>
      <c r="BH77" s="59">
        <f t="shared" si="62"/>
        <v>681.83955647478956</v>
      </c>
      <c r="BI77" s="59">
        <f ca="1">AVERAGE(OFFSET($BH$3,0,0,'Données projet'!$E$11+1,1))-AVERAGE(OFFSET($H$3,0,0,'Données projet'!$E$11+1,1))</f>
        <v>264.08050363622294</v>
      </c>
      <c r="BJ77" s="59">
        <f t="shared" si="92"/>
        <v>164.48884512322883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35.100000000000023</v>
      </c>
      <c r="D78" s="11">
        <f t="shared" si="86"/>
        <v>10.690190217926903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353.46813501557631</v>
      </c>
      <c r="H78" s="67">
        <f t="shared" si="56"/>
        <v>373.08458129622272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254.6443970237226</v>
      </c>
      <c r="T78" s="59">
        <f t="shared" si="88"/>
        <v>231.81667808018062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190.633647654686</v>
      </c>
      <c r="AA78" s="21">
        <f>EXP(-LN(2)/25)*AA77+(1-EXP(-LN(2)/25))/(LN(2)/25)*Calculateur!V78*Calculateur!X78*VLOOKUP('Données projet'!$B$9,Paramètres!$A$1:$I$89,3,0)*0.475*44/12</f>
        <v>48.254545190625159</v>
      </c>
      <c r="AB78" s="21">
        <f>EXP(-LN(2)/2)*AB77+(1-EXP(-LN(2)/2))/(LN(2)/2)*V78*Y78*VLOOKUP('Données projet'!$B$9,Paramètres!$A$1:$I$89,3,0)*0.475*44/12</f>
        <v>7.041433021177248</v>
      </c>
      <c r="AC78" s="22">
        <f t="shared" si="57"/>
        <v>245.92962586648841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180.31844548479722</v>
      </c>
      <c r="AO78" s="59">
        <f t="shared" si="90"/>
        <v>273.83237400307223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61.898446051057903</v>
      </c>
      <c r="AV78" s="21">
        <f>EXP(-LN(2)/25)*AV77+(1-EXP(-LN(2)/25))/(LN(2)/25)*Calculateur!AQ78*Calculateur!AS78*VLOOKUP('Données projet'!$B$10,Paramètres!$A$1:$I$89,3,0)*0.475*44/12</f>
        <v>95.409541437531303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157.30798748858922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181.38461538461536</v>
      </c>
      <c r="BB78" s="12">
        <f>VLOOKUP(A78,'Données projet'!$A$87:$I$107,9,0)</f>
        <v>5.6899038461538431</v>
      </c>
      <c r="BC78" s="12">
        <f t="array" ref="BC78">INDEX(BB:BB,MIN(IF(ISNUMBER(BB78:BB274),ROW(BB78:BB274),"")))</f>
        <v>5.6899038461538431</v>
      </c>
      <c r="BD78" s="12">
        <f>IF('Données projet'!$A$88&gt;35,BD77+BC78-BL77,IF(A78&lt;'Données projet'!$A$88,$BA$205^A78,IF(A78='Données projet'!$A$88,'Données projet'!$B$88,BD77+BC78-BL77)))</f>
        <v>181.38461538461533</v>
      </c>
      <c r="BE78" s="13">
        <f>BD78*VLOOKUP('Données projet'!$B$11,Paramètres!$A$1:$I$89,3,0)*VLOOKUP('Données projet'!$B$11,Paramètres!$A$1:$I$89,5,0)</f>
        <v>183.92399999999995</v>
      </c>
      <c r="BF78" s="13">
        <f t="shared" si="91"/>
        <v>46.194105104770117</v>
      </c>
      <c r="BG78" s="20">
        <f t="shared" si="61"/>
        <v>400.78903305747446</v>
      </c>
      <c r="BH78" s="59">
        <f t="shared" si="62"/>
        <v>694.12236639080777</v>
      </c>
      <c r="BI78" s="59">
        <f ca="1">AVERAGE(OFFSET($BH$3,0,0,'Données projet'!$E$11+1,1))-AVERAGE(OFFSET($H$3,0,0,'Données projet'!$E$11+1,1))</f>
        <v>264.08050363622294</v>
      </c>
      <c r="BJ78" s="59">
        <f t="shared" si="92"/>
        <v>164.48884512322883</v>
      </c>
      <c r="BK78" s="15">
        <f>IF(ISNA(VLOOKUP(A78,'Données projet'!$A$87:$I$107,3,0)),0,VLOOKUP(A78,'Données projet'!$A$87:$I$107,3,0))</f>
        <v>5</v>
      </c>
      <c r="BL78" s="15">
        <f>IF(ISNA(VLOOKUP(A78,'Données projet'!$A$87:$I$107,4,0)),0,VLOOKUP(A78,'Données projet'!$A$87:$I$107,4,0))</f>
        <v>30.916666666666664</v>
      </c>
      <c r="BM78" s="16">
        <f>IF(ISNA(VLOOKUP(A78,'Données projet'!$A$87:$I$107,5,0)),0%,VLOOKUP(A78,'Données projet'!$A$87:$I$107,5,0)*VLOOKUP('Données projet'!$B$11,Paramètres!$A$1:$I$89,7,0))</f>
        <v>0.30099999999999999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10.431439042613633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10.431439042613633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35.568000000000026</v>
      </c>
      <c r="D79" s="11">
        <f t="shared" si="86"/>
        <v>10.816037660735214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358.05222053900889</v>
      </c>
      <c r="H79" s="67">
        <f t="shared" si="56"/>
        <v>374.11886559244721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254.6443970237226</v>
      </c>
      <c r="T79" s="59">
        <f t="shared" si="88"/>
        <v>231.81667808018062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186.89543809922148</v>
      </c>
      <c r="AA79" s="21">
        <f>EXP(-LN(2)/25)*AA78+(1-EXP(-LN(2)/25))/(LN(2)/25)*Calculateur!V79*Calculateur!X79*VLOOKUP('Données projet'!$B$9,Paramètres!$A$1:$I$89,3,0)*0.475*44/12</f>
        <v>46.935022114791266</v>
      </c>
      <c r="AB79" s="21">
        <f>EXP(-LN(2)/2)*AB78+(1-EXP(-LN(2)/2))/(LN(2)/2)*V79*Y79*VLOOKUP('Données projet'!$B$9,Paramètres!$A$1:$I$89,3,0)*0.475*44/12</f>
        <v>4.9790450385453111</v>
      </c>
      <c r="AC79" s="22">
        <f t="shared" si="57"/>
        <v>238.80950525255807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180.31844548479722</v>
      </c>
      <c r="AO79" s="59">
        <f t="shared" si="90"/>
        <v>273.83237400307223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60.684655278320818</v>
      </c>
      <c r="AV79" s="21">
        <f>EXP(-LN(2)/25)*AV78+(1-EXP(-LN(2)/25))/(LN(2)/25)*Calculateur!AQ79*Calculateur!AS79*VLOOKUP('Données projet'!$B$10,Paramètres!$A$1:$I$89,3,0)*0.475*44/12</f>
        <v>92.800562509552293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153.48521778787313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5.5042735042735051</v>
      </c>
      <c r="BD79" s="12">
        <f>IF('Données projet'!$A$88&gt;35,BD78+BC79-BL78,IF(A79&lt;'Données projet'!$A$88,$BA$205^A79,IF(A79='Données projet'!$A$88,'Données projet'!$B$88,BD78+BC79-BL78)))</f>
        <v>155.97222222222217</v>
      </c>
      <c r="BE79" s="13">
        <f>BD79*VLOOKUP('Données projet'!$B$11,Paramètres!$A$1:$I$89,3,0)*VLOOKUP('Données projet'!$B$11,Paramètres!$A$1:$I$89,5,0)</f>
        <v>158.15583333333331</v>
      </c>
      <c r="BF79" s="13">
        <f t="shared" si="91"/>
        <v>40.426278232755124</v>
      </c>
      <c r="BG79" s="20">
        <f t="shared" si="61"/>
        <v>345.86384431093734</v>
      </c>
      <c r="BH79" s="59">
        <f t="shared" si="62"/>
        <v>639.1971776442706</v>
      </c>
      <c r="BI79" s="59">
        <f ca="1">AVERAGE(OFFSET($BH$3,0,0,'Données projet'!$E$11+1,1))-AVERAGE(OFFSET($H$3,0,0,'Données projet'!$E$11+1,1))</f>
        <v>264.08050363622294</v>
      </c>
      <c r="BJ79" s="59">
        <f t="shared" si="92"/>
        <v>164.48884512322883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10.226884885537546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10.226884885537546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36.03600000000003</v>
      </c>
      <c r="D80" s="11">
        <f t="shared" si="86"/>
        <v>10.941692499899752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362.63481929747201</v>
      </c>
      <c r="H80" s="67">
        <f t="shared" si="56"/>
        <v>375.15281443732545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254.6443970237226</v>
      </c>
      <c r="T80" s="59">
        <f t="shared" si="88"/>
        <v>231.81667808018062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183.23053255305692</v>
      </c>
      <c r="AA80" s="21">
        <f>EXP(-LN(2)/25)*AA79+(1-EXP(-LN(2)/25))/(LN(2)/25)*Calculateur!V80*Calculateur!X80*VLOOKUP('Données projet'!$B$9,Paramètres!$A$1:$I$89,3,0)*0.475*44/12</f>
        <v>45.651581466856754</v>
      </c>
      <c r="AB80" s="21">
        <f>EXP(-LN(2)/2)*AB79+(1-EXP(-LN(2)/2))/(LN(2)/2)*V80*Y80*VLOOKUP('Données projet'!$B$9,Paramètres!$A$1:$I$89,3,0)*0.475*44/12</f>
        <v>3.5207165105886244</v>
      </c>
      <c r="AC80" s="22">
        <f t="shared" si="57"/>
        <v>232.40283053050229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180.31844548479722</v>
      </c>
      <c r="AO80" s="59">
        <f t="shared" si="90"/>
        <v>273.83237400307223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59.494666202297836</v>
      </c>
      <c r="AV80" s="21">
        <f>EXP(-LN(2)/25)*AV79+(1-EXP(-LN(2)/25))/(LN(2)/25)*Calculateur!AQ80*Calculateur!AS80*VLOOKUP('Données projet'!$B$10,Paramètres!$A$1:$I$89,3,0)*0.475*44/12</f>
        <v>90.262926247559108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149.75759244985693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5.5042735042735051</v>
      </c>
      <c r="BD80" s="12">
        <f>IF('Données projet'!$A$88&gt;35,BD79+BC80-BL79,IF(A80&lt;'Données projet'!$A$88,$BA$205^A80,IF(A80='Données projet'!$A$88,'Données projet'!$B$88,BD79+BC80-BL79)))</f>
        <v>161.47649572649567</v>
      </c>
      <c r="BE80" s="13">
        <f>BD80*VLOOKUP('Données projet'!$B$11,Paramètres!$A$1:$I$89,3,0)*VLOOKUP('Données projet'!$B$11,Paramètres!$A$1:$I$89,5,0)</f>
        <v>163.73716666666661</v>
      </c>
      <c r="BF80" s="13">
        <f t="shared" si="91"/>
        <v>41.68430774657778</v>
      </c>
      <c r="BG80" s="20">
        <f t="shared" si="61"/>
        <v>357.77573460306729</v>
      </c>
      <c r="BH80" s="59">
        <f t="shared" si="62"/>
        <v>651.10906793640061</v>
      </c>
      <c r="BI80" s="59">
        <f ca="1">AVERAGE(OFFSET($BH$3,0,0,'Données projet'!$E$11+1,1))-AVERAGE(OFFSET($H$3,0,0,'Données projet'!$E$11+1,1))</f>
        <v>264.08050363622294</v>
      </c>
      <c r="BJ80" s="59">
        <f t="shared" si="92"/>
        <v>164.48884512322883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10.026341910716004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10.026341910716004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36.504000000000033</v>
      </c>
      <c r="D81" s="11">
        <f t="shared" si="86"/>
        <v>11.067157525971385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367.21595283206005</v>
      </c>
      <c r="H81" s="67">
        <f t="shared" si="56"/>
        <v>376.18643269106684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254.6443970237226</v>
      </c>
      <c r="T81" s="59">
        <f t="shared" si="88"/>
        <v>231.81667808018062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179.63749356928099</v>
      </c>
      <c r="AA81" s="21">
        <f>EXP(-LN(2)/25)*AA80+(1-EXP(-LN(2)/25))/(LN(2)/25)*Calculateur!V81*Calculateur!X81*VLOOKUP('Données projet'!$B$9,Paramètres!$A$1:$I$89,3,0)*0.475*44/12</f>
        <v>44.403236570933224</v>
      </c>
      <c r="AB81" s="21">
        <f>EXP(-LN(2)/2)*AB80+(1-EXP(-LN(2)/2))/(LN(2)/2)*V81*Y81*VLOOKUP('Données projet'!$B$9,Paramètres!$A$1:$I$89,3,0)*0.475*44/12</f>
        <v>2.4895225192726556</v>
      </c>
      <c r="AC81" s="22">
        <f t="shared" si="57"/>
        <v>226.53025265948688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180.31844548479722</v>
      </c>
      <c r="AO81" s="59">
        <f t="shared" si="90"/>
        <v>273.83237400307223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58.328012086233997</v>
      </c>
      <c r="AV81" s="21">
        <f>EXP(-LN(2)/25)*AV80+(1-EXP(-LN(2)/25))/(LN(2)/25)*Calculateur!AQ81*Calculateur!AS81*VLOOKUP('Données projet'!$B$10,Paramètres!$A$1:$I$89,3,0)*0.475*44/12</f>
        <v>87.794681782598616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146.12269386883261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5.5042735042735051</v>
      </c>
      <c r="BD81" s="12">
        <f>IF('Données projet'!$A$88&gt;35,BD80+BC81-BL80,IF(A81&lt;'Données projet'!$A$88,$BA$205^A81,IF(A81='Données projet'!$A$88,'Données projet'!$B$88,BD80+BC81-BL80)))</f>
        <v>166.98076923076917</v>
      </c>
      <c r="BE81" s="13">
        <f>BD81*VLOOKUP('Données projet'!$B$11,Paramètres!$A$1:$I$89,3,0)*VLOOKUP('Données projet'!$B$11,Paramètres!$A$1:$I$89,5,0)</f>
        <v>169.31849999999994</v>
      </c>
      <c r="BF81" s="13">
        <f t="shared" si="91"/>
        <v>42.93735459119118</v>
      </c>
      <c r="BG81" s="20">
        <f t="shared" si="61"/>
        <v>369.67894674632447</v>
      </c>
      <c r="BH81" s="59">
        <f t="shared" si="62"/>
        <v>663.01228007965778</v>
      </c>
      <c r="BI81" s="59">
        <f ca="1">AVERAGE(OFFSET($BH$3,0,0,'Données projet'!$E$11+1,1))-AVERAGE(OFFSET($H$3,0,0,'Données projet'!$E$11+1,1))</f>
        <v>264.08050363622294</v>
      </c>
      <c r="BJ81" s="59">
        <f t="shared" si="92"/>
        <v>164.48884512322883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9.8297314613115763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9.8297314613115763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36.972000000000037</v>
      </c>
      <c r="D82" s="11">
        <f t="shared" si="86"/>
        <v>11.192435453834337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371.79564209977411</v>
      </c>
      <c r="H82" s="67">
        <f t="shared" si="56"/>
        <v>377.21972508209484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254.6443970237226</v>
      </c>
      <c r="T82" s="59">
        <f t="shared" si="88"/>
        <v>231.81667808018062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176.11491188843951</v>
      </c>
      <c r="AA82" s="21">
        <f>EXP(-LN(2)/25)*AA81+(1-EXP(-LN(2)/25))/(LN(2)/25)*Calculateur!V82*Calculateur!X82*VLOOKUP('Données projet'!$B$9,Paramètres!$A$1:$I$89,3,0)*0.475*44/12</f>
        <v>43.189027731836326</v>
      </c>
      <c r="AB82" s="21">
        <f>EXP(-LN(2)/2)*AB81+(1-EXP(-LN(2)/2))/(LN(2)/2)*V82*Y82*VLOOKUP('Données projet'!$B$9,Paramètres!$A$1:$I$89,3,0)*0.475*44/12</f>
        <v>1.7603582552943122</v>
      </c>
      <c r="AC82" s="22">
        <f t="shared" si="57"/>
        <v>221.06429787557013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180.31844548479722</v>
      </c>
      <c r="AO82" s="59">
        <f t="shared" si="90"/>
        <v>273.83237400307223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57.184235345797426</v>
      </c>
      <c r="AV82" s="21">
        <f>EXP(-LN(2)/25)*AV81+(1-EXP(-LN(2)/25))/(LN(2)/25)*Calculateur!AQ82*Calculateur!AS82*VLOOKUP('Données projet'!$B$10,Paramètres!$A$1:$I$89,3,0)*0.475*44/12</f>
        <v>85.393931592331796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142.57816693812921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5.5042735042735051</v>
      </c>
      <c r="BD82" s="12">
        <f>IF('Données projet'!$A$88&gt;35,BD81+BC82-BL81,IF(A82&lt;'Données projet'!$A$88,$BA$205^A82,IF(A82='Données projet'!$A$88,'Données projet'!$B$88,BD81+BC82-BL81)))</f>
        <v>172.48504273504267</v>
      </c>
      <c r="BE82" s="13">
        <f>BD82*VLOOKUP('Données projet'!$B$11,Paramètres!$A$1:$I$89,3,0)*VLOOKUP('Données projet'!$B$11,Paramètres!$A$1:$I$89,5,0)</f>
        <v>174.89983333333328</v>
      </c>
      <c r="BF82" s="13">
        <f t="shared" si="91"/>
        <v>44.185601847169707</v>
      </c>
      <c r="BG82" s="20">
        <f t="shared" si="61"/>
        <v>381.57379960604271</v>
      </c>
      <c r="BH82" s="59">
        <f t="shared" si="62"/>
        <v>674.90713293937597</v>
      </c>
      <c r="BI82" s="59">
        <f ca="1">AVERAGE(OFFSET($BH$3,0,0,'Données projet'!$E$11+1,1))-AVERAGE(OFFSET($H$3,0,0,'Données projet'!$E$11+1,1))</f>
        <v>264.08050363622294</v>
      </c>
      <c r="BJ82" s="59">
        <f t="shared" si="92"/>
        <v>164.48884512322883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9.636976422899437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9.636976422899437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37.44000000000004</v>
      </c>
      <c r="D83" s="11">
        <f t="shared" si="86"/>
        <v>11.317528925689196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376.37390749654855</v>
      </c>
      <c r="H83" s="67">
        <f t="shared" si="56"/>
        <v>378.25269621224209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254.6443970237226</v>
      </c>
      <c r="T83" s="59">
        <f t="shared" si="88"/>
        <v>231.81667808018062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172.66140588579665</v>
      </c>
      <c r="AA83" s="21">
        <f>EXP(-LN(2)/25)*AA82+(1-EXP(-LN(2)/25))/(LN(2)/25)*Calculateur!V83*Calculateur!X83*VLOOKUP('Données projet'!$B$9,Paramètres!$A$1:$I$89,3,0)*0.475*44/12</f>
        <v>42.008021497297001</v>
      </c>
      <c r="AB83" s="21">
        <f>EXP(-LN(2)/2)*AB82+(1-EXP(-LN(2)/2))/(LN(2)/2)*V83*Y83*VLOOKUP('Données projet'!$B$9,Paramètres!$A$1:$I$89,3,0)*0.475*44/12</f>
        <v>1.2447612596363278</v>
      </c>
      <c r="AC83" s="22">
        <f t="shared" si="57"/>
        <v>215.91418864272998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180.31844548479722</v>
      </c>
      <c r="AO83" s="59">
        <f t="shared" si="90"/>
        <v>273.83237400307223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56.062887369605889</v>
      </c>
      <c r="AV83" s="21">
        <f>EXP(-LN(2)/25)*AV82+(1-EXP(-LN(2)/25))/(LN(2)/25)*Calculateur!AQ83*Calculateur!AS83*VLOOKUP('Données projet'!$B$10,Paramètres!$A$1:$I$89,3,0)*0.475*44/12</f>
        <v>83.058830042267786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139.12171741187368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5.5042735042735051</v>
      </c>
      <c r="BD83" s="12">
        <f>IF('Données projet'!$A$88&gt;35,BD82+BC83-BL82,IF(A83&lt;'Données projet'!$A$88,$BA$205^A83,IF(A83='Données projet'!$A$88,'Données projet'!$B$88,BD82+BC83-BL82)))</f>
        <v>177.98931623931617</v>
      </c>
      <c r="BE83" s="13">
        <f>BD83*VLOOKUP('Données projet'!$B$11,Paramètres!$A$1:$I$89,3,0)*VLOOKUP('Données projet'!$B$11,Paramètres!$A$1:$I$89,5,0)</f>
        <v>180.48116666666661</v>
      </c>
      <c r="BF83" s="13">
        <f t="shared" si="91"/>
        <v>45.429220246818225</v>
      </c>
      <c r="BG83" s="20">
        <f t="shared" si="61"/>
        <v>393.46059054098606</v>
      </c>
      <c r="BH83" s="59">
        <f t="shared" si="62"/>
        <v>686.79392387431938</v>
      </c>
      <c r="BI83" s="59">
        <f ca="1">AVERAGE(OFFSET($BH$3,0,0,'Données projet'!$E$11+1,1))-AVERAGE(OFFSET($H$3,0,0,'Données projet'!$E$11+1,1))</f>
        <v>264.08050363622294</v>
      </c>
      <c r="BJ83" s="59">
        <f t="shared" si="92"/>
        <v>164.48884512322883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9.4480011932215948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9.4480011932215948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37.908000000000044</v>
      </c>
      <c r="D84" s="11">
        <f t="shared" si="86"/>
        <v>11.442440513882541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380.95076887909363</v>
      </c>
      <c r="H84" s="67">
        <f t="shared" si="56"/>
        <v>379.2853505616788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254.6443970237226</v>
      </c>
      <c r="T84" s="59">
        <f t="shared" si="88"/>
        <v>231.81667808018062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169.27562102943497</v>
      </c>
      <c r="AA84" s="21">
        <f>EXP(-LN(2)/25)*AA83+(1-EXP(-LN(2)/25))/(LN(2)/25)*Calculateur!V84*Calculateur!X84*VLOOKUP('Données projet'!$B$9,Paramètres!$A$1:$I$89,3,0)*0.475*44/12</f>
        <v>40.859309940347572</v>
      </c>
      <c r="AB84" s="21">
        <f>EXP(-LN(2)/2)*AB83+(1-EXP(-LN(2)/2))/(LN(2)/2)*V84*Y84*VLOOKUP('Données projet'!$B$9,Paramètres!$A$1:$I$89,3,0)*0.475*44/12</f>
        <v>0.88017912764715611</v>
      </c>
      <c r="AC84" s="22">
        <f t="shared" si="57"/>
        <v>211.0151100974297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180.31844548479722</v>
      </c>
      <c r="AO84" s="59">
        <f t="shared" si="90"/>
        <v>273.83237400307223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54.963528343272742</v>
      </c>
      <c r="AV84" s="21">
        <f>EXP(-LN(2)/25)*AV83+(1-EXP(-LN(2)/25))/(LN(2)/25)*Calculateur!AQ84*Calculateur!AS84*VLOOKUP('Données projet'!$B$10,Paramètres!$A$1:$I$89,3,0)*0.475*44/12</f>
        <v>80.787581966887942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135.7511103101607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5.5042735042735051</v>
      </c>
      <c r="BD84" s="12">
        <f>IF('Données projet'!$A$88&gt;35,BD83+BC84-BL83,IF(A84&lt;'Données projet'!$A$88,$BA$205^A84,IF(A84='Données projet'!$A$88,'Données projet'!$B$88,BD83+BC84-BL83)))</f>
        <v>183.49358974358967</v>
      </c>
      <c r="BE84" s="13">
        <f>BD84*VLOOKUP('Données projet'!$B$11,Paramètres!$A$1:$I$89,3,0)*VLOOKUP('Données projet'!$B$11,Paramètres!$A$1:$I$89,5,0)</f>
        <v>186.06249999999994</v>
      </c>
      <c r="BF84" s="13">
        <f t="shared" si="91"/>
        <v>46.668369362854641</v>
      </c>
      <c r="BG84" s="20">
        <f t="shared" si="61"/>
        <v>405.33959747363838</v>
      </c>
      <c r="BH84" s="59">
        <f t="shared" si="62"/>
        <v>698.67293080697164</v>
      </c>
      <c r="BI84" s="59">
        <f ca="1">AVERAGE(OFFSET($BH$3,0,0,'Données projet'!$E$11+1,1))-AVERAGE(OFFSET($H$3,0,0,'Données projet'!$E$11+1,1))</f>
        <v>264.08050363622294</v>
      </c>
      <c r="BJ84" s="59">
        <f t="shared" si="92"/>
        <v>164.48884512322883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9.2627316525342263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9.2627316525342263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38.376000000000047</v>
      </c>
      <c r="D85" s="11">
        <f t="shared" si="86"/>
        <v>11.567172723592876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385.52624558562957</v>
      </c>
      <c r="H85" s="67">
        <f t="shared" si="56"/>
        <v>380.31769249359098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254.6443970237226</v>
      </c>
      <c r="T85" s="59">
        <f t="shared" si="88"/>
        <v>231.81667808018062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165.95622934898171</v>
      </c>
      <c r="AA85" s="21">
        <f>EXP(-LN(2)/25)*AA84+(1-EXP(-LN(2)/25))/(LN(2)/25)*Calculateur!V85*Calculateur!X85*VLOOKUP('Données projet'!$B$9,Paramètres!$A$1:$I$89,3,0)*0.475*44/12</f>
        <v>39.742009961331043</v>
      </c>
      <c r="AB85" s="21">
        <f>EXP(-LN(2)/2)*AB84+(1-EXP(-LN(2)/2))/(LN(2)/2)*V85*Y85*VLOOKUP('Données projet'!$B$9,Paramètres!$A$1:$I$89,3,0)*0.475*44/12</f>
        <v>0.62238062981816389</v>
      </c>
      <c r="AC85" s="22">
        <f t="shared" si="57"/>
        <v>206.32061994013091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180.31844548479722</v>
      </c>
      <c r="AO85" s="59">
        <f t="shared" si="90"/>
        <v>273.83237400307223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53.885727076903187</v>
      </c>
      <c r="AV85" s="21">
        <f>EXP(-LN(2)/25)*AV84+(1-EXP(-LN(2)/25))/(LN(2)/25)*Calculateur!AQ85*Calculateur!AS85*VLOOKUP('Données projet'!$B$10,Paramètres!$A$1:$I$89,3,0)*0.475*44/12</f>
        <v>78.578441289569099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132.46416836647228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5.5042735042735051</v>
      </c>
      <c r="BD85" s="12">
        <f>IF('Données projet'!$A$88&gt;35,BD84+BC85-BL84,IF(A85&lt;'Données projet'!$A$88,$BA$205^A85,IF(A85='Données projet'!$A$88,'Données projet'!$B$88,BD84+BC85-BL84)))</f>
        <v>188.99786324786317</v>
      </c>
      <c r="BE85" s="13">
        <f>BD85*VLOOKUP('Données projet'!$B$11,Paramètres!$A$1:$I$89,3,0)*VLOOKUP('Données projet'!$B$11,Paramètres!$A$1:$I$89,5,0)</f>
        <v>191.64383333333325</v>
      </c>
      <c r="BF85" s="13">
        <f t="shared" si="91"/>
        <v>47.903198650456822</v>
      </c>
      <c r="BG85" s="20">
        <f t="shared" si="61"/>
        <v>417.21108070510104</v>
      </c>
      <c r="BH85" s="59">
        <f t="shared" si="62"/>
        <v>710.5444140384343</v>
      </c>
      <c r="BI85" s="59">
        <f ca="1">AVERAGE(OFFSET($BH$3,0,0,'Données projet'!$E$11+1,1))-AVERAGE(OFFSET($H$3,0,0,'Données projet'!$E$11+1,1))</f>
        <v>264.08050363622294</v>
      </c>
      <c r="BJ85" s="59">
        <f t="shared" si="92"/>
        <v>164.48884512322883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9.0810951345364757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9.0810951345364757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38.844000000000051</v>
      </c>
      <c r="D86" s="11">
        <f t="shared" si="86"/>
        <v>11.691727995381735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390.10035645557872</v>
      </c>
      <c r="H86" s="67">
        <f t="shared" si="56"/>
        <v>381.34972625862326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254.6443970237226</v>
      </c>
      <c r="T86" s="59">
        <f t="shared" si="88"/>
        <v>231.81667808018062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162.7019289147531</v>
      </c>
      <c r="AA86" s="21">
        <f>EXP(-LN(2)/25)*AA85+(1-EXP(-LN(2)/25))/(LN(2)/25)*Calculateur!V86*Calculateur!X86*VLOOKUP('Données projet'!$B$9,Paramètres!$A$1:$I$89,3,0)*0.475*44/12</f>
        <v>38.655262608996971</v>
      </c>
      <c r="AB86" s="21">
        <f>EXP(-LN(2)/2)*AB85+(1-EXP(-LN(2)/2))/(LN(2)/2)*V86*Y86*VLOOKUP('Données projet'!$B$9,Paramètres!$A$1:$I$89,3,0)*0.475*44/12</f>
        <v>0.44008956382357806</v>
      </c>
      <c r="AC86" s="22">
        <f t="shared" si="57"/>
        <v>201.79728108757365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180.31844548479722</v>
      </c>
      <c r="AO86" s="59">
        <f t="shared" si="90"/>
        <v>273.83237400307223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52.82906083597328</v>
      </c>
      <c r="AV86" s="21">
        <f>EXP(-LN(2)/25)*AV85+(1-EXP(-LN(2)/25))/(LN(2)/25)*Calculateur!AQ86*Calculateur!AS86*VLOOKUP('Données projet'!$B$10,Paramètres!$A$1:$I$89,3,0)*0.475*44/12</f>
        <v>76.429709680245196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129.25877051621848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5.5042735042735051</v>
      </c>
      <c r="BD86" s="12">
        <f>IF('Données projet'!$A$88&gt;35,BD85+BC86-BL85,IF(A86&lt;'Données projet'!$A$88,$BA$205^A86,IF(A86='Données projet'!$A$88,'Données projet'!$B$88,BD85+BC86-BL85)))</f>
        <v>194.50213675213666</v>
      </c>
      <c r="BE86" s="13">
        <f>BD86*VLOOKUP('Données projet'!$B$11,Paramètres!$A$1:$I$89,3,0)*VLOOKUP('Données projet'!$B$11,Paramètres!$A$1:$I$89,5,0)</f>
        <v>197.22516666666658</v>
      </c>
      <c r="BF86" s="13">
        <f t="shared" si="91"/>
        <v>49.133848364506264</v>
      </c>
      <c r="BG86" s="20">
        <f t="shared" si="61"/>
        <v>429.07528451262601</v>
      </c>
      <c r="BH86" s="59">
        <f t="shared" si="62"/>
        <v>722.40861784595927</v>
      </c>
      <c r="BI86" s="59">
        <f ca="1">AVERAGE(OFFSET($BH$3,0,0,'Données projet'!$E$11+1,1))-AVERAGE(OFFSET($H$3,0,0,'Données projet'!$E$11+1,1))</f>
        <v>264.08050363622294</v>
      </c>
      <c r="BJ86" s="59">
        <f t="shared" si="92"/>
        <v>164.48884512322883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8.9030203978693248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8.9030203978693248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39.312000000000054</v>
      </c>
      <c r="D87" s="11">
        <f t="shared" si="86"/>
        <v>11.816108707618415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394.67311984828297</v>
      </c>
      <c r="H87" s="67">
        <f t="shared" si="56"/>
        <v>382.38145599910212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254.6443970237226</v>
      </c>
      <c r="T87" s="59">
        <f t="shared" si="88"/>
        <v>231.81667808018062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159.51144332711246</v>
      </c>
      <c r="AA87" s="21">
        <f>EXP(-LN(2)/25)*AA86+(1-EXP(-LN(2)/25))/(LN(2)/25)*Calculateur!V87*Calculateur!X87*VLOOKUP('Données projet'!$B$9,Paramètres!$A$1:$I$89,3,0)*0.475*44/12</f>
        <v>37.598232420162034</v>
      </c>
      <c r="AB87" s="21">
        <f>EXP(-LN(2)/2)*AB86+(1-EXP(-LN(2)/2))/(LN(2)/2)*V87*Y87*VLOOKUP('Données projet'!$B$9,Paramètres!$A$1:$I$89,3,0)*0.475*44/12</f>
        <v>0.31119031490908194</v>
      </c>
      <c r="AC87" s="22">
        <f t="shared" si="57"/>
        <v>197.42086606218356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180.31844548479722</v>
      </c>
      <c r="AO87" s="59">
        <f t="shared" si="90"/>
        <v>273.83237400307223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51.793115175525244</v>
      </c>
      <c r="AV87" s="21">
        <f>EXP(-LN(2)/25)*AV86+(1-EXP(-LN(2)/25))/(LN(2)/25)*Calculateur!AQ87*Calculateur!AS87*VLOOKUP('Données projet'!$B$10,Paramètres!$A$1:$I$89,3,0)*0.475*44/12</f>
        <v>74.339735249775146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126.13285042530039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200.00641025641025</v>
      </c>
      <c r="BB87" s="12">
        <f>VLOOKUP(A87,'Données projet'!$A$87:$I$107,9,0)</f>
        <v>5.5042735042735051</v>
      </c>
      <c r="BC87" s="12">
        <f t="array" ref="BC87">INDEX(BB:BB,MIN(IF(ISNUMBER(BB87:BB283),ROW(BB87:BB283),"")))</f>
        <v>5.5042735042735051</v>
      </c>
      <c r="BD87" s="12">
        <f>IF('Données projet'!$A$88&gt;35,BD86+BC87-BL86,IF(A87&lt;'Données projet'!$A$88,$BA$205^A87,IF(A87='Données projet'!$A$88,'Données projet'!$B$88,BD86+BC87-BL86)))</f>
        <v>200.00641025641016</v>
      </c>
      <c r="BE87" s="13">
        <f>BD87*VLOOKUP('Données projet'!$B$11,Paramètres!$A$1:$I$89,3,0)*VLOOKUP('Données projet'!$B$11,Paramètres!$A$1:$I$89,5,0)</f>
        <v>202.80649999999991</v>
      </c>
      <c r="BF87" s="13">
        <f t="shared" si="91"/>
        <v>50.360450370083477</v>
      </c>
      <c r="BG87" s="20">
        <f t="shared" si="61"/>
        <v>440.93243856122854</v>
      </c>
      <c r="BH87" s="59">
        <f t="shared" si="62"/>
        <v>734.26577189456179</v>
      </c>
      <c r="BI87" s="59">
        <f ca="1">AVERAGE(OFFSET($BH$3,0,0,'Données projet'!$E$11+1,1))-AVERAGE(OFFSET($H$3,0,0,'Données projet'!$E$11+1,1))</f>
        <v>264.08050363622294</v>
      </c>
      <c r="BJ87" s="59">
        <f t="shared" si="92"/>
        <v>164.48884512322883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35.083333333333329</v>
      </c>
      <c r="BM87" s="16">
        <f>IF(ISNA(VLOOKUP(A87,'Données projet'!$A$87:$I$107,5,0)),0%,VLOOKUP(A87,'Données projet'!$A$87:$I$107,5,0)*VLOOKUP('Données projet'!$B$11,Paramètres!$A$1:$I$89,7,0))</f>
        <v>0.30099999999999999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20.565730959198525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20.565730959198525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39.780000000000058</v>
      </c>
      <c r="D88" s="11">
        <f t="shared" si="86"/>
        <v>11.940317178785941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399.24455366080423</v>
      </c>
      <c r="H88" s="67">
        <f t="shared" si="56"/>
        <v>383.41288575305225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254.6443970237226</v>
      </c>
      <c r="T88" s="59">
        <f t="shared" si="88"/>
        <v>231.81667808018062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156.3835212158414</v>
      </c>
      <c r="AA88" s="21">
        <f>EXP(-LN(2)/25)*AA87+(1-EXP(-LN(2)/25))/(LN(2)/25)*Calculateur!V88*Calculateur!X88*VLOOKUP('Données projet'!$B$9,Paramètres!$A$1:$I$89,3,0)*0.475*44/12</f>
        <v>36.57010677742759</v>
      </c>
      <c r="AB88" s="21">
        <f>EXP(-LN(2)/2)*AB87+(1-EXP(-LN(2)/2))/(LN(2)/2)*V88*Y88*VLOOKUP('Données projet'!$B$9,Paramètres!$A$1:$I$89,3,0)*0.475*44/12</f>
        <v>0.22004478191178903</v>
      </c>
      <c r="AC88" s="22">
        <f t="shared" si="57"/>
        <v>193.17367277518076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180.31844548479722</v>
      </c>
      <c r="AO88" s="59">
        <f t="shared" si="90"/>
        <v>273.83237400307223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50.77748377761413</v>
      </c>
      <c r="AV88" s="21">
        <f>EXP(-LN(2)/25)*AV87+(1-EXP(-LN(2)/25))/(LN(2)/25)*Calculateur!AQ88*Calculateur!AS88*VLOOKUP('Données projet'!$B$10,Paramètres!$A$1:$I$89,3,0)*0.475*44/12</f>
        <v>72.306911280013267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123.0843950576274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5.2606837606837598</v>
      </c>
      <c r="BD88" s="12">
        <f>IF('Données projet'!$A$88&gt;35,BD87+BC88-BL87,IF(A88&lt;'Données projet'!$A$88,$BA$205^A88,IF(A88='Données projet'!$A$88,'Données projet'!$B$88,BD87+BC88-BL87)))</f>
        <v>170.18376068376057</v>
      </c>
      <c r="BE88" s="13">
        <f>BD88*VLOOKUP('Données projet'!$B$11,Paramètres!$A$1:$I$89,3,0)*VLOOKUP('Données projet'!$B$11,Paramètres!$A$1:$I$89,5,0)</f>
        <v>172.56633333333323</v>
      </c>
      <c r="BF88" s="13">
        <f t="shared" si="91"/>
        <v>43.664294704622499</v>
      </c>
      <c r="BG88" s="20">
        <f t="shared" si="61"/>
        <v>376.60167716610619</v>
      </c>
      <c r="BH88" s="59">
        <f t="shared" si="62"/>
        <v>669.9350104994395</v>
      </c>
      <c r="BI88" s="59">
        <f ca="1">AVERAGE(OFFSET($BH$3,0,0,'Données projet'!$E$11+1,1))-AVERAGE(OFFSET($H$3,0,0,'Données projet'!$E$11+1,1))</f>
        <v>264.08050363622294</v>
      </c>
      <c r="BJ88" s="59">
        <f t="shared" si="92"/>
        <v>164.48884512322883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20.162449518945923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20.162449518945923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40.248000000000062</v>
      </c>
      <c r="D89" s="11">
        <f t="shared" si="86"/>
        <v>12.064355669675374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403.81467534486302</v>
      </c>
      <c r="H89" s="67">
        <f t="shared" si="56"/>
        <v>384.44401945801803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254.6443970237226</v>
      </c>
      <c r="T89" s="59">
        <f t="shared" si="88"/>
        <v>231.81667808018062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153.31693574932825</v>
      </c>
      <c r="AA89" s="21">
        <f>EXP(-LN(2)/25)*AA88+(1-EXP(-LN(2)/25))/(LN(2)/25)*Calculateur!V89*Calculateur!X89*VLOOKUP('Données projet'!$B$9,Paramètres!$A$1:$I$89,3,0)*0.475*44/12</f>
        <v>35.5700952844605</v>
      </c>
      <c r="AB89" s="21">
        <f>EXP(-LN(2)/2)*AB88+(1-EXP(-LN(2)/2))/(LN(2)/2)*V89*Y89*VLOOKUP('Données projet'!$B$9,Paramètres!$A$1:$I$89,3,0)*0.475*44/12</f>
        <v>0.15559515745454097</v>
      </c>
      <c r="AC89" s="22">
        <f t="shared" si="57"/>
        <v>189.0426261912433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180.31844548479722</v>
      </c>
      <c r="AO89" s="59">
        <f t="shared" si="90"/>
        <v>273.83237400307223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49.781768291942065</v>
      </c>
      <c r="AV89" s="21">
        <f>EXP(-LN(2)/25)*AV88+(1-EXP(-LN(2)/25))/(LN(2)/25)*Calculateur!AQ89*Calculateur!AS89*VLOOKUP('Données projet'!$B$10,Paramètres!$A$1:$I$89,3,0)*0.475*44/12</f>
        <v>70.329674988606101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120.11144328054817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5.2606837606837598</v>
      </c>
      <c r="BD89" s="12">
        <f>IF('Données projet'!$A$88&gt;35,BD88+BC89-BL88,IF(A89&lt;'Données projet'!$A$88,$BA$205^A89,IF(A89='Données projet'!$A$88,'Données projet'!$B$88,BD88+BC89-BL88)))</f>
        <v>175.44444444444431</v>
      </c>
      <c r="BE89" s="13">
        <f>BD89*VLOOKUP('Données projet'!$B$11,Paramètres!$A$1:$I$89,3,0)*VLOOKUP('Données projet'!$B$11,Paramètres!$A$1:$I$89,5,0)</f>
        <v>177.90066666666655</v>
      </c>
      <c r="BF89" s="13">
        <f t="shared" si="91"/>
        <v>44.854804758185892</v>
      </c>
      <c r="BG89" s="20">
        <f t="shared" si="61"/>
        <v>387.96577939828467</v>
      </c>
      <c r="BH89" s="59">
        <f t="shared" si="62"/>
        <v>681.29911273161792</v>
      </c>
      <c r="BI89" s="59">
        <f ca="1">AVERAGE(OFFSET($BH$3,0,0,'Données projet'!$E$11+1,1))-AVERAGE(OFFSET($H$3,0,0,'Données projet'!$E$11+1,1))</f>
        <v>264.08050363622294</v>
      </c>
      <c r="BJ89" s="59">
        <f t="shared" si="92"/>
        <v>164.48884512322883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19.767076181759286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19.767076181759286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40.716000000000065</v>
      </c>
      <c r="D90" s="11">
        <f t="shared" si="86"/>
        <v>12.188226385475193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408.38350192296684</v>
      </c>
      <c r="H90" s="67">
        <f t="shared" si="56"/>
        <v>385.47486095470271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254.6443970237226</v>
      </c>
      <c r="T90" s="59">
        <f t="shared" si="88"/>
        <v>231.81667808018062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150.31048415338097</v>
      </c>
      <c r="AA90" s="21">
        <f>EXP(-LN(2)/25)*AA89+(1-EXP(-LN(2)/25))/(LN(2)/25)*Calculateur!V90*Calculateur!X90*VLOOKUP('Données projet'!$B$9,Paramètres!$A$1:$I$89,3,0)*0.475*44/12</f>
        <v>34.59742915835691</v>
      </c>
      <c r="AB90" s="21">
        <f>EXP(-LN(2)/2)*AB89+(1-EXP(-LN(2)/2))/(LN(2)/2)*V90*Y90*VLOOKUP('Données projet'!$B$9,Paramètres!$A$1:$I$89,3,0)*0.475*44/12</f>
        <v>0.11002239095589451</v>
      </c>
      <c r="AC90" s="22">
        <f t="shared" si="57"/>
        <v>185.01793570269376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180.31844548479722</v>
      </c>
      <c r="AO90" s="59">
        <f t="shared" si="90"/>
        <v>273.83237400307223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48.805578179617555</v>
      </c>
      <c r="AV90" s="21">
        <f>EXP(-LN(2)/25)*AV89+(1-EXP(-LN(2)/25))/(LN(2)/25)*Calculateur!AQ90*Calculateur!AS90*VLOOKUP('Données projet'!$B$10,Paramètres!$A$1:$I$89,3,0)*0.475*44/12</f>
        <v>68.406506327565793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117.21208450718335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5.2606837606837598</v>
      </c>
      <c r="BD90" s="12">
        <f>IF('Données projet'!$A$88&gt;35,BD89+BC90-BL89,IF(A90&lt;'Données projet'!$A$88,$BA$205^A90,IF(A90='Données projet'!$A$88,'Données projet'!$B$88,BD89+BC90-BL89)))</f>
        <v>180.70512820512806</v>
      </c>
      <c r="BE90" s="13">
        <f>BD90*VLOOKUP('Données projet'!$B$11,Paramètres!$A$1:$I$89,3,0)*VLOOKUP('Données projet'!$B$11,Paramètres!$A$1:$I$89,5,0)</f>
        <v>183.23499999999987</v>
      </c>
      <c r="BF90" s="13">
        <f t="shared" si="91"/>
        <v>46.041166229421272</v>
      </c>
      <c r="BG90" s="20">
        <f t="shared" si="61"/>
        <v>399.32265618290847</v>
      </c>
      <c r="BH90" s="59">
        <f t="shared" si="62"/>
        <v>692.65598951624179</v>
      </c>
      <c r="BI90" s="59">
        <f ca="1">AVERAGE(OFFSET($BH$3,0,0,'Données projet'!$E$11+1,1))-AVERAGE(OFFSET($H$3,0,0,'Données projet'!$E$11+1,1))</f>
        <v>264.08050363622294</v>
      </c>
      <c r="BJ90" s="59">
        <f t="shared" si="92"/>
        <v>164.48884512322883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19.379455874560954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19.379455874560954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41.184000000000069</v>
      </c>
      <c r="D91" s="11">
        <f t="shared" si="86"/>
        <v>12.311931477761863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412.95105000377634</v>
      </c>
      <c r="H91" s="67">
        <f t="shared" si="56"/>
        <v>386.50541399043533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254.6443970237226</v>
      </c>
      <c r="T91" s="59">
        <f t="shared" si="88"/>
        <v>231.81667808018062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147.36298723947581</v>
      </c>
      <c r="AA91" s="21">
        <f>EXP(-LN(2)/25)*AA90+(1-EXP(-LN(2)/25))/(LN(2)/25)*Calculateur!V91*Calculateur!X91*VLOOKUP('Données projet'!$B$9,Paramètres!$A$1:$I$89,3,0)*0.475*44/12</f>
        <v>33.651360638621917</v>
      </c>
      <c r="AB91" s="21">
        <f>EXP(-LN(2)/2)*AB90+(1-EXP(-LN(2)/2))/(LN(2)/2)*V91*Y91*VLOOKUP('Données projet'!$B$9,Paramètres!$A$1:$I$89,3,0)*0.475*44/12</f>
        <v>7.7797578727270486E-2</v>
      </c>
      <c r="AC91" s="22">
        <f t="shared" si="57"/>
        <v>181.09214545682499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180.31844548479722</v>
      </c>
      <c r="AO91" s="59">
        <f t="shared" si="90"/>
        <v>273.83237400307223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47.848530559978556</v>
      </c>
      <c r="AV91" s="21">
        <f>EXP(-LN(2)/25)*AV90+(1-EXP(-LN(2)/25))/(LN(2)/25)*Calculateur!AQ91*Calculateur!AS91*VLOOKUP('Données projet'!$B$10,Paramètres!$A$1:$I$89,3,0)*0.475*44/12</f>
        <v>66.53592681469668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114.38445737467524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5.2606837606837598</v>
      </c>
      <c r="BD91" s="12">
        <f>IF('Données projet'!$A$88&gt;35,BD90+BC91-BL90,IF(A91&lt;'Données projet'!$A$88,$BA$205^A91,IF(A91='Données projet'!$A$88,'Données projet'!$B$88,BD90+BC91-BL90)))</f>
        <v>185.96581196581181</v>
      </c>
      <c r="BE91" s="13">
        <f>BD91*VLOOKUP('Données projet'!$B$11,Paramètres!$A$1:$I$89,3,0)*VLOOKUP('Données projet'!$B$11,Paramètres!$A$1:$I$89,5,0)</f>
        <v>188.56933333333319</v>
      </c>
      <c r="BF91" s="13">
        <f t="shared" si="91"/>
        <v>47.223513760156187</v>
      </c>
      <c r="BG91" s="20">
        <f t="shared" si="61"/>
        <v>410.67254202116061</v>
      </c>
      <c r="BH91" s="59">
        <f t="shared" si="62"/>
        <v>704.00587535449392</v>
      </c>
      <c r="BI91" s="59">
        <f ca="1">AVERAGE(OFFSET($BH$3,0,0,'Données projet'!$E$11+1,1))-AVERAGE(OFFSET($H$3,0,0,'Données projet'!$E$11+1,1))</f>
        <v>264.08050363622294</v>
      </c>
      <c r="BJ91" s="59">
        <f t="shared" si="92"/>
        <v>164.48884512322883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18.999436565161737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18.999436565161737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41.652000000000072</v>
      </c>
      <c r="D92" s="11">
        <f t="shared" si="86"/>
        <v>12.435473046397316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417.51733579675187</v>
      </c>
      <c r="H92" s="67">
        <f t="shared" si="56"/>
        <v>387.53568222247543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254.6443970237226</v>
      </c>
      <c r="T92" s="59">
        <f t="shared" si="88"/>
        <v>231.81667808018062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144.47328894225674</v>
      </c>
      <c r="AA92" s="21">
        <f>EXP(-LN(2)/25)*AA91+(1-EXP(-LN(2)/25))/(LN(2)/25)*Calculateur!V92*Calculateur!X92*VLOOKUP('Données projet'!$B$9,Paramètres!$A$1:$I$89,3,0)*0.475*44/12</f>
        <v>32.731162412310653</v>
      </c>
      <c r="AB92" s="21">
        <f>EXP(-LN(2)/2)*AB91+(1-EXP(-LN(2)/2))/(LN(2)/2)*V92*Y92*VLOOKUP('Données projet'!$B$9,Paramètres!$A$1:$I$89,3,0)*0.475*44/12</f>
        <v>5.5011195477947257E-2</v>
      </c>
      <c r="AC92" s="22">
        <f t="shared" si="57"/>
        <v>177.25946255004536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180.31844548479722</v>
      </c>
      <c r="AO92" s="59">
        <f t="shared" si="90"/>
        <v>273.83237400307223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46.910250060419266</v>
      </c>
      <c r="AV92" s="21">
        <f>EXP(-LN(2)/25)*AV91+(1-EXP(-LN(2)/25))/(LN(2)/25)*Calculateur!AQ92*Calculateur!AS92*VLOOKUP('Données projet'!$B$10,Paramètres!$A$1:$I$89,3,0)*0.475*44/12</f>
        <v>64.716498396976476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111.62674845739573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5.2606837606837598</v>
      </c>
      <c r="BD92" s="12">
        <f>IF('Données projet'!$A$88&gt;35,BD91+BC92-BL91,IF(A92&lt;'Données projet'!$A$88,$BA$205^A92,IF(A92='Données projet'!$A$88,'Données projet'!$B$88,BD91+BC92-BL91)))</f>
        <v>191.22649572649556</v>
      </c>
      <c r="BE92" s="13">
        <f>BD92*VLOOKUP('Données projet'!$B$11,Paramètres!$A$1:$I$89,3,0)*VLOOKUP('Données projet'!$B$11,Paramètres!$A$1:$I$89,5,0)</f>
        <v>193.90366666666651</v>
      </c>
      <c r="BF92" s="13">
        <f t="shared" si="91"/>
        <v>48.401973941265673</v>
      </c>
      <c r="BG92" s="20">
        <f t="shared" si="61"/>
        <v>422.01565739214857</v>
      </c>
      <c r="BH92" s="59">
        <f t="shared" si="62"/>
        <v>715.34899072548183</v>
      </c>
      <c r="BI92" s="59">
        <f ca="1">AVERAGE(OFFSET($BH$3,0,0,'Données projet'!$E$11+1,1))-AVERAGE(OFFSET($H$3,0,0,'Données projet'!$E$11+1,1))</f>
        <v>264.08050363622294</v>
      </c>
      <c r="BJ92" s="59">
        <f t="shared" si="92"/>
        <v>164.48884512322883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18.626869202630949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18.626869202630949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42.120000000000076</v>
      </c>
      <c r="D93" s="11">
        <f t="shared" si="86"/>
        <v>12.558853141338776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422.08237512612442</v>
      </c>
      <c r="H93" s="67">
        <f t="shared" si="56"/>
        <v>388.56566922116514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254.6443970237226</v>
      </c>
      <c r="T93" s="59">
        <f t="shared" si="88"/>
        <v>231.81667808018062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141.64025586610421</v>
      </c>
      <c r="AA93" s="21">
        <f>EXP(-LN(2)/25)*AA92+(1-EXP(-LN(2)/25))/(LN(2)/25)*Calculateur!V93*Calculateur!X93*VLOOKUP('Données projet'!$B$9,Paramètres!$A$1:$I$89,3,0)*0.475*44/12</f>
        <v>31.836127054888994</v>
      </c>
      <c r="AB93" s="21">
        <f>EXP(-LN(2)/2)*AB92+(1-EXP(-LN(2)/2))/(LN(2)/2)*V93*Y93*VLOOKUP('Données projet'!$B$9,Paramètres!$A$1:$I$89,3,0)*0.475*44/12</f>
        <v>3.8898789363635243E-2</v>
      </c>
      <c r="AC93" s="22">
        <f t="shared" si="57"/>
        <v>173.51528171035685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180.31844548479722</v>
      </c>
      <c r="AO93" s="59">
        <f t="shared" si="90"/>
        <v>273.83237400307223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45.990368669161739</v>
      </c>
      <c r="AV93" s="21">
        <f>EXP(-LN(2)/25)*AV92+(1-EXP(-LN(2)/25))/(LN(2)/25)*Calculateur!AQ93*Calculateur!AS93*VLOOKUP('Données projet'!$B$10,Paramètres!$A$1:$I$89,3,0)*0.475*44/12</f>
        <v>62.946822345018418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108.93719101418016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5.2606837606837598</v>
      </c>
      <c r="BD93" s="12">
        <f>IF('Données projet'!$A$88&gt;35,BD92+BC93-BL92,IF(A93&lt;'Données projet'!$A$88,$BA$205^A93,IF(A93='Données projet'!$A$88,'Données projet'!$B$88,BD92+BC93-BL92)))</f>
        <v>196.4871794871793</v>
      </c>
      <c r="BE93" s="13">
        <f>BD93*VLOOKUP('Données projet'!$B$11,Paramètres!$A$1:$I$89,3,0)*VLOOKUP('Données projet'!$B$11,Paramètres!$A$1:$I$89,5,0)</f>
        <v>199.23799999999983</v>
      </c>
      <c r="BF93" s="13">
        <f t="shared" si="91"/>
        <v>49.576666002151768</v>
      </c>
      <c r="BG93" s="20">
        <f t="shared" si="61"/>
        <v>433.35220995374738</v>
      </c>
      <c r="BH93" s="59">
        <f t="shared" si="62"/>
        <v>726.68554328708069</v>
      </c>
      <c r="BI93" s="59">
        <f ca="1">AVERAGE(OFFSET($BH$3,0,0,'Données projet'!$E$11+1,1))-AVERAGE(OFFSET($H$3,0,0,'Données projet'!$E$11+1,1))</f>
        <v>264.08050363622294</v>
      </c>
      <c r="BJ93" s="59">
        <f t="shared" si="92"/>
        <v>164.48884512322883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18.261607658835739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18.261607658835739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42.588000000000079</v>
      </c>
      <c r="D94" s="11">
        <f t="shared" si="86"/>
        <v>12.682073764365786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426.64618344422774</v>
      </c>
      <c r="H94" s="67">
        <f t="shared" si="56"/>
        <v>389.59537847293717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254.6443970237226</v>
      </c>
      <c r="T94" s="59">
        <f t="shared" si="88"/>
        <v>231.81667808018062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138.86277684059547</v>
      </c>
      <c r="AA94" s="21">
        <f>EXP(-LN(2)/25)*AA93+(1-EXP(-LN(2)/25))/(LN(2)/25)*Calculateur!V94*Calculateur!X94*VLOOKUP('Données projet'!$B$9,Paramètres!$A$1:$I$89,3,0)*0.475*44/12</f>
        <v>30.965566486383896</v>
      </c>
      <c r="AB94" s="21">
        <f>EXP(-LN(2)/2)*AB93+(1-EXP(-LN(2)/2))/(LN(2)/2)*V94*Y94*VLOOKUP('Données projet'!$B$9,Paramètres!$A$1:$I$89,3,0)*0.475*44/12</f>
        <v>2.7505597738973629E-2</v>
      </c>
      <c r="AC94" s="22">
        <f t="shared" si="57"/>
        <v>169.85584892471834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180.31844548479722</v>
      </c>
      <c r="AO94" s="59">
        <f t="shared" si="90"/>
        <v>273.83237400307223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45.088525590914522</v>
      </c>
      <c r="AV94" s="21">
        <f>EXP(-LN(2)/25)*AV93+(1-EXP(-LN(2)/25))/(LN(2)/25)*Calculateur!AQ94*Calculateur!AS94*VLOOKUP('Données projet'!$B$10,Paramètres!$A$1:$I$89,3,0)*0.475*44/12</f>
        <v>61.225538177764371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106.31406376867889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5.2606837606837598</v>
      </c>
      <c r="BD94" s="12">
        <f>IF('Données projet'!$A$88&gt;35,BD93+BC94-BL93,IF(A94&lt;'Données projet'!$A$88,$BA$205^A94,IF(A94='Données projet'!$A$88,'Données projet'!$B$88,BD93+BC94-BL93)))</f>
        <v>201.74786324786305</v>
      </c>
      <c r="BE94" s="13">
        <f>BD94*VLOOKUP('Données projet'!$B$11,Paramètres!$A$1:$I$89,3,0)*VLOOKUP('Données projet'!$B$11,Paramètres!$A$1:$I$89,5,0)</f>
        <v>204.57233333333312</v>
      </c>
      <c r="BF94" s="13">
        <f t="shared" si="91"/>
        <v>50.747702424306688</v>
      </c>
      <c r="BG94" s="20">
        <f t="shared" si="61"/>
        <v>444.6823956112226</v>
      </c>
      <c r="BH94" s="59">
        <f t="shared" si="62"/>
        <v>738.01572894455592</v>
      </c>
      <c r="BI94" s="59">
        <f ca="1">AVERAGE(OFFSET($BH$3,0,0,'Données projet'!$E$11+1,1))-AVERAGE(OFFSET($H$3,0,0,'Données projet'!$E$11+1,1))</f>
        <v>264.08050363622294</v>
      </c>
      <c r="BJ94" s="59">
        <f t="shared" si="92"/>
        <v>164.48884512322883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17.903508671126808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17.903508671126808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43.056000000000083</v>
      </c>
      <c r="D95" s="11">
        <f t="shared" si="86"/>
        <v>12.805136870729203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431.20877584422607</v>
      </c>
      <c r="H95" s="67">
        <f t="shared" si="56"/>
        <v>390.62481338318679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254.6443970237226</v>
      </c>
      <c r="T95" s="59">
        <f t="shared" si="88"/>
        <v>231.81667808018062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136.13976248468205</v>
      </c>
      <c r="AA95" s="21">
        <f>EXP(-LN(2)/25)*AA94+(1-EXP(-LN(2)/25))/(LN(2)/25)*Calculateur!V95*Calculateur!X95*VLOOKUP('Données projet'!$B$9,Paramètres!$A$1:$I$89,3,0)*0.475*44/12</f>
        <v>30.118811442405359</v>
      </c>
      <c r="AB95" s="21">
        <f>EXP(-LN(2)/2)*AB94+(1-EXP(-LN(2)/2))/(LN(2)/2)*V95*Y95*VLOOKUP('Données projet'!$B$9,Paramètres!$A$1:$I$89,3,0)*0.475*44/12</f>
        <v>1.9449394681817622E-2</v>
      </c>
      <c r="AC95" s="22">
        <f t="shared" si="57"/>
        <v>166.27802332176924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180.31844548479722</v>
      </c>
      <c r="AO95" s="59">
        <f t="shared" si="90"/>
        <v>273.83237400307223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44.204367105361769</v>
      </c>
      <c r="AV95" s="21">
        <f>EXP(-LN(2)/25)*AV94+(1-EXP(-LN(2)/25))/(LN(2)/25)*Calculateur!AQ95*Calculateur!AS95*VLOOKUP('Données projet'!$B$10,Paramètres!$A$1:$I$89,3,0)*0.475*44/12</f>
        <v>59.551322616582283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103.75568972194405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5.2606837606837598</v>
      </c>
      <c r="BD95" s="12">
        <f>IF('Données projet'!$A$88&gt;35,BD94+BC95-BL94,IF(A95&lt;'Données projet'!$A$88,$BA$205^A95,IF(A95='Données projet'!$A$88,'Données projet'!$B$88,BD94+BC95-BL94)))</f>
        <v>207.0085470085468</v>
      </c>
      <c r="BE95" s="13">
        <f>BD95*VLOOKUP('Données projet'!$B$11,Paramètres!$A$1:$I$89,3,0)*VLOOKUP('Données projet'!$B$11,Paramètres!$A$1:$I$89,5,0)</f>
        <v>209.90666666666647</v>
      </c>
      <c r="BF95" s="13">
        <f t="shared" si="91"/>
        <v>51.915189489079573</v>
      </c>
      <c r="BG95" s="20">
        <f t="shared" si="61"/>
        <v>456.00639947125768</v>
      </c>
      <c r="BH95" s="59">
        <f t="shared" si="62"/>
        <v>749.33973280459099</v>
      </c>
      <c r="BI95" s="59">
        <f ca="1">AVERAGE(OFFSET($BH$3,0,0,'Données projet'!$E$11+1,1))-AVERAGE(OFFSET($H$3,0,0,'Données projet'!$E$11+1,1))</f>
        <v>264.08050363622294</v>
      </c>
      <c r="BJ95" s="59">
        <f t="shared" si="92"/>
        <v>164.48884512322883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17.552431786148034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17.552431786148034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43.524000000000086</v>
      </c>
      <c r="D96" s="11">
        <f t="shared" si="86"/>
        <v>12.928044370726413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435.77016707227472</v>
      </c>
      <c r="H96" s="67">
        <f t="shared" si="56"/>
        <v>391.65397727901529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254.6443970237226</v>
      </c>
      <c r="T96" s="59">
        <f t="shared" si="88"/>
        <v>231.81667808018062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133.47014477941332</v>
      </c>
      <c r="AA96" s="21">
        <f>EXP(-LN(2)/25)*AA95+(1-EXP(-LN(2)/25))/(LN(2)/25)*Calculateur!V96*Calculateur!X96*VLOOKUP('Données projet'!$B$9,Paramètres!$A$1:$I$89,3,0)*0.475*44/12</f>
        <v>29.29521095963333</v>
      </c>
      <c r="AB96" s="21">
        <f>EXP(-LN(2)/2)*AB95+(1-EXP(-LN(2)/2))/(LN(2)/2)*V96*Y96*VLOOKUP('Données projet'!$B$9,Paramètres!$A$1:$I$89,3,0)*0.475*44/12</f>
        <v>1.3752798869486814E-2</v>
      </c>
      <c r="AC96" s="22">
        <f t="shared" si="57"/>
        <v>162.77910853791613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180.31844548479722</v>
      </c>
      <c r="AO96" s="59">
        <f t="shared" si="90"/>
        <v>273.83237400307223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43.337546428427281</v>
      </c>
      <c r="AV96" s="21">
        <f>EXP(-LN(2)/25)*AV95+(1-EXP(-LN(2)/25))/(LN(2)/25)*Calculateur!AQ96*Calculateur!AS96*VLOOKUP('Données projet'!$B$10,Paramètres!$A$1:$I$89,3,0)*0.475*44/12</f>
        <v>57.922888567963888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101.26043499639117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>
        <f>VLOOKUP(A96,'Données projet'!$A$87:$I$107,2,0)</f>
        <v>212.26923076923075</v>
      </c>
      <c r="BB96" s="12">
        <f>VLOOKUP(A96,'Données projet'!$A$87:$I$107,9,0)</f>
        <v>5.2606837606837598</v>
      </c>
      <c r="BC96" s="12">
        <f t="array" ref="BC96">INDEX(BB:BB,MIN(IF(ISNUMBER(BB96:BB292),ROW(BB96:BB292),"")))</f>
        <v>5.2606837606837598</v>
      </c>
      <c r="BD96" s="12">
        <f>IF('Données projet'!$A$88&gt;35,BD95+BC96-BL95,IF(A96&lt;'Données projet'!$A$88,$BA$205^A96,IF(A96='Données projet'!$A$88,'Données projet'!$B$88,BD95+BC96-BL95)))</f>
        <v>212.26923076923055</v>
      </c>
      <c r="BE96" s="13">
        <f>BD96*VLOOKUP('Données projet'!$B$11,Paramètres!$A$1:$I$89,3,0)*VLOOKUP('Données projet'!$B$11,Paramètres!$A$1:$I$89,5,0)</f>
        <v>215.24099999999979</v>
      </c>
      <c r="BF96" s="13">
        <f t="shared" si="91"/>
        <v>53.079227768194642</v>
      </c>
      <c r="BG96" s="20">
        <f t="shared" si="61"/>
        <v>467.32439669627183</v>
      </c>
      <c r="BH96" s="59">
        <f t="shared" si="62"/>
        <v>760.65773002960509</v>
      </c>
      <c r="BI96" s="59">
        <f ca="1">AVERAGE(OFFSET($BH$3,0,0,'Données projet'!$E$11+1,1))-AVERAGE(OFFSET($H$3,0,0,'Données projet'!$E$11+1,1))</f>
        <v>264.08050363622294</v>
      </c>
      <c r="BJ96" s="59">
        <f t="shared" si="92"/>
        <v>164.48884512322883</v>
      </c>
      <c r="BK96" s="15">
        <f>IF(ISNA(VLOOKUP(A96,'Données projet'!$A$87:$I$107,3,0)),0,VLOOKUP(A96,'Données projet'!$A$87:$I$107,3,0))</f>
        <v>7</v>
      </c>
      <c r="BL96" s="15">
        <f>IF(ISNA(VLOOKUP(A96,'Données projet'!$A$87:$I$107,4,0)),0,VLOOKUP(A96,'Données projet'!$A$87:$I$107,4,0))</f>
        <v>30.083333333333332</v>
      </c>
      <c r="BM96" s="16">
        <f>IF(ISNA(VLOOKUP(A96,'Données projet'!$A$87:$I$107,5,0)),0%,VLOOKUP(A96,'Données projet'!$A$87:$I$107,5,0)*VLOOKUP('Données projet'!$B$11,Paramètres!$A$1:$I$89,7,0))</f>
        <v>0.30099999999999999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27.358507483679265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27.358507483679265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43.99200000000009</v>
      </c>
      <c r="D97" s="11">
        <f t="shared" si="86"/>
        <v>13.050798131206898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440.33037153914165</v>
      </c>
      <c r="H97" s="67">
        <f t="shared" si="56"/>
        <v>392.68287341185214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254.6443970237226</v>
      </c>
      <c r="T97" s="59">
        <f t="shared" si="88"/>
        <v>231.81667808018062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130.8528766490389</v>
      </c>
      <c r="AA97" s="21">
        <f>EXP(-LN(2)/25)*AA96+(1-EXP(-LN(2)/25))/(LN(2)/25)*Calculateur!V97*Calculateur!X97*VLOOKUP('Données projet'!$B$9,Paramètres!$A$1:$I$89,3,0)*0.475*44/12</f>
        <v>28.494131875373967</v>
      </c>
      <c r="AB97" s="21">
        <f>EXP(-LN(2)/2)*AB96+(1-EXP(-LN(2)/2))/(LN(2)/2)*V97*Y97*VLOOKUP('Données projet'!$B$9,Paramètres!$A$1:$I$89,3,0)*0.475*44/12</f>
        <v>9.7246973409088108E-3</v>
      </c>
      <c r="AC97" s="22">
        <f t="shared" si="57"/>
        <v>159.35673322175379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180.31844548479722</v>
      </c>
      <c r="AO97" s="59">
        <f t="shared" si="90"/>
        <v>273.83237400307223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42.487723576259071</v>
      </c>
      <c r="AV97" s="21">
        <f>EXP(-LN(2)/25)*AV96+(1-EXP(-LN(2)/25))/(LN(2)/25)*Calculateur!AQ97*Calculateur!AS97*VLOOKUP('Données projet'!$B$10,Paramètres!$A$1:$I$89,3,0)*0.475*44/12</f>
        <v>56.338984134040587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98.826707710299658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5.2583333333333373</v>
      </c>
      <c r="BD97" s="12">
        <f>IF('Données projet'!$A$88&gt;35,BD96+BC97-BL96,IF(A97&lt;'Données projet'!$A$88,$BA$205^A97,IF(A97='Données projet'!$A$88,'Données projet'!$B$88,BD96+BC97-BL96)))</f>
        <v>187.44423076923053</v>
      </c>
      <c r="BE97" s="13">
        <f>BD97*VLOOKUP('Données projet'!$B$11,Paramètres!$A$1:$I$89,3,0)*VLOOKUP('Données projet'!$B$11,Paramètres!$A$1:$I$89,5,0)</f>
        <v>190.06844999999976</v>
      </c>
      <c r="BF97" s="13">
        <f t="shared" si="91"/>
        <v>47.555085857097623</v>
      </c>
      <c r="BG97" s="20">
        <f t="shared" si="61"/>
        <v>413.86099161777793</v>
      </c>
      <c r="BH97" s="59">
        <f t="shared" si="62"/>
        <v>707.19432495111118</v>
      </c>
      <c r="BI97" s="59">
        <f ca="1">AVERAGE(OFFSET($BH$3,0,0,'Données projet'!$E$11+1,1))-AVERAGE(OFFSET($H$3,0,0,'Données projet'!$E$11+1,1))</f>
        <v>264.08050363622294</v>
      </c>
      <c r="BJ97" s="59">
        <f t="shared" si="92"/>
        <v>164.48884512322883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26.822023838966171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26.822023838966171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44.460000000000093</v>
      </c>
      <c r="D98" s="11">
        <f t="shared" si="86"/>
        <v>13.173399977011883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444.88940333132058</v>
      </c>
      <c r="H98" s="67">
        <f t="shared" si="56"/>
        <v>393.7115049599625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254.6443970237226</v>
      </c>
      <c r="T98" s="59">
        <f t="shared" si="88"/>
        <v>231.81667808018062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128.28693155032519</v>
      </c>
      <c r="AA98" s="21">
        <f>EXP(-LN(2)/25)*AA97+(1-EXP(-LN(2)/25))/(LN(2)/25)*Calculateur!V98*Calculateur!X98*VLOOKUP('Données projet'!$B$9,Paramètres!$A$1:$I$89,3,0)*0.475*44/12</f>
        <v>27.714958340800596</v>
      </c>
      <c r="AB98" s="21">
        <f>EXP(-LN(2)/2)*AB97+(1-EXP(-LN(2)/2))/(LN(2)/2)*V98*Y98*VLOOKUP('Données projet'!$B$9,Paramètres!$A$1:$I$89,3,0)*0.475*44/12</f>
        <v>6.8763994347434071E-3</v>
      </c>
      <c r="AC98" s="22">
        <f t="shared" si="57"/>
        <v>156.00876629056052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180.31844548479722</v>
      </c>
      <c r="AO98" s="59">
        <f t="shared" si="90"/>
        <v>273.83237400307223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41.654565231881122</v>
      </c>
      <c r="AV98" s="21">
        <f>EXP(-LN(2)/25)*AV97+(1-EXP(-LN(2)/25))/(LN(2)/25)*Calculateur!AQ98*Calculateur!AS98*VLOOKUP('Données projet'!$B$10,Paramètres!$A$1:$I$89,3,0)*0.475*44/12</f>
        <v>54.798391650156837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96.452956882037967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5.2583333333333373</v>
      </c>
      <c r="BD98" s="12">
        <f>IF('Données projet'!$A$88&gt;35,BD97+BC98-BL97,IF(A98&lt;'Données projet'!$A$88,$BA$205^A98,IF(A98='Données projet'!$A$88,'Données projet'!$B$88,BD97+BC98-BL97)))</f>
        <v>192.70256410256385</v>
      </c>
      <c r="BE98" s="13">
        <f>BD98*VLOOKUP('Données projet'!$B$11,Paramètres!$A$1:$I$89,3,0)*VLOOKUP('Données projet'!$B$11,Paramètres!$A$1:$I$89,5,0)</f>
        <v>195.40039999999976</v>
      </c>
      <c r="BF98" s="13">
        <f t="shared" si="91"/>
        <v>48.73195012899663</v>
      </c>
      <c r="BG98" s="20">
        <f t="shared" si="61"/>
        <v>425.19717647466877</v>
      </c>
      <c r="BH98" s="59">
        <f t="shared" si="62"/>
        <v>718.53050980800208</v>
      </c>
      <c r="BI98" s="59">
        <f ca="1">AVERAGE(OFFSET($BH$3,0,0,'Données projet'!$E$11+1,1))-AVERAGE(OFFSET($H$3,0,0,'Données projet'!$E$11+1,1))</f>
        <v>264.08050363622294</v>
      </c>
      <c r="BJ98" s="59">
        <f t="shared" si="92"/>
        <v>164.48884512322883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26.296060311303187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26.296060311303187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44.928000000000097</v>
      </c>
      <c r="D99" s="11">
        <f t="shared" si="86"/>
        <v>13.295851692351626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449.44727622166243</v>
      </c>
      <c r="H99" s="67">
        <f t="shared" si="56"/>
        <v>394.73987503084589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254.6443970237226</v>
      </c>
      <c r="T99" s="59">
        <f t="shared" si="88"/>
        <v>231.81667808018062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125.77130306992528</v>
      </c>
      <c r="AA99" s="21">
        <f>EXP(-LN(2)/25)*AA98+(1-EXP(-LN(2)/25))/(LN(2)/25)*Calculateur!V99*Calculateur!X99*VLOOKUP('Données projet'!$B$9,Paramètres!$A$1:$I$89,3,0)*0.475*44/12</f>
        <v>26.957091347505088</v>
      </c>
      <c r="AB99" s="21">
        <f>EXP(-LN(2)/2)*AB98+(1-EXP(-LN(2)/2))/(LN(2)/2)*V99*Y99*VLOOKUP('Données projet'!$B$9,Paramètres!$A$1:$I$89,3,0)*0.475*44/12</f>
        <v>4.8623486704544054E-3</v>
      </c>
      <c r="AC99" s="22">
        <f t="shared" si="57"/>
        <v>152.73325676610082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180.31844548479722</v>
      </c>
      <c r="AO99" s="59">
        <f t="shared" si="90"/>
        <v>273.83237400307223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40.837744614460014</v>
      </c>
      <c r="AV99" s="21">
        <f>EXP(-LN(2)/25)*AV98+(1-EXP(-LN(2)/25))/(LN(2)/25)*Calculateur!AQ99*Calculateur!AS99*VLOOKUP('Données projet'!$B$10,Paramètres!$A$1:$I$89,3,0)*0.475*44/12</f>
        <v>53.299926748761123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94.137671363221131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5.2583333333333373</v>
      </c>
      <c r="BD99" s="12">
        <f>IF('Données projet'!$A$88&gt;35,BD98+BC99-BL98,IF(A99&lt;'Données projet'!$A$88,$BA$205^A99,IF(A99='Données projet'!$A$88,'Données projet'!$B$88,BD98+BC99-BL98)))</f>
        <v>197.96089743589718</v>
      </c>
      <c r="BE99" s="13">
        <f>BD99*VLOOKUP('Données projet'!$B$11,Paramètres!$A$1:$I$89,3,0)*VLOOKUP('Données projet'!$B$11,Paramètres!$A$1:$I$89,5,0)</f>
        <v>200.73234999999977</v>
      </c>
      <c r="BF99" s="13">
        <f t="shared" si="91"/>
        <v>49.905081835677372</v>
      </c>
      <c r="BG99" s="20">
        <f t="shared" si="61"/>
        <v>436.52686044713772</v>
      </c>
      <c r="BH99" s="59">
        <f t="shared" si="62"/>
        <v>729.86019378047104</v>
      </c>
      <c r="BI99" s="59">
        <f ca="1">AVERAGE(OFFSET($BH$3,0,0,'Données projet'!$E$11+1,1))-AVERAGE(OFFSET($H$3,0,0,'Données projet'!$E$11+1,1))</f>
        <v>264.08050363622294</v>
      </c>
      <c r="BJ99" s="59">
        <f t="shared" si="92"/>
        <v>164.48884512322883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25.7804106076116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25.7804106076116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45.3960000000001</v>
      </c>
      <c r="D100" s="11">
        <f t="shared" si="86"/>
        <v>13.418155022123713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454.00400367955223</v>
      </c>
      <c r="H100" s="67">
        <f t="shared" si="56"/>
        <v>395.76798666353227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254.6443970237226</v>
      </c>
      <c r="T100" s="59">
        <f t="shared" si="88"/>
        <v>231.81667808018062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123.30500452964415</v>
      </c>
      <c r="AA100" s="21">
        <f>EXP(-LN(2)/25)*AA99+(1-EXP(-LN(2)/25))/(LN(2)/25)*Calculateur!V100*Calculateur!X100*VLOOKUP('Données projet'!$B$9,Paramètres!$A$1:$I$89,3,0)*0.475*44/12</f>
        <v>26.21994826699574</v>
      </c>
      <c r="AB100" s="21">
        <f>EXP(-LN(2)/2)*AB99+(1-EXP(-LN(2)/2))/(LN(2)/2)*V100*Y100*VLOOKUP('Données projet'!$B$9,Paramètres!$A$1:$I$89,3,0)*0.475*44/12</f>
        <v>3.4381997173717036E-3</v>
      </c>
      <c r="AC100" s="22">
        <f t="shared" si="57"/>
        <v>149.52839099635727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180.31844548479722</v>
      </c>
      <c r="AO100" s="59">
        <f t="shared" si="90"/>
        <v>273.83237400307223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40.036941351135148</v>
      </c>
      <c r="AV100" s="21">
        <f>EXP(-LN(2)/25)*AV99+(1-EXP(-LN(2)/25))/(LN(2)/25)*Calculateur!AQ100*Calculateur!AS100*VLOOKUP('Données projet'!$B$10,Paramètres!$A$1:$I$89,3,0)*0.475*44/12</f>
        <v>51.84243744889492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91.879378800030068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5.2583333333333373</v>
      </c>
      <c r="BD100" s="12">
        <f>IF('Données projet'!$A$88&gt;35,BD99+BC100-BL99,IF(A100&lt;'Données projet'!$A$88,$BA$205^A100,IF(A100='Données projet'!$A$88,'Données projet'!$B$88,BD99+BC100-BL99)))</f>
        <v>203.21923076923051</v>
      </c>
      <c r="BE100" s="13">
        <f>BD100*VLOOKUP('Données projet'!$B$11,Paramètres!$A$1:$I$89,3,0)*VLOOKUP('Données projet'!$B$11,Paramètres!$A$1:$I$89,5,0)</f>
        <v>206.06429999999975</v>
      </c>
      <c r="BF100" s="13">
        <f t="shared" si="91"/>
        <v>51.074591519343635</v>
      </c>
      <c r="BG100" s="20">
        <f t="shared" si="61"/>
        <v>447.85023606285631</v>
      </c>
      <c r="BH100" s="59">
        <f t="shared" si="62"/>
        <v>741.18356939618957</v>
      </c>
      <c r="BI100" s="59">
        <f ca="1">AVERAGE(OFFSET($BH$3,0,0,'Données projet'!$E$11+1,1))-AVERAGE(OFFSET($H$3,0,0,'Données projet'!$E$11+1,1))</f>
        <v>264.08050363622294</v>
      </c>
      <c r="BJ100" s="59">
        <f t="shared" si="92"/>
        <v>164.48884512322883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25.274872480094142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25.274872480094142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45.864000000000104</v>
      </c>
      <c r="D101" s="11">
        <f t="shared" si="86"/>
        <v>13.540311673175431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458.55959888065331</v>
      </c>
      <c r="H101" s="67">
        <f t="shared" si="56"/>
        <v>396.79584283078071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254.6443970237226</v>
      </c>
      <c r="T101" s="59">
        <f t="shared" si="88"/>
        <v>231.81667808018062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120.88706859944436</v>
      </c>
      <c r="AA101" s="21">
        <f>EXP(-LN(2)/25)*AA100+(1-EXP(-LN(2)/25))/(LN(2)/25)*Calculateur!V101*Calculateur!X101*VLOOKUP('Données projet'!$B$9,Paramètres!$A$1:$I$89,3,0)*0.475*44/12</f>
        <v>25.502962402787588</v>
      </c>
      <c r="AB101" s="21">
        <f>EXP(-LN(2)/2)*AB100+(1-EXP(-LN(2)/2))/(LN(2)/2)*V101*Y101*VLOOKUP('Données projet'!$B$9,Paramètres!$A$1:$I$89,3,0)*0.475*44/12</f>
        <v>2.4311743352272027E-3</v>
      </c>
      <c r="AC101" s="22">
        <f t="shared" si="57"/>
        <v>146.39246217656716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180.31844548479722</v>
      </c>
      <c r="AO101" s="59">
        <f t="shared" si="90"/>
        <v>273.83237400307223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39.251841351362323</v>
      </c>
      <c r="AV101" s="21">
        <f>EXP(-LN(2)/25)*AV100+(1-EXP(-LN(2)/25))/(LN(2)/25)*Calculateur!AQ101*Calculateur!AS101*VLOOKUP('Données projet'!$B$10,Paramètres!$A$1:$I$89,3,0)*0.475*44/12</f>
        <v>50.424803270579588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89.676644621941904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5.2583333333333373</v>
      </c>
      <c r="BD101" s="12">
        <f>IF('Données projet'!$A$88&gt;35,BD100+BC101-BL100,IF(A101&lt;'Données projet'!$A$88,$BA$205^A101,IF(A101='Données projet'!$A$88,'Données projet'!$B$88,BD100+BC101-BL100)))</f>
        <v>208.47756410256383</v>
      </c>
      <c r="BE101" s="13">
        <f>BD101*VLOOKUP('Données projet'!$B$11,Paramètres!$A$1:$I$89,3,0)*VLOOKUP('Données projet'!$B$11,Paramètres!$A$1:$I$89,5,0)</f>
        <v>211.39624999999972</v>
      </c>
      <c r="BF101" s="13">
        <f t="shared" si="91"/>
        <v>52.240583675733987</v>
      </c>
      <c r="BG101" s="20">
        <f t="shared" si="61"/>
        <v>459.16748531856956</v>
      </c>
      <c r="BH101" s="59">
        <f t="shared" si="62"/>
        <v>752.50081865190282</v>
      </c>
      <c r="BI101" s="59">
        <f ca="1">AVERAGE(OFFSET($BH$3,0,0,'Données projet'!$E$11+1,1))-AVERAGE(OFFSET($H$3,0,0,'Données projet'!$E$11+1,1))</f>
        <v>264.08050363622294</v>
      </c>
      <c r="BJ101" s="59">
        <f t="shared" si="92"/>
        <v>164.48884512322883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24.779247646909489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24.779247646909489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46.332000000000107</v>
      </c>
      <c r="D102" s="11">
        <f t="shared" si="86"/>
        <v>13.662323315513085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463.11407471624216</v>
      </c>
      <c r="H102" s="67">
        <f t="shared" si="56"/>
        <v>397.82344644118547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254.6443970237226</v>
      </c>
      <c r="T102" s="59">
        <f t="shared" si="88"/>
        <v>231.81667808018062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118.51654691804049</v>
      </c>
      <c r="AA102" s="21">
        <f>EXP(-LN(2)/25)*AA101+(1-EXP(-LN(2)/25))/(LN(2)/25)*Calculateur!V102*Calculateur!X102*VLOOKUP('Données projet'!$B$9,Paramètres!$A$1:$I$89,3,0)*0.475*44/12</f>
        <v>24.805582554740855</v>
      </c>
      <c r="AB102" s="21">
        <f>EXP(-LN(2)/2)*AB101+(1-EXP(-LN(2)/2))/(LN(2)/2)*V102*Y102*VLOOKUP('Données projet'!$B$9,Paramètres!$A$1:$I$89,3,0)*0.475*44/12</f>
        <v>1.7190998586858518E-3</v>
      </c>
      <c r="AC102" s="22">
        <f t="shared" si="57"/>
        <v>143.32384857264003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180.31844548479722</v>
      </c>
      <c r="AO102" s="59">
        <f t="shared" si="90"/>
        <v>273.83237400307223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38.482136683721329</v>
      </c>
      <c r="AV102" s="21">
        <f>EXP(-LN(2)/25)*AV101+(1-EXP(-LN(2)/25))/(LN(2)/25)*Calculateur!AQ102*Calculateur!AS102*VLOOKUP('Données projet'!$B$10,Paramètres!$A$1:$I$89,3,0)*0.475*44/12</f>
        <v>49.04593437342043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87.528071057141759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5.2583333333333373</v>
      </c>
      <c r="BD102" s="12">
        <f>IF('Données projet'!$A$88&gt;35,BD101+BC102-BL101,IF(A102&lt;'Données projet'!$A$88,$BA$205^A102,IF(A102='Données projet'!$A$88,'Données projet'!$B$88,BD101+BC102-BL101)))</f>
        <v>213.73589743589716</v>
      </c>
      <c r="BE102" s="13">
        <f>BD102*VLOOKUP('Données projet'!$B$11,Paramètres!$A$1:$I$89,3,0)*VLOOKUP('Données projet'!$B$11,Paramètres!$A$1:$I$89,5,0)</f>
        <v>216.72819999999976</v>
      </c>
      <c r="BF102" s="13">
        <f t="shared" si="91"/>
        <v>53.403157228900795</v>
      </c>
      <c r="BG102" s="20">
        <f t="shared" si="61"/>
        <v>470.47878050700183</v>
      </c>
      <c r="BH102" s="59">
        <f t="shared" si="62"/>
        <v>763.81211384033509</v>
      </c>
      <c r="BI102" s="59">
        <f ca="1">AVERAGE(OFFSET($BH$3,0,0,'Données projet'!$E$11+1,1))-AVERAGE(OFFSET($H$3,0,0,'Données projet'!$E$11+1,1))</f>
        <v>264.08050363622294</v>
      </c>
      <c r="BJ102" s="59">
        <f t="shared" si="92"/>
        <v>164.48884512322883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24.293341714402292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24.293341714402292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46.800000000000111</v>
      </c>
      <c r="D103" s="11">
        <f t="shared" si="86"/>
        <v>13.784191583461164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467.66744380215727</v>
      </c>
      <c r="H103" s="67">
        <f t="shared" si="56"/>
        <v>398.85080034119505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254.6443970237226</v>
      </c>
      <c r="T103" s="59">
        <f t="shared" si="88"/>
        <v>231.81667808018062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116.19250972093349</v>
      </c>
      <c r="AA103" s="21">
        <f>EXP(-LN(2)/25)*AA102+(1-EXP(-LN(2)/25))/(LN(2)/25)*Calculateur!V103*Calculateur!X103*VLOOKUP('Données projet'!$B$9,Paramètres!$A$1:$I$89,3,0)*0.475*44/12</f>
        <v>24.127272595312576</v>
      </c>
      <c r="AB103" s="21">
        <f>EXP(-LN(2)/2)*AB102+(1-EXP(-LN(2)/2))/(LN(2)/2)*V103*Y103*VLOOKUP('Données projet'!$B$9,Paramètres!$A$1:$I$89,3,0)*0.475*44/12</f>
        <v>1.2155871676136013E-3</v>
      </c>
      <c r="AC103" s="22">
        <f t="shared" si="57"/>
        <v>140.32099790341368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180.31844548479722</v>
      </c>
      <c r="AO103" s="59">
        <f t="shared" si="90"/>
        <v>273.83237400307223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37.727525455139286</v>
      </c>
      <c r="AV103" s="21">
        <f>EXP(-LN(2)/25)*AV102+(1-EXP(-LN(2)/25))/(LN(2)/25)*Calculateur!AQ103*Calculateur!AS103*VLOOKUP('Données projet'!$B$10,Paramètres!$A$1:$I$89,3,0)*0.475*44/12</f>
        <v>47.704770718765658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85.432296173904945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5.2583333333333373</v>
      </c>
      <c r="BD103" s="12">
        <f>IF('Données projet'!$A$88&gt;35,BD102+BC103-BL102,IF(A103&lt;'Données projet'!$A$88,$BA$205^A103,IF(A103='Données projet'!$A$88,'Données projet'!$B$88,BD102+BC103-BL102)))</f>
        <v>218.99423076923048</v>
      </c>
      <c r="BE103" s="13">
        <f>BD103*VLOOKUP('Données projet'!$B$11,Paramètres!$A$1:$I$89,3,0)*VLOOKUP('Données projet'!$B$11,Paramètres!$A$1:$I$89,5,0)</f>
        <v>222.06014999999974</v>
      </c>
      <c r="BF103" s="13">
        <f t="shared" si="91"/>
        <v>54.562405957952684</v>
      </c>
      <c r="BG103" s="20">
        <f t="shared" si="61"/>
        <v>481.78428496010048</v>
      </c>
      <c r="BH103" s="59">
        <f t="shared" si="62"/>
        <v>775.11761829343379</v>
      </c>
      <c r="BI103" s="59">
        <f ca="1">AVERAGE(OFFSET($BH$3,0,0,'Données projet'!$E$11+1,1))-AVERAGE(OFFSET($H$3,0,0,'Données projet'!$E$11+1,1))</f>
        <v>264.08050363622294</v>
      </c>
      <c r="BJ103" s="59">
        <f t="shared" si="92"/>
        <v>164.48884512322883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23.816964100858204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23.816964100858204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47.268000000000114</v>
      </c>
      <c r="D104" s="11">
        <f t="shared" si="86"/>
        <v>13.905918076773704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472.21971848737684</v>
      </c>
      <c r="H104" s="67">
        <f t="shared" si="56"/>
        <v>399.87790731704769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254.6443970237226</v>
      </c>
      <c r="T104" s="59">
        <f t="shared" si="88"/>
        <v>231.81667808018062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113.91404547573903</v>
      </c>
      <c r="AA104" s="21">
        <f>EXP(-LN(2)/25)*AA103+(1-EXP(-LN(2)/25))/(LN(2)/25)*Calculateur!V104*Calculateur!X104*VLOOKUP('Données projet'!$B$9,Paramètres!$A$1:$I$89,3,0)*0.475*44/12</f>
        <v>23.46751105739563</v>
      </c>
      <c r="AB104" s="21">
        <f>EXP(-LN(2)/2)*AB103+(1-EXP(-LN(2)/2))/(LN(2)/2)*V104*Y104*VLOOKUP('Données projet'!$B$9,Paramètres!$A$1:$I$89,3,0)*0.475*44/12</f>
        <v>8.5954992934292589E-4</v>
      </c>
      <c r="AC104" s="22">
        <f t="shared" si="57"/>
        <v>137.38241608306402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180.31844548479722</v>
      </c>
      <c r="AO104" s="59">
        <f t="shared" si="90"/>
        <v>273.83237400307223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36.987711692482335</v>
      </c>
      <c r="AV104" s="21">
        <f>EXP(-LN(2)/25)*AV103+(1-EXP(-LN(2)/25))/(LN(2)/25)*Calculateur!AQ104*Calculateur!AS104*VLOOKUP('Données projet'!$B$10,Paramètres!$A$1:$I$89,3,0)*0.475*44/12</f>
        <v>46.400281254776154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83.387992947258482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5.2583333333333373</v>
      </c>
      <c r="BD104" s="12">
        <f>IF('Données projet'!$A$88&gt;35,BD103+BC104-BL103,IF(A104&lt;'Données projet'!$A$88,$BA$205^A104,IF(A104='Données projet'!$A$88,'Données projet'!$B$88,BD103+BC104-BL103)))</f>
        <v>224.25256410256381</v>
      </c>
      <c r="BE104" s="13">
        <f>BD104*VLOOKUP('Données projet'!$B$11,Paramètres!$A$1:$I$89,3,0)*VLOOKUP('Données projet'!$B$11,Paramètres!$A$1:$I$89,5,0)</f>
        <v>227.39209999999972</v>
      </c>
      <c r="BF104" s="13">
        <f t="shared" si="91"/>
        <v>55.718418881655332</v>
      </c>
      <c r="BG104" s="20">
        <f t="shared" si="61"/>
        <v>493.08415371888253</v>
      </c>
      <c r="BH104" s="59">
        <f t="shared" si="62"/>
        <v>786.41748705221585</v>
      </c>
      <c r="BI104" s="59">
        <f ca="1">AVERAGE(OFFSET($BH$3,0,0,'Données projet'!$E$11+1,1))-AVERAGE(OFFSET($H$3,0,0,'Données projet'!$E$11+1,1))</f>
        <v>264.08050363622294</v>
      </c>
      <c r="BJ104" s="59">
        <f t="shared" si="92"/>
        <v>164.48884512322883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23.349927961754062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23.349927961754062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47.736000000000118</v>
      </c>
      <c r="D105" s="11">
        <f t="shared" si="86"/>
        <v>14.027504361700455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476.77091086225005</v>
      </c>
      <c r="H105" s="67">
        <f t="shared" si="56"/>
        <v>400.90477009662845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254.6443970237226</v>
      </c>
      <c r="T105" s="59">
        <f t="shared" si="88"/>
        <v>231.81667808018062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111.68026052466688</v>
      </c>
      <c r="AA105" s="21">
        <f>EXP(-LN(2)/25)*AA104+(1-EXP(-LN(2)/25))/(LN(2)/25)*Calculateur!V105*Calculateur!X105*VLOOKUP('Données projet'!$B$9,Paramètres!$A$1:$I$89,3,0)*0.475*44/12</f>
        <v>22.825790733428374</v>
      </c>
      <c r="AB105" s="21">
        <f>EXP(-LN(2)/2)*AB104+(1-EXP(-LN(2)/2))/(LN(2)/2)*V105*Y105*VLOOKUP('Données projet'!$B$9,Paramètres!$A$1:$I$89,3,0)*0.475*44/12</f>
        <v>6.0779358380680067E-4</v>
      </c>
      <c r="AC105" s="22">
        <f t="shared" si="57"/>
        <v>134.50665905167907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180.31844548479722</v>
      </c>
      <c r="AO105" s="59">
        <f t="shared" si="90"/>
        <v>273.83237400307223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36.262405226469248</v>
      </c>
      <c r="AV105" s="21">
        <f>EXP(-LN(2)/25)*AV104+(1-EXP(-LN(2)/25))/(LN(2)/25)*Calculateur!AQ105*Calculateur!AS105*VLOOKUP('Données projet'!$B$10,Paramètres!$A$1:$I$89,3,0)*0.475*44/12</f>
        <v>45.131463123779561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81.393868350248809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5.2583333333333373</v>
      </c>
      <c r="BD105" s="12">
        <f>IF('Données projet'!$A$88&gt;35,BD104+BC105-BL104,IF(A105&lt;'Données projet'!$A$88,$BA$205^A105,IF(A105='Données projet'!$A$88,'Données projet'!$B$88,BD104+BC105-BL104)))</f>
        <v>229.51089743589714</v>
      </c>
      <c r="BE105" s="13">
        <f>BD105*VLOOKUP('Données projet'!$B$11,Paramètres!$A$1:$I$89,3,0)*VLOOKUP('Données projet'!$B$11,Paramètres!$A$1:$I$89,5,0)</f>
        <v>232.72404999999969</v>
      </c>
      <c r="BF105" s="13">
        <f t="shared" si="91"/>
        <v>56.871280605943788</v>
      </c>
      <c r="BG105" s="20">
        <f t="shared" si="61"/>
        <v>504.37853413868493</v>
      </c>
      <c r="BH105" s="59">
        <f t="shared" si="62"/>
        <v>797.71186747201818</v>
      </c>
      <c r="BI105" s="59">
        <f ca="1">AVERAGE(OFFSET($BH$3,0,0,'Données projet'!$E$11+1,1))-AVERAGE(OFFSET($H$3,0,0,'Données projet'!$E$11+1,1))</f>
        <v>264.08050363622294</v>
      </c>
      <c r="BJ105" s="59">
        <f t="shared" si="92"/>
        <v>164.48884512322883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22.892050116473836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22.892050116473836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48.204000000000121</v>
      </c>
      <c r="D106" s="11">
        <f t="shared" si="86"/>
        <v>14.148951972010016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481.32103276639413</v>
      </c>
      <c r="H106" s="67">
        <f t="shared" si="56"/>
        <v>401.93139135125097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254.6443970237226</v>
      </c>
      <c r="T106" s="59">
        <f t="shared" si="88"/>
        <v>231.81667808018062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109.49027873401096</v>
      </c>
      <c r="AA106" s="21">
        <f>EXP(-LN(2)/25)*AA105+(1-EXP(-LN(2)/25))/(LN(2)/25)*Calculateur!V106*Calculateur!X106*VLOOKUP('Données projet'!$B$9,Paramètres!$A$1:$I$89,3,0)*0.475*44/12</f>
        <v>22.201618285466608</v>
      </c>
      <c r="AB106" s="21">
        <f>EXP(-LN(2)/2)*AB105+(1-EXP(-LN(2)/2))/(LN(2)/2)*V106*Y106*VLOOKUP('Données projet'!$B$9,Paramètres!$A$1:$I$89,3,0)*0.475*44/12</f>
        <v>4.2977496467146295E-4</v>
      </c>
      <c r="AC106" s="22">
        <f t="shared" si="57"/>
        <v>131.69232679444221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180.31844548479722</v>
      </c>
      <c r="AO106" s="59">
        <f t="shared" si="90"/>
        <v>273.83237400307223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35.551321577861415</v>
      </c>
      <c r="AV106" s="21">
        <f>EXP(-LN(2)/25)*AV105+(1-EXP(-LN(2)/25))/(LN(2)/25)*Calculateur!AQ106*Calculateur!AS106*VLOOKUP('Données projet'!$B$10,Paramètres!$A$1:$I$89,3,0)*0.475*44/12</f>
        <v>43.897340891299315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79.448662469160723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>
        <f>VLOOKUP(A106,'Données projet'!$A$87:$I$107,2,0)</f>
        <v>234.76923076923077</v>
      </c>
      <c r="BB106" s="12">
        <f>VLOOKUP(A106,'Données projet'!$A$87:$I$107,9,0)</f>
        <v>5.2583333333333373</v>
      </c>
      <c r="BC106" s="12">
        <f t="array" ref="BC106">INDEX(BB:BB,MIN(IF(ISNUMBER(BB106:BB302),ROW(BB106:BB302),"")))</f>
        <v>5.2583333333333373</v>
      </c>
      <c r="BD106" s="12">
        <f>IF('Données projet'!$A$88&gt;35,BD105+BC106-BL105,IF(A106&lt;'Données projet'!$A$88,$BA$205^A106,IF(A106='Données projet'!$A$88,'Données projet'!$B$88,BD105+BC106-BL105)))</f>
        <v>234.76923076923046</v>
      </c>
      <c r="BE106" s="13">
        <f>BD106*VLOOKUP('Données projet'!$B$11,Paramètres!$A$1:$I$89,3,0)*VLOOKUP('Données projet'!$B$11,Paramètres!$A$1:$I$89,5,0)</f>
        <v>238.0559999999997</v>
      </c>
      <c r="BF106" s="13">
        <f t="shared" si="91"/>
        <v>58.021071638689058</v>
      </c>
      <c r="BG106" s="20">
        <f t="shared" si="61"/>
        <v>515.6675664373829</v>
      </c>
      <c r="BH106" s="59">
        <f t="shared" si="62"/>
        <v>809.00089977071616</v>
      </c>
      <c r="BI106" s="59">
        <f ca="1">AVERAGE(OFFSET($BH$3,0,0,'Données projet'!$E$11+1,1))-AVERAGE(OFFSET($H$3,0,0,'Données projet'!$E$11+1,1))</f>
        <v>264.08050363622294</v>
      </c>
      <c r="BJ106" s="59">
        <f t="shared" si="92"/>
        <v>164.48884512322883</v>
      </c>
      <c r="BK106" s="15">
        <f>IF(ISNA(VLOOKUP(A106,'Données projet'!$A$87:$I$107,3,0)),0,VLOOKUP(A106,'Données projet'!$A$87:$I$107,3,0))</f>
        <v>8</v>
      </c>
      <c r="BL106" s="15">
        <f>IF(ISNA(VLOOKUP(A106,'Données projet'!$A$87:$I$107,4,0)),0,VLOOKUP(A106,'Données projet'!$A$87:$I$107,4,0))</f>
        <v>39.512820512820511</v>
      </c>
      <c r="BM106" s="16">
        <f>IF(ISNA(VLOOKUP(A106,'Données projet'!$A$87:$I$107,5,0)),0%,VLOOKUP(A106,'Données projet'!$A$87:$I$107,5,0)*VLOOKUP('Données projet'!$B$11,Paramètres!$A$1:$I$89,7,0))</f>
        <v>0.30099999999999999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35.774975620598163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35.774975620598163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48.672000000000125</v>
      </c>
      <c r="D107" s="11">
        <f t="shared" si="86"/>
        <v>14.270262409972092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485.87009579627687</v>
      </c>
      <c r="H107" s="67">
        <f t="shared" si="56"/>
        <v>402.95777369736822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254.6443970237226</v>
      </c>
      <c r="T107" s="59">
        <f t="shared" si="88"/>
        <v>231.81667808018062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107.34324115051281</v>
      </c>
      <c r="AA107" s="21">
        <f>EXP(-LN(2)/25)*AA106+(1-EXP(-LN(2)/25))/(LN(2)/25)*Calculateur!V107*Calculateur!X107*VLOOKUP('Données projet'!$B$9,Paramètres!$A$1:$I$89,3,0)*0.475*44/12</f>
        <v>21.594513865918159</v>
      </c>
      <c r="AB107" s="21">
        <f>EXP(-LN(2)/2)*AB106+(1-EXP(-LN(2)/2))/(LN(2)/2)*V107*Y107*VLOOKUP('Données projet'!$B$9,Paramètres!$A$1:$I$89,3,0)*0.475*44/12</f>
        <v>3.0389679190340034E-4</v>
      </c>
      <c r="AC107" s="22">
        <f t="shared" si="57"/>
        <v>128.93805891322287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180.31844548479722</v>
      </c>
      <c r="AO107" s="59">
        <f t="shared" si="90"/>
        <v>273.83237400307223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34.854181845884582</v>
      </c>
      <c r="AV107" s="21">
        <f>EXP(-LN(2)/25)*AV106+(1-EXP(-LN(2)/25))/(LN(2)/25)*Calculateur!AQ107*Calculateur!AS107*VLOOKUP('Données projet'!$B$10,Paramètres!$A$1:$I$89,3,0)*0.475*44/12</f>
        <v>42.696965796165905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77.551147642050495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5.0961538461538449</v>
      </c>
      <c r="BD107" s="12">
        <f>IF('Données projet'!$A$88&gt;35,BD106+BC107-BL106,IF(A107&lt;'Données projet'!$A$88,$BA$205^A107,IF(A107='Données projet'!$A$88,'Données projet'!$B$88,BD106+BC107-BL106)))</f>
        <v>200.3525641025638</v>
      </c>
      <c r="BE107" s="13">
        <f>BD107*VLOOKUP('Données projet'!$B$11,Paramètres!$A$1:$I$89,3,0)*VLOOKUP('Données projet'!$B$11,Paramètres!$A$1:$I$89,5,0)</f>
        <v>203.15749999999971</v>
      </c>
      <c r="BF107" s="13">
        <f t="shared" si="91"/>
        <v>50.437456773365234</v>
      </c>
      <c r="BG107" s="20">
        <f t="shared" si="61"/>
        <v>441.67788304694392</v>
      </c>
      <c r="BH107" s="59">
        <f t="shared" si="62"/>
        <v>735.01121638027723</v>
      </c>
      <c r="BI107" s="59">
        <f ca="1">AVERAGE(OFFSET($BH$3,0,0,'Données projet'!$E$11+1,1))-AVERAGE(OFFSET($H$3,0,0,'Données projet'!$E$11+1,1))</f>
        <v>264.08050363622294</v>
      </c>
      <c r="BJ107" s="59">
        <f t="shared" si="92"/>
        <v>164.48884512322883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35.073450169258756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35.073450169258756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49.140000000000128</v>
      </c>
      <c r="D108" s="11">
        <f t="shared" si="86"/>
        <v>14.3914371473009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490.41811131249915</v>
      </c>
      <c r="H108" s="67">
        <f t="shared" si="56"/>
        <v>403.98391969821591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254.6443970237226</v>
      </c>
      <c r="T108" s="59">
        <f t="shared" si="88"/>
        <v>231.81667808018062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105.23830566446344</v>
      </c>
      <c r="AA108" s="21">
        <f>EXP(-LN(2)/25)*AA107+(1-EXP(-LN(2)/25))/(LN(2)/25)*Calculateur!V108*Calculateur!X108*VLOOKUP('Données projet'!$B$9,Paramètres!$A$1:$I$89,3,0)*0.475*44/12</f>
        <v>21.004010748648497</v>
      </c>
      <c r="AB108" s="21">
        <f>EXP(-LN(2)/2)*AB107+(1-EXP(-LN(2)/2))/(LN(2)/2)*V108*Y108*VLOOKUP('Données projet'!$B$9,Paramètres!$A$1:$I$89,3,0)*0.475*44/12</f>
        <v>2.1488748233573147E-4</v>
      </c>
      <c r="AC108" s="22">
        <f t="shared" si="57"/>
        <v>126.24253130059427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180.31844548479722</v>
      </c>
      <c r="AO108" s="59">
        <f t="shared" si="90"/>
        <v>273.83237400307223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34.170712598838563</v>
      </c>
      <c r="AV108" s="21">
        <f>EXP(-LN(2)/25)*AV107+(1-EXP(-LN(2)/25))/(LN(2)/25)*Calculateur!AQ108*Calculateur!AS108*VLOOKUP('Données projet'!$B$10,Paramètres!$A$1:$I$89,3,0)*0.475*44/12</f>
        <v>41.5294150211339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75.700127619972463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5.0961538461538449</v>
      </c>
      <c r="BD108" s="12">
        <f>IF('Données projet'!$A$88&gt;35,BD107+BC108-BL107,IF(A108&lt;'Données projet'!$A$88,$BA$205^A108,IF(A108='Données projet'!$A$88,'Données projet'!$B$88,BD107+BC108-BL107)))</f>
        <v>205.44871794871764</v>
      </c>
      <c r="BE108" s="13">
        <f>BD108*VLOOKUP('Données projet'!$B$11,Paramètres!$A$1:$I$89,3,0)*VLOOKUP('Données projet'!$B$11,Paramètres!$A$1:$I$89,5,0)</f>
        <v>208.32499999999973</v>
      </c>
      <c r="BF108" s="13">
        <f t="shared" si="91"/>
        <v>51.569385633240543</v>
      </c>
      <c r="BG108" s="20">
        <f t="shared" si="61"/>
        <v>452.64938831122686</v>
      </c>
      <c r="BH108" s="59">
        <f t="shared" si="62"/>
        <v>745.98272164456012</v>
      </c>
      <c r="BI108" s="59">
        <f ca="1">AVERAGE(OFFSET($BH$3,0,0,'Données projet'!$E$11+1,1))-AVERAGE(OFFSET($H$3,0,0,'Données projet'!$E$11+1,1))</f>
        <v>264.08050363622294</v>
      </c>
      <c r="BJ108" s="59">
        <f t="shared" si="92"/>
        <v>164.48884512322883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34.385681204131842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34.385681204131842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49.608000000000132</v>
      </c>
      <c r="D109" s="11">
        <f t="shared" si="86"/>
        <v>14.512477626061624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494.96509044679243</v>
      </c>
      <c r="H109" s="67">
        <f t="shared" si="56"/>
        <v>405.00983186539088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254.6443970237226</v>
      </c>
      <c r="T109" s="59">
        <f t="shared" si="88"/>
        <v>231.81667808018062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103.17464667941162</v>
      </c>
      <c r="AA109" s="21">
        <f>EXP(-LN(2)/25)*AA108+(1-EXP(-LN(2)/25))/(LN(2)/25)*Calculateur!V109*Calculateur!X109*VLOOKUP('Données projet'!$B$9,Paramètres!$A$1:$I$89,3,0)*0.475*44/12</f>
        <v>20.429654970173782</v>
      </c>
      <c r="AB109" s="21">
        <f>EXP(-LN(2)/2)*AB108+(1-EXP(-LN(2)/2))/(LN(2)/2)*V109*Y109*VLOOKUP('Données projet'!$B$9,Paramètres!$A$1:$I$89,3,0)*0.475*44/12</f>
        <v>1.5194839595170017E-4</v>
      </c>
      <c r="AC109" s="22">
        <f t="shared" si="57"/>
        <v>123.60445359798136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180.31844548479722</v>
      </c>
      <c r="AO109" s="59">
        <f t="shared" si="90"/>
        <v>273.83237400307223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33.500645766852038</v>
      </c>
      <c r="AV109" s="21">
        <f>EXP(-LN(2)/25)*AV108+(1-EXP(-LN(2)/25))/(LN(2)/25)*Calculateur!AQ109*Calculateur!AS109*VLOOKUP('Données projet'!$B$10,Paramètres!$A$1:$I$89,3,0)*0.475*44/12</f>
        <v>40.393790983443978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73.894436750296023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5.0961538461538449</v>
      </c>
      <c r="BD109" s="12">
        <f>IF('Données projet'!$A$88&gt;35,BD108+BC109-BL108,IF(A109&lt;'Données projet'!$A$88,$BA$205^A109,IF(A109='Données projet'!$A$88,'Données projet'!$B$88,BD108+BC109-BL108)))</f>
        <v>210.54487179487148</v>
      </c>
      <c r="BE109" s="13">
        <f>BD109*VLOOKUP('Données projet'!$B$11,Paramètres!$A$1:$I$89,3,0)*VLOOKUP('Données projet'!$B$11,Paramètres!$A$1:$I$89,5,0)</f>
        <v>213.49249999999969</v>
      </c>
      <c r="BF109" s="13">
        <f t="shared" si="91"/>
        <v>52.698050633588259</v>
      </c>
      <c r="BG109" s="20">
        <f t="shared" si="61"/>
        <v>463.61520902016565</v>
      </c>
      <c r="BH109" s="59">
        <f t="shared" si="62"/>
        <v>756.94854235349896</v>
      </c>
      <c r="BI109" s="59">
        <f ca="1">AVERAGE(OFFSET($BH$3,0,0,'Données projet'!$E$11+1,1))-AVERAGE(OFFSET($H$3,0,0,'Données projet'!$E$11+1,1))</f>
        <v>264.08050363622294</v>
      </c>
      <c r="BJ109" s="59">
        <f t="shared" si="92"/>
        <v>164.48884512322883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33.711398968913421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33.711398968913421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50.076000000000136</v>
      </c>
      <c r="D110" s="11">
        <f t="shared" si="86"/>
        <v>14.633385259541638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499.51104410874353</v>
      </c>
      <c r="H110" s="67">
        <f t="shared" si="56"/>
        <v>406.03551266036857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254.6443970237226</v>
      </c>
      <c r="T110" s="59">
        <f t="shared" si="88"/>
        <v>231.81667808018062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101.15145478834899</v>
      </c>
      <c r="AA110" s="21">
        <f>EXP(-LN(2)/25)*AA109+(1-EXP(-LN(2)/25))/(LN(2)/25)*Calculateur!V110*Calculateur!X110*VLOOKUP('Données projet'!$B$9,Paramètres!$A$1:$I$89,3,0)*0.475*44/12</f>
        <v>19.871004980665518</v>
      </c>
      <c r="AB110" s="21">
        <f>EXP(-LN(2)/2)*AB109+(1-EXP(-LN(2)/2))/(LN(2)/2)*V110*Y110*VLOOKUP('Données projet'!$B$9,Paramètres!$A$1:$I$89,3,0)*0.475*44/12</f>
        <v>1.0744374116786574E-4</v>
      </c>
      <c r="AC110" s="22">
        <f t="shared" si="57"/>
        <v>121.02256721275567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180.31844548479722</v>
      </c>
      <c r="AO110" s="59">
        <f t="shared" si="90"/>
        <v>273.83237400307223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32.843718536740361</v>
      </c>
      <c r="AV110" s="21">
        <f>EXP(-LN(2)/25)*AV109+(1-EXP(-LN(2)/25))/(LN(2)/25)*Calculateur!AQ110*Calculateur!AS110*VLOOKUP('Données projet'!$B$10,Paramètres!$A$1:$I$89,3,0)*0.475*44/12</f>
        <v>39.289220644784557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72.132939181524918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5.0961538461538449</v>
      </c>
      <c r="BD110" s="12">
        <f>IF('Données projet'!$A$88&gt;35,BD109+BC110-BL109,IF(A110&lt;'Données projet'!$A$88,$BA$205^A110,IF(A110='Données projet'!$A$88,'Données projet'!$B$88,BD109+BC110-BL109)))</f>
        <v>215.64102564102532</v>
      </c>
      <c r="BE110" s="13">
        <f>BD110*VLOOKUP('Données projet'!$B$11,Paramètres!$A$1:$I$89,3,0)*VLOOKUP('Données projet'!$B$11,Paramètres!$A$1:$I$89,5,0)</f>
        <v>218.65999999999968</v>
      </c>
      <c r="BF110" s="13">
        <f t="shared" si="91"/>
        <v>53.823539863729678</v>
      </c>
      <c r="BG110" s="20">
        <f t="shared" si="61"/>
        <v>474.57549859599521</v>
      </c>
      <c r="BH110" s="59">
        <f t="shared" si="62"/>
        <v>767.90883192932847</v>
      </c>
      <c r="BI110" s="59">
        <f ca="1">AVERAGE(OFFSET($BH$3,0,0,'Données projet'!$E$11+1,1))-AVERAGE(OFFSET($H$3,0,0,'Données projet'!$E$11+1,1))</f>
        <v>264.08050363622294</v>
      </c>
      <c r="BJ110" s="59">
        <f t="shared" si="92"/>
        <v>164.48884512322883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33.05033899705608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33.05033899705608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50.544000000000139</v>
      </c>
      <c r="D111" s="11">
        <f t="shared" si="86"/>
        <v>14.754161433088285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504.05598299226153</v>
      </c>
      <c r="H111" s="67">
        <f t="shared" si="56"/>
        <v>407.06096449596231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254.6443970237226</v>
      </c>
      <c r="T111" s="59">
        <f t="shared" si="88"/>
        <v>231.81667808018062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99.167936456244874</v>
      </c>
      <c r="AA111" s="21">
        <f>EXP(-LN(2)/25)*AA110+(1-EXP(-LN(2)/25))/(LN(2)/25)*Calculateur!V111*Calculateur!X111*VLOOKUP('Données projet'!$B$9,Paramètres!$A$1:$I$89,3,0)*0.475*44/12</f>
        <v>19.327631304498482</v>
      </c>
      <c r="AB111" s="21">
        <f>EXP(-LN(2)/2)*AB110+(1-EXP(-LN(2)/2))/(LN(2)/2)*V111*Y111*VLOOKUP('Données projet'!$B$9,Paramètres!$A$1:$I$89,3,0)*0.475*44/12</f>
        <v>7.5974197975850084E-5</v>
      </c>
      <c r="AC111" s="22">
        <f t="shared" si="57"/>
        <v>118.49564373494132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180.31844548479722</v>
      </c>
      <c r="AO111" s="59">
        <f t="shared" si="90"/>
        <v>273.83237400307223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32.19967324892513</v>
      </c>
      <c r="AV111" s="21">
        <f>EXP(-LN(2)/25)*AV110+(1-EXP(-LN(2)/25))/(LN(2)/25)*Calculateur!AQ111*Calculateur!AS111*VLOOKUP('Données projet'!$B$10,Paramètres!$A$1:$I$89,3,0)*0.475*44/12</f>
        <v>38.214854840122605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70.414528089047735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5.0961538461538449</v>
      </c>
      <c r="BD111" s="12">
        <f>IF('Données projet'!$A$88&gt;35,BD110+BC111-BL110,IF(A111&lt;'Données projet'!$A$88,$BA$205^A111,IF(A111='Données projet'!$A$88,'Données projet'!$B$88,BD110+BC111-BL110)))</f>
        <v>220.73717948717916</v>
      </c>
      <c r="BE111" s="13">
        <f>BD111*VLOOKUP('Données projet'!$B$11,Paramètres!$A$1:$I$89,3,0)*VLOOKUP('Données projet'!$B$11,Paramètres!$A$1:$I$89,5,0)</f>
        <v>223.82749999999967</v>
      </c>
      <c r="BF111" s="13">
        <f t="shared" si="91"/>
        <v>54.94593701193218</v>
      </c>
      <c r="BG111" s="20">
        <f t="shared" si="61"/>
        <v>485.53040279578119</v>
      </c>
      <c r="BH111" s="59">
        <f t="shared" si="62"/>
        <v>778.8637361291145</v>
      </c>
      <c r="BI111" s="59">
        <f ca="1">AVERAGE(OFFSET($BH$3,0,0,'Données projet'!$E$11+1,1))-AVERAGE(OFFSET($H$3,0,0,'Données projet'!$E$11+1,1))</f>
        <v>264.08050363622294</v>
      </c>
      <c r="BJ111" s="59">
        <f t="shared" si="92"/>
        <v>164.48884512322883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32.402242008040091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32.402242008040091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51.012000000000143</v>
      </c>
      <c r="D112" s="11">
        <f t="shared" si="86"/>
        <v>14.874807504914717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508.59991758179893</v>
      </c>
      <c r="H112" s="67">
        <f t="shared" si="56"/>
        <v>408.08618973772667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254.6443970237226</v>
      </c>
      <c r="T112" s="59">
        <f t="shared" si="88"/>
        <v>231.81667808018062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97.223313708806614</v>
      </c>
      <c r="AA112" s="21">
        <f>EXP(-LN(2)/25)*AA111+(1-EXP(-LN(2)/25))/(LN(2)/25)*Calculateur!V112*Calculateur!X112*VLOOKUP('Données projet'!$B$9,Paramètres!$A$1:$I$89,3,0)*0.475*44/12</f>
        <v>18.799116210081014</v>
      </c>
      <c r="AB112" s="21">
        <f>EXP(-LN(2)/2)*AB111+(1-EXP(-LN(2)/2))/(LN(2)/2)*V112*Y112*VLOOKUP('Données projet'!$B$9,Paramètres!$A$1:$I$89,3,0)*0.475*44/12</f>
        <v>5.3721870583932868E-5</v>
      </c>
      <c r="AC112" s="22">
        <f t="shared" si="57"/>
        <v>116.02248364075821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180.31844548479722</v>
      </c>
      <c r="AO112" s="59">
        <f t="shared" si="90"/>
        <v>273.83237400307223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31.568257296375116</v>
      </c>
      <c r="AV112" s="21">
        <f>EXP(-LN(2)/25)*AV111+(1-EXP(-LN(2)/25))/(LN(2)/25)*Calculateur!AQ112*Calculateur!AS112*VLOOKUP('Données projet'!$B$10,Paramètres!$A$1:$I$89,3,0)*0.475*44/12</f>
        <v>37.16986762488758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68.738124921262695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5.0961538461538449</v>
      </c>
      <c r="BD112" s="12">
        <f>IF('Données projet'!$A$88&gt;35,BD111+BC112-BL111,IF(A112&lt;'Données projet'!$A$88,$BA$205^A112,IF(A112='Données projet'!$A$88,'Données projet'!$B$88,BD111+BC112-BL111)))</f>
        <v>225.833333333333</v>
      </c>
      <c r="BE112" s="13">
        <f>BD112*VLOOKUP('Données projet'!$B$11,Paramètres!$A$1:$I$89,3,0)*VLOOKUP('Données projet'!$B$11,Paramètres!$A$1:$I$89,5,0)</f>
        <v>228.99499999999969</v>
      </c>
      <c r="BF112" s="13">
        <f t="shared" si="91"/>
        <v>56.065321681745388</v>
      </c>
      <c r="BG112" s="20">
        <f t="shared" si="61"/>
        <v>496.48006026237272</v>
      </c>
      <c r="BH112" s="59">
        <f t="shared" si="62"/>
        <v>789.81339359570597</v>
      </c>
      <c r="BI112" s="59">
        <f ca="1">AVERAGE(OFFSET($BH$3,0,0,'Données projet'!$E$11+1,1))-AVERAGE(OFFSET($H$3,0,0,'Données projet'!$E$11+1,1))</f>
        <v>264.08050363622294</v>
      </c>
      <c r="BJ112" s="59">
        <f t="shared" si="92"/>
        <v>164.48884512322883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31.766853805678576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31.766853805678576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51.480000000000146</v>
      </c>
      <c r="D113" s="11">
        <f t="shared" si="86"/>
        <v>14.995324806875265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513.14285815833648</v>
      </c>
      <c r="H113" s="67">
        <f t="shared" si="56"/>
        <v>409.11119070530799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254.6443970237226</v>
      </c>
      <c r="T113" s="59">
        <f t="shared" si="88"/>
        <v>231.81667808018062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95.316823827342859</v>
      </c>
      <c r="AA113" s="21">
        <f>EXP(-LN(2)/25)*AA112+(1-EXP(-LN(2)/25))/(LN(2)/25)*Calculateur!V113*Calculateur!X113*VLOOKUP('Données projet'!$B$9,Paramètres!$A$1:$I$89,3,0)*0.475*44/12</f>
        <v>18.285053388713791</v>
      </c>
      <c r="AB113" s="21">
        <f>EXP(-LN(2)/2)*AB112+(1-EXP(-LN(2)/2))/(LN(2)/2)*V113*Y113*VLOOKUP('Données projet'!$B$9,Paramètres!$A$1:$I$89,3,0)*0.475*44/12</f>
        <v>3.7987098987925042E-5</v>
      </c>
      <c r="AC113" s="22">
        <f t="shared" si="57"/>
        <v>113.60191520315564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180.31844548479722</v>
      </c>
      <c r="AO113" s="59">
        <f t="shared" si="90"/>
        <v>273.83237400307223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30.949223025528902</v>
      </c>
      <c r="AV113" s="21">
        <f>EXP(-LN(2)/25)*AV112+(1-EXP(-LN(2)/25))/(LN(2)/25)*Calculateur!AQ113*Calculateur!AS113*VLOOKUP('Données projet'!$B$10,Paramètres!$A$1:$I$89,3,0)*0.475*44/12</f>
        <v>36.153455640006641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67.102678665535535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5.0961538461538449</v>
      </c>
      <c r="BD113" s="12">
        <f>IF('Données projet'!$A$88&gt;35,BD112+BC113-BL112,IF(A113&lt;'Données projet'!$A$88,$BA$205^A113,IF(A113='Données projet'!$A$88,'Données projet'!$B$88,BD112+BC113-BL112)))</f>
        <v>230.92948717948684</v>
      </c>
      <c r="BE113" s="13">
        <f>BD113*VLOOKUP('Données projet'!$B$11,Paramètres!$A$1:$I$89,3,0)*VLOOKUP('Données projet'!$B$11,Paramètres!$A$1:$I$89,5,0)</f>
        <v>234.16249999999968</v>
      </c>
      <c r="BF113" s="13">
        <f t="shared" si="91"/>
        <v>57.181769678978526</v>
      </c>
      <c r="BG113" s="20">
        <f t="shared" si="61"/>
        <v>507.42460302422029</v>
      </c>
      <c r="BH113" s="59">
        <f t="shared" si="62"/>
        <v>800.7579363575536</v>
      </c>
      <c r="BI113" s="59">
        <f ca="1">AVERAGE(OFFSET($BH$3,0,0,'Données projet'!$E$11+1,1))-AVERAGE(OFFSET($H$3,0,0,'Données projet'!$E$11+1,1))</f>
        <v>264.08050363622294</v>
      </c>
      <c r="BJ113" s="59">
        <f t="shared" si="92"/>
        <v>164.48884512322883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31.143925178416833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31.143925178416833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51.94800000000015</v>
      </c>
      <c r="D114" s="11">
        <f t="shared" si="86"/>
        <v>15.115714645211932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517.68481480514595</v>
      </c>
      <c r="H114" s="67">
        <f t="shared" si="56"/>
        <v>410.13596967374434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254.6443970237226</v>
      </c>
      <c r="T114" s="59">
        <f t="shared" si="88"/>
        <v>231.81667808018062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93.447719049610598</v>
      </c>
      <c r="AA114" s="21">
        <f>EXP(-LN(2)/25)*AA113+(1-EXP(-LN(2)/25))/(LN(2)/25)*Calculateur!V114*Calculateur!X114*VLOOKUP('Données projet'!$B$9,Paramètres!$A$1:$I$89,3,0)*0.475*44/12</f>
        <v>17.785047642230246</v>
      </c>
      <c r="AB114" s="21">
        <f>EXP(-LN(2)/2)*AB113+(1-EXP(-LN(2)/2))/(LN(2)/2)*V114*Y114*VLOOKUP('Données projet'!$B$9,Paramètres!$A$1:$I$89,3,0)*0.475*44/12</f>
        <v>2.6860935291966434E-5</v>
      </c>
      <c r="AC114" s="22">
        <f t="shared" si="57"/>
        <v>111.23279355277614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180.31844548479722</v>
      </c>
      <c r="AO114" s="59">
        <f t="shared" si="90"/>
        <v>273.83237400307223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30.342327639160359</v>
      </c>
      <c r="AV114" s="21">
        <f>EXP(-LN(2)/25)*AV113+(1-EXP(-LN(2)/25))/(LN(2)/25)*Calculateur!AQ114*Calculateur!AS114*VLOOKUP('Données projet'!$B$10,Paramètres!$A$1:$I$89,3,0)*0.475*44/12</f>
        <v>35.164837494303057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65.507165133463417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5.0961538461538449</v>
      </c>
      <c r="BD114" s="12">
        <f>IF('Données projet'!$A$88&gt;35,BD113+BC114-BL113,IF(A114&lt;'Données projet'!$A$88,$BA$205^A114,IF(A114='Données projet'!$A$88,'Données projet'!$B$88,BD113+BC114-BL113)))</f>
        <v>236.02564102564068</v>
      </c>
      <c r="BE114" s="13">
        <f>BD114*VLOOKUP('Données projet'!$B$11,Paramètres!$A$1:$I$89,3,0)*VLOOKUP('Données projet'!$B$11,Paramètres!$A$1:$I$89,5,0)</f>
        <v>239.32999999999967</v>
      </c>
      <c r="BF114" s="13">
        <f t="shared" si="91"/>
        <v>58.295353272631196</v>
      </c>
      <c r="BG114" s="20">
        <f t="shared" si="61"/>
        <v>518.36415694983214</v>
      </c>
      <c r="BH114" s="59">
        <f t="shared" si="62"/>
        <v>811.69749028316551</v>
      </c>
      <c r="BI114" s="59">
        <f ca="1">AVERAGE(OFFSET($BH$3,0,0,'Données projet'!$E$11+1,1))-AVERAGE(OFFSET($H$3,0,0,'Données projet'!$E$11+1,1))</f>
        <v>264.08050363622294</v>
      </c>
      <c r="BJ114" s="59">
        <f t="shared" si="92"/>
        <v>164.48884512322883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30.533211801586745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30.533211801586745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52.416000000000153</v>
      </c>
      <c r="D115" s="11">
        <f t="shared" si="86"/>
        <v>15.23597830127307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522.22579741333709</v>
      </c>
      <c r="H115" s="67">
        <f t="shared" si="56"/>
        <v>411.1605288747175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254.6443970237226</v>
      </c>
      <c r="T115" s="59">
        <f t="shared" si="88"/>
        <v>231.81667808018062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91.615266276528317</v>
      </c>
      <c r="AA115" s="21">
        <f>EXP(-LN(2)/25)*AA114+(1-EXP(-LN(2)/25))/(LN(2)/25)*Calculateur!V115*Calculateur!X115*VLOOKUP('Données projet'!$B$9,Paramètres!$A$1:$I$89,3,0)*0.475*44/12</f>
        <v>17.298714579178451</v>
      </c>
      <c r="AB115" s="21">
        <f>EXP(-LN(2)/2)*AB114+(1-EXP(-LN(2)/2))/(LN(2)/2)*V115*Y115*VLOOKUP('Données projet'!$B$9,Paramètres!$A$1:$I$89,3,0)*0.475*44/12</f>
        <v>1.8993549493962521E-5</v>
      </c>
      <c r="AC115" s="22">
        <f t="shared" si="57"/>
        <v>108.91399984925626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180.31844548479722</v>
      </c>
      <c r="AO115" s="59">
        <f t="shared" si="90"/>
        <v>273.83237400307223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29.747333101148872</v>
      </c>
      <c r="AV115" s="21">
        <f>EXP(-LN(2)/25)*AV114+(1-EXP(-LN(2)/25))/(LN(2)/25)*Calculateur!AQ115*Calculateur!AS115*VLOOKUP('Données projet'!$B$10,Paramètres!$A$1:$I$89,3,0)*0.475*44/12</f>
        <v>34.203253163782904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63.950586264931772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5.0961538461538449</v>
      </c>
      <c r="BD115" s="12">
        <f>IF('Données projet'!$A$88&gt;35,BD114+BC115-BL114,IF(A115&lt;'Données projet'!$A$88,$BA$205^A115,IF(A115='Données projet'!$A$88,'Données projet'!$B$88,BD114+BC115-BL114)))</f>
        <v>241.12179487179452</v>
      </c>
      <c r="BE115" s="13">
        <f>BD115*VLOOKUP('Données projet'!$B$11,Paramètres!$A$1:$I$89,3,0)*VLOOKUP('Données projet'!$B$11,Paramètres!$A$1:$I$89,5,0)</f>
        <v>244.49749999999963</v>
      </c>
      <c r="BF115" s="13">
        <f t="shared" si="91"/>
        <v>59.406141432653072</v>
      </c>
      <c r="BG115" s="20">
        <f t="shared" si="61"/>
        <v>529.29884216187008</v>
      </c>
      <c r="BH115" s="59">
        <f t="shared" si="62"/>
        <v>822.63217549520346</v>
      </c>
      <c r="BI115" s="59">
        <f ca="1">AVERAGE(OFFSET($BH$3,0,0,'Données projet'!$E$11+1,1))-AVERAGE(OFFSET($H$3,0,0,'Données projet'!$E$11+1,1))</f>
        <v>264.08050363622294</v>
      </c>
      <c r="BJ115" s="59">
        <f t="shared" si="92"/>
        <v>164.48884512322883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29.934474141577919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29.934474141577919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52.884000000000157</v>
      </c>
      <c r="D116" s="11">
        <f t="shared" si="86"/>
        <v>15.356117032205747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526.76581568720349</v>
      </c>
      <c r="H116" s="67">
        <f t="shared" si="56"/>
        <v>412.1848704977586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254.6443970237226</v>
      </c>
      <c r="T116" s="59">
        <f t="shared" si="88"/>
        <v>231.81667808018062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89.818746784640354</v>
      </c>
      <c r="AA116" s="21">
        <f>EXP(-LN(2)/25)*AA115+(1-EXP(-LN(2)/25))/(LN(2)/25)*Calculateur!V116*Calculateur!X116*VLOOKUP('Données projet'!$B$9,Paramètres!$A$1:$I$89,3,0)*0.475*44/12</f>
        <v>16.825680319310955</v>
      </c>
      <c r="AB116" s="21">
        <f>EXP(-LN(2)/2)*AB115+(1-EXP(-LN(2)/2))/(LN(2)/2)*V116*Y116*VLOOKUP('Données projet'!$B$9,Paramètres!$A$1:$I$89,3,0)*0.475*44/12</f>
        <v>1.3430467645983217E-5</v>
      </c>
      <c r="AC116" s="22">
        <f t="shared" si="57"/>
        <v>106.64444053441895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180.31844548479722</v>
      </c>
      <c r="AO116" s="59">
        <f t="shared" si="90"/>
        <v>273.83237400307223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29.164006043116956</v>
      </c>
      <c r="AV116" s="21">
        <f>EXP(-LN(2)/25)*AV115+(1-EXP(-LN(2)/25))/(LN(2)/25)*Calculateur!AQ116*Calculateur!AS116*VLOOKUP('Données projet'!$B$10,Paramètres!$A$1:$I$89,3,0)*0.475*44/12</f>
        <v>33.267963407348347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62.431969450465303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>
        <f>VLOOKUP(A116,'Données projet'!$A$87:$I$107,2,0)</f>
        <v>246.21794871794873</v>
      </c>
      <c r="BB116" s="12">
        <f>VLOOKUP(A116,'Données projet'!$A$87:$I$107,9,0)</f>
        <v>5.0961538461538449</v>
      </c>
      <c r="BC116" s="12">
        <f t="array" ref="BC116">INDEX(BB:BB,MIN(IF(ISNUMBER(BB116:BB312),ROW(BB116:BB312),"")))</f>
        <v>5.0961538461538449</v>
      </c>
      <c r="BD116" s="12">
        <f>IF('Données projet'!$A$88&gt;35,BD115+BC116-BL115,IF(A116&lt;'Données projet'!$A$88,$BA$205^A116,IF(A116='Données projet'!$A$88,'Données projet'!$B$88,BD115+BC116-BL115)))</f>
        <v>246.21794871794836</v>
      </c>
      <c r="BE116" s="13">
        <f>BD116*VLOOKUP('Données projet'!$B$11,Paramètres!$A$1:$I$89,3,0)*VLOOKUP('Données projet'!$B$11,Paramètres!$A$1:$I$89,5,0)</f>
        <v>249.66499999999965</v>
      </c>
      <c r="BF116" s="13">
        <f t="shared" si="91"/>
        <v>60.514200047035814</v>
      </c>
      <c r="BG116" s="20">
        <f t="shared" si="61"/>
        <v>540.22877341525339</v>
      </c>
      <c r="BH116" s="59">
        <f t="shared" si="62"/>
        <v>833.56210674858676</v>
      </c>
      <c r="BI116" s="59">
        <f ca="1">AVERAGE(OFFSET($BH$3,0,0,'Données projet'!$E$11+1,1))-AVERAGE(OFFSET($H$3,0,0,'Données projet'!$E$11+1,1))</f>
        <v>264.08050363622294</v>
      </c>
      <c r="BJ116" s="59">
        <f t="shared" si="92"/>
        <v>164.48884512322883</v>
      </c>
      <c r="BK116" s="15">
        <f>IF(ISNA(VLOOKUP(A116,'Données projet'!$A$87:$I$107,3,0)),0,VLOOKUP(A116,'Données projet'!$A$87:$I$107,3,0))</f>
        <v>9</v>
      </c>
      <c r="BL116" s="15">
        <f>IF(ISNA(VLOOKUP(A116,'Données projet'!$A$87:$I$107,4,0)),0,VLOOKUP(A116,'Données projet'!$A$87:$I$107,4,0))</f>
        <v>31.602564102564099</v>
      </c>
      <c r="BM116" s="16">
        <f>IF(ISNA(VLOOKUP(A116,'Données projet'!$A$87:$I$107,5,0)),0%,VLOOKUP(A116,'Données projet'!$A$87:$I$107,5,0)*VLOOKUP('Données projet'!$B$11,Paramètres!$A$1:$I$89,7,0))</f>
        <v>0.30099999999999999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40.010341653840101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40.010341653840101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53.35200000000016</v>
      </c>
      <c r="D117" s="11">
        <f t="shared" si="86"/>
        <v>15.476132071622883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531.30487914937089</v>
      </c>
      <c r="H117" s="67">
        <f t="shared" si="56"/>
        <v>413.20899669141011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254.6443970237226</v>
      </c>
      <c r="T117" s="59">
        <f t="shared" si="88"/>
        <v>231.81667808018062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88.057455944219626</v>
      </c>
      <c r="AA117" s="21">
        <f>EXP(-LN(2)/25)*AA116+(1-EXP(-LN(2)/25))/(LN(2)/25)*Calculateur!V117*Calculateur!X117*VLOOKUP('Données projet'!$B$9,Paramètres!$A$1:$I$89,3,0)*0.475*44/12</f>
        <v>16.365581206155323</v>
      </c>
      <c r="AB117" s="21">
        <f>EXP(-LN(2)/2)*AB116+(1-EXP(-LN(2)/2))/(LN(2)/2)*V117*Y117*VLOOKUP('Données projet'!$B$9,Paramètres!$A$1:$I$89,3,0)*0.475*44/12</f>
        <v>9.4967747469812605E-6</v>
      </c>
      <c r="AC117" s="22">
        <f t="shared" si="57"/>
        <v>104.4230466471497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180.31844548479722</v>
      </c>
      <c r="AO117" s="59">
        <f t="shared" si="90"/>
        <v>273.83237400307223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28.59211767289867</v>
      </c>
      <c r="AV117" s="21">
        <f>EXP(-LN(2)/25)*AV116+(1-EXP(-LN(2)/25))/(LN(2)/25)*Calculateur!AQ117*Calculateur!AS117*VLOOKUP('Données projet'!$B$10,Paramètres!$A$1:$I$89,3,0)*0.475*44/12</f>
        <v>32.358249198488245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60.950366871386919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5.3066239316239274</v>
      </c>
      <c r="BD117" s="12">
        <f>IF('Données projet'!$A$88&gt;35,BD116+BC117-BL116,IF(A117&lt;'Données projet'!$A$88,$BA$205^A117,IF(A117='Données projet'!$A$88,'Données projet'!$B$88,BD116+BC117-BL116)))</f>
        <v>219.9220085470082</v>
      </c>
      <c r="BE117" s="13">
        <f>BD117*VLOOKUP('Données projet'!$B$11,Paramètres!$A$1:$I$89,3,0)*VLOOKUP('Données projet'!$B$11,Paramètres!$A$1:$I$89,5,0)</f>
        <v>223.00091666666631</v>
      </c>
      <c r="BF117" s="13">
        <f t="shared" si="91"/>
        <v>54.766604945604634</v>
      </c>
      <c r="BG117" s="20">
        <f t="shared" si="61"/>
        <v>483.77843347470525</v>
      </c>
      <c r="BH117" s="59">
        <f t="shared" si="62"/>
        <v>777.11176680803851</v>
      </c>
      <c r="BI117" s="59">
        <f ca="1">AVERAGE(OFFSET($BH$3,0,0,'Données projet'!$E$11+1,1))-AVERAGE(OFFSET($H$3,0,0,'Données projet'!$E$11+1,1))</f>
        <v>264.08050363622294</v>
      </c>
      <c r="BJ117" s="59">
        <f t="shared" si="92"/>
        <v>164.48884512322883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39.225763257907019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39.225763257907019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53.820000000000164</v>
      </c>
      <c r="D118" s="11">
        <f t="shared" si="86"/>
        <v>15.596024630246307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535.84299714576218</v>
      </c>
      <c r="H118" s="67">
        <f t="shared" si="56"/>
        <v>414.2329095643459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254.6443970237226</v>
      </c>
      <c r="T118" s="59">
        <f t="shared" si="88"/>
        <v>231.81667808018062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86.330702942898213</v>
      </c>
      <c r="AA118" s="21">
        <f>EXP(-LN(2)/25)*AA117+(1-EXP(-LN(2)/25))/(LN(2)/25)*Calculateur!V118*Calculateur!X118*VLOOKUP('Données projet'!$B$9,Paramètres!$A$1:$I$89,3,0)*0.475*44/12</f>
        <v>15.918063527444493</v>
      </c>
      <c r="AB118" s="21">
        <f>EXP(-LN(2)/2)*AB117+(1-EXP(-LN(2)/2))/(LN(2)/2)*V118*Y118*VLOOKUP('Données projet'!$B$9,Paramètres!$A$1:$I$89,3,0)*0.475*44/12</f>
        <v>6.7152338229916085E-6</v>
      </c>
      <c r="AC118" s="22">
        <f t="shared" si="57"/>
        <v>102.24877318557652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180.31844548479722</v>
      </c>
      <c r="AO118" s="59">
        <f t="shared" si="90"/>
        <v>273.83237400307223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28.031443684802902</v>
      </c>
      <c r="AV118" s="21">
        <f>EXP(-LN(2)/25)*AV117+(1-EXP(-LN(2)/25))/(LN(2)/25)*Calculateur!AQ118*Calculateur!AS118*VLOOKUP('Données projet'!$B$10,Paramètres!$A$1:$I$89,3,0)*0.475*44/12</f>
        <v>31.473411172509216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59.504854857312118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5.3066239316239274</v>
      </c>
      <c r="BD118" s="12">
        <f>IF('Données projet'!$A$88&gt;35,BD117+BC118-BL117,IF(A118&lt;'Données projet'!$A$88,$BA$205^A118,IF(A118='Données projet'!$A$88,'Données projet'!$B$88,BD117+BC118-BL117)))</f>
        <v>225.22863247863214</v>
      </c>
      <c r="BE118" s="13">
        <f>BD118*VLOOKUP('Données projet'!$B$11,Paramètres!$A$1:$I$89,3,0)*VLOOKUP('Données projet'!$B$11,Paramètres!$A$1:$I$89,5,0)</f>
        <v>228.38183333333299</v>
      </c>
      <c r="BF118" s="13">
        <f t="shared" si="91"/>
        <v>55.932652422184837</v>
      </c>
      <c r="BG118" s="20">
        <f t="shared" si="61"/>
        <v>495.18106269086019</v>
      </c>
      <c r="BH118" s="59">
        <f t="shared" si="62"/>
        <v>788.5143960241935</v>
      </c>
      <c r="BI118" s="59">
        <f ca="1">AVERAGE(OFFSET($BH$3,0,0,'Données projet'!$E$11+1,1))-AVERAGE(OFFSET($H$3,0,0,'Données projet'!$E$11+1,1))</f>
        <v>264.08050363622294</v>
      </c>
      <c r="BJ118" s="59">
        <f t="shared" si="92"/>
        <v>164.48884512322883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38.456569965772616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38.456569965772616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54.288000000000167</v>
      </c>
      <c r="D119" s="11">
        <f t="shared" si="86"/>
        <v>15.715795896526787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540.38017885038346</v>
      </c>
      <c r="H119" s="67">
        <f t="shared" si="56"/>
        <v>415.2566111864511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254.6443970237226</v>
      </c>
      <c r="T119" s="59">
        <f t="shared" si="88"/>
        <v>231.81667808018062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84.637810514717373</v>
      </c>
      <c r="AA119" s="21">
        <f>EXP(-LN(2)/25)*AA118+(1-EXP(-LN(2)/25))/(LN(2)/25)*Calculateur!V119*Calculateur!X119*VLOOKUP('Données projet'!$B$9,Paramètres!$A$1:$I$89,3,0)*0.475*44/12</f>
        <v>15.482783243191944</v>
      </c>
      <c r="AB119" s="21">
        <f>EXP(-LN(2)/2)*AB118+(1-EXP(-LN(2)/2))/(LN(2)/2)*V119*Y119*VLOOKUP('Données projet'!$B$9,Paramètres!$A$1:$I$89,3,0)*0.475*44/12</f>
        <v>4.7483873734906303E-6</v>
      </c>
      <c r="AC119" s="22">
        <f t="shared" si="57"/>
        <v>100.12059850629669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180.31844548479722</v>
      </c>
      <c r="AO119" s="59">
        <f t="shared" si="90"/>
        <v>273.83237400307223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27.481764171636328</v>
      </c>
      <c r="AV119" s="21">
        <f>EXP(-LN(2)/25)*AV118+(1-EXP(-LN(2)/25))/(LN(2)/25)*Calculateur!AQ119*Calculateur!AS119*VLOOKUP('Données projet'!$B$10,Paramètres!$A$1:$I$89,3,0)*0.475*44/12</f>
        <v>30.612769088882192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58.094533260518517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5.3066239316239274</v>
      </c>
      <c r="BD119" s="12">
        <f>IF('Données projet'!$A$88&gt;35,BD118+BC119-BL118,IF(A119&lt;'Données projet'!$A$88,$BA$205^A119,IF(A119='Données projet'!$A$88,'Données projet'!$B$88,BD118+BC119-BL118)))</f>
        <v>230.53525641025607</v>
      </c>
      <c r="BE119" s="13">
        <f>BD119*VLOOKUP('Données projet'!$B$11,Paramètres!$A$1:$I$89,3,0)*VLOOKUP('Données projet'!$B$11,Paramètres!$A$1:$I$89,5,0)</f>
        <v>233.76274999999964</v>
      </c>
      <c r="BF119" s="13">
        <f t="shared" si="91"/>
        <v>57.095506074599044</v>
      </c>
      <c r="BG119" s="20">
        <f t="shared" si="61"/>
        <v>506.57812932992596</v>
      </c>
      <c r="BH119" s="59">
        <f t="shared" si="62"/>
        <v>799.91146266325927</v>
      </c>
      <c r="BI119" s="59">
        <f ca="1">AVERAGE(OFFSET($BH$3,0,0,'Données projet'!$E$11+1,1))-AVERAGE(OFFSET($H$3,0,0,'Données projet'!$E$11+1,1))</f>
        <v>264.08050363622294</v>
      </c>
      <c r="BJ119" s="59">
        <f t="shared" si="92"/>
        <v>164.48884512322883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37.702460084935389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37.702460084935389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54.756000000000171</v>
      </c>
      <c r="D120" s="11">
        <f t="shared" si="86"/>
        <v>15.835447037242094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544.91643326994028</v>
      </c>
      <c r="H120" s="67">
        <f t="shared" si="56"/>
        <v>416.28010358986359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254.6443970237226</v>
      </c>
      <c r="T120" s="59">
        <f t="shared" si="88"/>
        <v>231.81667808018062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82.97811467449074</v>
      </c>
      <c r="AA120" s="21">
        <f>EXP(-LN(2)/25)*AA119+(1-EXP(-LN(2)/25))/(LN(2)/25)*Calculateur!V120*Calculateur!X120*VLOOKUP('Données projet'!$B$9,Paramètres!$A$1:$I$89,3,0)*0.475*44/12</f>
        <v>15.059405721202676</v>
      </c>
      <c r="AB120" s="21">
        <f>EXP(-LN(2)/2)*AB119+(1-EXP(-LN(2)/2))/(LN(2)/2)*V120*Y120*VLOOKUP('Données projet'!$B$9,Paramètres!$A$1:$I$89,3,0)*0.475*44/12</f>
        <v>3.3576169114958043E-6</v>
      </c>
      <c r="AC120" s="22">
        <f t="shared" si="57"/>
        <v>98.037523753310325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180.31844548479722</v>
      </c>
      <c r="AO120" s="59">
        <f t="shared" si="90"/>
        <v>273.83237400307223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26.942863538451554</v>
      </c>
      <c r="AV120" s="21">
        <f>EXP(-LN(2)/25)*AV119+(1-EXP(-LN(2)/25))/(LN(2)/25)*Calculateur!AQ120*Calculateur!AS120*VLOOKUP('Données projet'!$B$10,Paramètres!$A$1:$I$89,3,0)*0.475*44/12</f>
        <v>29.775661308291149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56.718524846742703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5.3066239316239274</v>
      </c>
      <c r="BD120" s="12">
        <f>IF('Données projet'!$A$88&gt;35,BD119+BC120-BL119,IF(A120&lt;'Données projet'!$A$88,$BA$205^A120,IF(A120='Données projet'!$A$88,'Données projet'!$B$88,BD119+BC120-BL119)))</f>
        <v>235.84188034188</v>
      </c>
      <c r="BE120" s="13">
        <f>BD120*VLOOKUP('Données projet'!$B$11,Paramètres!$A$1:$I$89,3,0)*VLOOKUP('Données projet'!$B$11,Paramètres!$A$1:$I$89,5,0)</f>
        <v>239.14366666666635</v>
      </c>
      <c r="BF120" s="13">
        <f t="shared" si="91"/>
        <v>58.255247882792112</v>
      </c>
      <c r="BG120" s="20">
        <f t="shared" si="61"/>
        <v>517.96977617364007</v>
      </c>
      <c r="BH120" s="59">
        <f t="shared" si="62"/>
        <v>811.30310950697344</v>
      </c>
      <c r="BI120" s="59">
        <f ca="1">AVERAGE(OFFSET($BH$3,0,0,'Données projet'!$E$11+1,1))-AVERAGE(OFFSET($H$3,0,0,'Données projet'!$E$11+1,1))</f>
        <v>264.08050363622294</v>
      </c>
      <c r="BJ120" s="59">
        <f t="shared" si="92"/>
        <v>164.48884512322883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36.963137838899769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36.963137838899769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55.224000000000174</v>
      </c>
      <c r="D121" s="11">
        <f t="shared" si="86"/>
        <v>15.954979198073998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549.45176924829184</v>
      </c>
      <c r="H121" s="67">
        <f t="shared" si="56"/>
        <v>417.30338876997916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254.6443970237226</v>
      </c>
      <c r="T121" s="59">
        <f t="shared" si="88"/>
        <v>231.81667808018062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81.350964457376449</v>
      </c>
      <c r="AA121" s="21">
        <f>EXP(-LN(2)/25)*AA120+(1-EXP(-LN(2)/25))/(LN(2)/25)*Calculateur!V121*Calculateur!X121*VLOOKUP('Données projet'!$B$9,Paramètres!$A$1:$I$89,3,0)*0.475*44/12</f>
        <v>14.647605479816662</v>
      </c>
      <c r="AB121" s="21">
        <f>EXP(-LN(2)/2)*AB120+(1-EXP(-LN(2)/2))/(LN(2)/2)*V121*Y121*VLOOKUP('Données projet'!$B$9,Paramètres!$A$1:$I$89,3,0)*0.475*44/12</f>
        <v>2.3741936867453151E-6</v>
      </c>
      <c r="AC121" s="22">
        <f t="shared" si="57"/>
        <v>95.998572311386795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180.31844548479722</v>
      </c>
      <c r="AO121" s="59">
        <f t="shared" si="90"/>
        <v>273.83237400307223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26.414530417986601</v>
      </c>
      <c r="AV121" s="21">
        <f>EXP(-LN(2)/25)*AV120+(1-EXP(-LN(2)/25))/(LN(2)/25)*Calculateur!AQ121*Calculateur!AS121*VLOOKUP('Données projet'!$B$10,Paramètres!$A$1:$I$89,3,0)*0.475*44/12</f>
        <v>28.961444283981951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55.375974701968552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5.3066239316239274</v>
      </c>
      <c r="BD121" s="12">
        <f>IF('Données projet'!$A$88&gt;35,BD120+BC121-BL120,IF(A121&lt;'Données projet'!$A$88,$BA$205^A121,IF(A121='Données projet'!$A$88,'Données projet'!$B$88,BD120+BC121-BL120)))</f>
        <v>241.14850427350393</v>
      </c>
      <c r="BE121" s="13">
        <f>BD121*VLOOKUP('Données projet'!$B$11,Paramètres!$A$1:$I$89,3,0)*VLOOKUP('Données projet'!$B$11,Paramètres!$A$1:$I$89,5,0)</f>
        <v>244.52458333333303</v>
      </c>
      <c r="BF121" s="13">
        <f t="shared" si="91"/>
        <v>59.41195592689057</v>
      </c>
      <c r="BG121" s="20">
        <f t="shared" si="61"/>
        <v>529.35613921155607</v>
      </c>
      <c r="BH121" s="59">
        <f t="shared" si="62"/>
        <v>822.68947254488944</v>
      </c>
      <c r="BI121" s="59">
        <f ca="1">AVERAGE(OFFSET($BH$3,0,0,'Données projet'!$E$11+1,1))-AVERAGE(OFFSET($H$3,0,0,'Données projet'!$E$11+1,1))</f>
        <v>264.08050363622294</v>
      </c>
      <c r="BJ121" s="59">
        <f t="shared" si="92"/>
        <v>164.48884512322883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36.238313251166865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36.238313251166865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55.692000000000178</v>
      </c>
      <c r="D122" s="11">
        <f t="shared" si="86"/>
        <v>16.074393504165254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553.98619547075066</v>
      </c>
      <c r="H122" s="67">
        <f t="shared" si="56"/>
        <v>418.32646868642144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254.6443970237226</v>
      </c>
      <c r="T122" s="59">
        <f t="shared" si="88"/>
        <v>231.81667808018062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79.75572166355613</v>
      </c>
      <c r="AA122" s="21">
        <f>EXP(-LN(2)/25)*AA121+(1-EXP(-LN(2)/25))/(LN(2)/25)*Calculateur!V122*Calculateur!X122*VLOOKUP('Données projet'!$B$9,Paramètres!$A$1:$I$89,3,0)*0.475*44/12</f>
        <v>14.24706593768698</v>
      </c>
      <c r="AB122" s="21">
        <f>EXP(-LN(2)/2)*AB121+(1-EXP(-LN(2)/2))/(LN(2)/2)*V122*Y122*VLOOKUP('Données projet'!$B$9,Paramètres!$A$1:$I$89,3,0)*0.475*44/12</f>
        <v>1.6788084557479021E-6</v>
      </c>
      <c r="AC122" s="22">
        <f t="shared" si="57"/>
        <v>94.002789280051573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180.31844548479722</v>
      </c>
      <c r="AO122" s="59">
        <f t="shared" si="90"/>
        <v>273.83237400307223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25.896557587762583</v>
      </c>
      <c r="AV122" s="21">
        <f>EXP(-LN(2)/25)*AV121+(1-EXP(-LN(2)/25))/(LN(2)/25)*Calculateur!AQ122*Calculateur!AS122*VLOOKUP('Données projet'!$B$10,Paramètres!$A$1:$I$89,3,0)*0.475*44/12</f>
        <v>28.1694920670203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54.066049654782887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5.3066239316239274</v>
      </c>
      <c r="BD122" s="12">
        <f>IF('Données projet'!$A$88&gt;35,BD121+BC122-BL121,IF(A122&lt;'Données projet'!$A$88,$BA$205^A122,IF(A122='Données projet'!$A$88,'Données projet'!$B$88,BD121+BC122-BL121)))</f>
        <v>246.45512820512786</v>
      </c>
      <c r="BE122" s="13">
        <f>BD122*VLOOKUP('Données projet'!$B$11,Paramètres!$A$1:$I$89,3,0)*VLOOKUP('Données projet'!$B$11,Paramètres!$A$1:$I$89,5,0)</f>
        <v>249.90549999999968</v>
      </c>
      <c r="BF122" s="13">
        <f t="shared" si="91"/>
        <v>60.565704654390196</v>
      </c>
      <c r="BG122" s="20">
        <f t="shared" si="61"/>
        <v>540.73734810639564</v>
      </c>
      <c r="BH122" s="59">
        <f t="shared" si="62"/>
        <v>834.07068143972901</v>
      </c>
      <c r="BI122" s="59">
        <f ca="1">AVERAGE(OFFSET($BH$3,0,0,'Données projet'!$E$11+1,1))-AVERAGE(OFFSET($H$3,0,0,'Données projet'!$E$11+1,1))</f>
        <v>264.08050363622294</v>
      </c>
      <c r="BJ122" s="59">
        <f t="shared" si="92"/>
        <v>164.48884512322883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35.527702031500056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35.527702031500056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56.160000000000181</v>
      </c>
      <c r="D123" s="11">
        <f t="shared" si="86"/>
        <v>16.193691060657081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558.51972046823164</v>
      </c>
      <c r="H123" s="67">
        <f t="shared" si="56"/>
        <v>419.34934526397802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254.6443970237226</v>
      </c>
      <c r="T123" s="59">
        <f t="shared" si="88"/>
        <v>231.81667808018062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78.1917606079206</v>
      </c>
      <c r="AA123" s="21">
        <f>EXP(-LN(2)/25)*AA122+(1-EXP(-LN(2)/25))/(LN(2)/25)*Calculateur!V123*Calculateur!X123*VLOOKUP('Données projet'!$B$9,Paramètres!$A$1:$I$89,3,0)*0.475*44/12</f>
        <v>13.857479170400294</v>
      </c>
      <c r="AB123" s="21">
        <f>EXP(-LN(2)/2)*AB122+(1-EXP(-LN(2)/2))/(LN(2)/2)*V123*Y123*VLOOKUP('Données projet'!$B$9,Paramètres!$A$1:$I$89,3,0)*0.475*44/12</f>
        <v>1.1870968433726576E-6</v>
      </c>
      <c r="AC123" s="22">
        <f t="shared" si="57"/>
        <v>92.049240965417738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180.31844548479722</v>
      </c>
      <c r="AO123" s="59">
        <f t="shared" si="90"/>
        <v>273.83237400307223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25.388741888807026</v>
      </c>
      <c r="AV123" s="21">
        <f>EXP(-LN(2)/25)*AV122+(1-EXP(-LN(2)/25))/(LN(2)/25)*Calculateur!AQ123*Calculateur!AS123*VLOOKUP('Données projet'!$B$10,Paramètres!$A$1:$I$89,3,0)*0.475*44/12</f>
        <v>27.399195825078426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52.787937713885455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5.3066239316239274</v>
      </c>
      <c r="BD123" s="12">
        <f>IF('Données projet'!$A$88&gt;35,BD122+BC123-BL122,IF(A123&lt;'Données projet'!$A$88,$BA$205^A123,IF(A123='Données projet'!$A$88,'Données projet'!$B$88,BD122+BC123-BL122)))</f>
        <v>251.7617521367518</v>
      </c>
      <c r="BE123" s="13">
        <f>BD123*VLOOKUP('Données projet'!$B$11,Paramètres!$A$1:$I$89,3,0)*VLOOKUP('Données projet'!$B$11,Paramètres!$A$1:$I$89,5,0)</f>
        <v>255.28641666666636</v>
      </c>
      <c r="BF123" s="13">
        <f t="shared" si="91"/>
        <v>61.716565123681811</v>
      </c>
      <c r="BG123" s="20">
        <f t="shared" si="61"/>
        <v>552.11352661818967</v>
      </c>
      <c r="BH123" s="59">
        <f t="shared" si="62"/>
        <v>845.44685995152304</v>
      </c>
      <c r="BI123" s="59">
        <f ca="1">AVERAGE(OFFSET($BH$3,0,0,'Données projet'!$E$11+1,1))-AVERAGE(OFFSET($H$3,0,0,'Données projet'!$E$11+1,1))</f>
        <v>264.08050363622294</v>
      </c>
      <c r="BJ123" s="59">
        <f t="shared" si="92"/>
        <v>164.48884512322883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34.831025464420868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34.831025464420868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56.628000000000185</v>
      </c>
      <c r="D124" s="11">
        <f t="shared" si="86"/>
        <v>16.312872953208569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563.05235262126064</v>
      </c>
      <c r="H124" s="67">
        <f t="shared" si="56"/>
        <v>420.37202039350524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254.6443970237226</v>
      </c>
      <c r="T124" s="59">
        <f t="shared" si="88"/>
        <v>231.81667808018062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76.658467874664026</v>
      </c>
      <c r="AA124" s="21">
        <f>EXP(-LN(2)/25)*AA123+(1-EXP(-LN(2)/25))/(LN(2)/25)*Calculateur!V124*Calculateur!X124*VLOOKUP('Données projet'!$B$9,Paramètres!$A$1:$I$89,3,0)*0.475*44/12</f>
        <v>13.47854567375254</v>
      </c>
      <c r="AB124" s="21">
        <f>EXP(-LN(2)/2)*AB123+(1-EXP(-LN(2)/2))/(LN(2)/2)*V124*Y124*VLOOKUP('Données projet'!$B$9,Paramètres!$A$1:$I$89,3,0)*0.475*44/12</f>
        <v>8.3940422787395107E-7</v>
      </c>
      <c r="AC124" s="22">
        <f t="shared" si="57"/>
        <v>90.137014387820784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180.31844548479722</v>
      </c>
      <c r="AO124" s="59">
        <f t="shared" si="90"/>
        <v>273.83237400307223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24.890884145970997</v>
      </c>
      <c r="AV124" s="21">
        <f>EXP(-LN(2)/25)*AV123+(1-EXP(-LN(2)/25))/(LN(2)/25)*Calculateur!AQ124*Calculateur!AS124*VLOOKUP('Données projet'!$B$10,Paramètres!$A$1:$I$89,3,0)*0.475*44/12</f>
        <v>26.649963374380569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51.540847520351562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5.3066239316239274</v>
      </c>
      <c r="BD124" s="12">
        <f>IF('Données projet'!$A$88&gt;35,BD123+BC124-BL123,IF(A124&lt;'Données projet'!$A$88,$BA$205^A124,IF(A124='Données projet'!$A$88,'Données projet'!$B$88,BD123+BC124-BL123)))</f>
        <v>257.0683760683757</v>
      </c>
      <c r="BE124" s="13">
        <f>BD124*VLOOKUP('Données projet'!$B$11,Paramètres!$A$1:$I$89,3,0)*VLOOKUP('Données projet'!$B$11,Paramètres!$A$1:$I$89,5,0)</f>
        <v>260.66733333333298</v>
      </c>
      <c r="BF124" s="13">
        <f t="shared" si="91"/>
        <v>62.864605226466139</v>
      </c>
      <c r="BG124" s="20">
        <f t="shared" si="61"/>
        <v>563.48479299165012</v>
      </c>
      <c r="BH124" s="59">
        <f t="shared" si="62"/>
        <v>856.8181263249835</v>
      </c>
      <c r="BI124" s="59">
        <f ca="1">AVERAGE(OFFSET($BH$3,0,0,'Données projet'!$E$11+1,1))-AVERAGE(OFFSET($H$3,0,0,'Données projet'!$E$11+1,1))</f>
        <v>264.08050363622294</v>
      </c>
      <c r="BJ124" s="59">
        <f t="shared" si="92"/>
        <v>164.48884512322883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34.148010299891354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34.148010299891354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57.096000000000188</v>
      </c>
      <c r="D125" s="11">
        <f t="shared" si="86"/>
        <v>16.431940248498069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567.58410016384607</v>
      </c>
      <c r="H125" s="67">
        <f t="shared" si="56"/>
        <v>421.39449593280108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254.6443970237226</v>
      </c>
      <c r="T125" s="59">
        <f t="shared" si="88"/>
        <v>231.81667808018062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75.155242076690399</v>
      </c>
      <c r="AA125" s="21">
        <f>EXP(-LN(2)/25)*AA124+(1-EXP(-LN(2)/25))/(LN(2)/25)*Calculateur!V125*Calculateur!X125*VLOOKUP('Données projet'!$B$9,Paramètres!$A$1:$I$89,3,0)*0.475*44/12</f>
        <v>13.109974133497866</v>
      </c>
      <c r="AB125" s="21">
        <f>EXP(-LN(2)/2)*AB124+(1-EXP(-LN(2)/2))/(LN(2)/2)*V125*Y125*VLOOKUP('Données projet'!$B$9,Paramètres!$A$1:$I$89,3,0)*0.475*44/12</f>
        <v>5.9354842168632878E-7</v>
      </c>
      <c r="AC125" s="22">
        <f t="shared" si="57"/>
        <v>88.265216803736692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180.31844548479722</v>
      </c>
      <c r="AO125" s="59">
        <f t="shared" si="90"/>
        <v>273.83237400307223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24.402789089808742</v>
      </c>
      <c r="AV125" s="21">
        <f>EXP(-LN(2)/25)*AV124+(1-EXP(-LN(2)/25))/(LN(2)/25)*Calculateur!AQ125*Calculateur!AS125*VLOOKUP('Données projet'!$B$10,Paramètres!$A$1:$I$89,3,0)*0.475*44/12</f>
        <v>25.921218724447467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50.324007814256206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5.3066239316239274</v>
      </c>
      <c r="BD125" s="12">
        <f>IF('Données projet'!$A$88&gt;35,BD124+BC125-BL124,IF(A125&lt;'Données projet'!$A$88,$BA$205^A125,IF(A125='Données projet'!$A$88,'Données projet'!$B$88,BD124+BC125-BL124)))</f>
        <v>262.3749999999996</v>
      </c>
      <c r="BE125" s="13">
        <f>BD125*VLOOKUP('Données projet'!$B$11,Paramètres!$A$1:$I$89,3,0)*VLOOKUP('Données projet'!$B$11,Paramètres!$A$1:$I$89,5,0)</f>
        <v>266.04824999999965</v>
      </c>
      <c r="BF125" s="13">
        <f t="shared" si="91"/>
        <v>64.009889891284331</v>
      </c>
      <c r="BG125" s="20">
        <f t="shared" si="61"/>
        <v>574.85126031065295</v>
      </c>
      <c r="BH125" s="59">
        <f t="shared" si="62"/>
        <v>868.18459364398632</v>
      </c>
      <c r="BI125" s="59">
        <f ca="1">AVERAGE(OFFSET($BH$3,0,0,'Données projet'!$E$11+1,1))-AVERAGE(OFFSET($H$3,0,0,'Données projet'!$E$11+1,1))</f>
        <v>264.08050363622294</v>
      </c>
      <c r="BJ125" s="59">
        <f t="shared" si="92"/>
        <v>164.48884512322883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33.478388646140154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33.478388646140154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57.564000000000192</v>
      </c>
      <c r="D126" s="11">
        <f t="shared" si="86"/>
        <v>16.55089399470792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572.11497118722059</v>
      </c>
      <c r="H126" s="67">
        <f t="shared" si="56"/>
        <v>422.41677370744992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254.6443970237226</v>
      </c>
      <c r="T126" s="59">
        <f t="shared" si="88"/>
        <v>231.81667808018062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73.681493619737822</v>
      </c>
      <c r="AA126" s="21">
        <f>EXP(-LN(2)/25)*AA125+(1-EXP(-LN(2)/25))/(LN(2)/25)*Calculateur!V126*Calculateur!X126*VLOOKUP('Données projet'!$B$9,Paramètres!$A$1:$I$89,3,0)*0.475*44/12</f>
        <v>12.751481201393791</v>
      </c>
      <c r="AB126" s="21">
        <f>EXP(-LN(2)/2)*AB125+(1-EXP(-LN(2)/2))/(LN(2)/2)*V126*Y126*VLOOKUP('Données projet'!$B$9,Paramètres!$A$1:$I$89,3,0)*0.475*44/12</f>
        <v>4.1970211393697553E-7</v>
      </c>
      <c r="AC126" s="22">
        <f t="shared" si="57"/>
        <v>86.432975240833727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180.31844548479722</v>
      </c>
      <c r="AO126" s="59">
        <f t="shared" si="90"/>
        <v>273.83237400307223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23.924265279989243</v>
      </c>
      <c r="AV126" s="21">
        <f>EXP(-LN(2)/25)*AV125+(1-EXP(-LN(2)/25))/(LN(2)/25)*Calculateur!AQ126*Calculateur!AS126*VLOOKUP('Données projet'!$B$10,Paramètres!$A$1:$I$89,3,0)*0.475*44/12</f>
        <v>25.212401635289801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49.136666915279044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5.3066239316239274</v>
      </c>
      <c r="BD126" s="12">
        <f>IF('Données projet'!$A$88&gt;35,BD125+BC126-BL125,IF(A126&lt;'Données projet'!$A$88,$BA$205^A126,IF(A126='Données projet'!$A$88,'Données projet'!$B$88,BD125+BC126-BL125)))</f>
        <v>267.68162393162351</v>
      </c>
      <c r="BE126" s="13">
        <f>BD126*VLOOKUP('Données projet'!$B$11,Paramètres!$A$1:$I$89,3,0)*VLOOKUP('Données projet'!$B$11,Paramètres!$A$1:$I$89,5,0)</f>
        <v>271.42916666666628</v>
      </c>
      <c r="BF126" s="13">
        <f t="shared" si="91"/>
        <v>65.152481270117946</v>
      </c>
      <c r="BG126" s="20">
        <f t="shared" si="61"/>
        <v>586.21303682323253</v>
      </c>
      <c r="BH126" s="59">
        <f t="shared" si="62"/>
        <v>879.5463701565659</v>
      </c>
      <c r="BI126" s="59">
        <f ca="1">AVERAGE(OFFSET($BH$3,0,0,'Données projet'!$E$11+1,1))-AVERAGE(OFFSET($H$3,0,0,'Données projet'!$E$11+1,1))</f>
        <v>264.08050363622294</v>
      </c>
      <c r="BJ126" s="59">
        <f t="shared" si="92"/>
        <v>164.48884512322883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32.821897864590134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32.821897864590134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58.032000000000195</v>
      </c>
      <c r="D127" s="11">
        <f t="shared" si="86"/>
        <v>16.669735221992848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576.64497364345516</v>
      </c>
      <c r="H127" s="67">
        <f t="shared" si="56"/>
        <v>423.43885551163788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254.6443970237226</v>
      </c>
      <c r="T127" s="59">
        <f t="shared" si="88"/>
        <v>231.81667808018062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72.236644471128287</v>
      </c>
      <c r="AA127" s="21">
        <f>EXP(-LN(2)/25)*AA126+(1-EXP(-LN(2)/25))/(LN(2)/25)*Calculateur!V127*Calculateur!X127*VLOOKUP('Données projet'!$B$9,Paramètres!$A$1:$I$89,3,0)*0.475*44/12</f>
        <v>12.402791277370424</v>
      </c>
      <c r="AB127" s="21">
        <f>EXP(-LN(2)/2)*AB126+(1-EXP(-LN(2)/2))/(LN(2)/2)*V127*Y127*VLOOKUP('Données projet'!$B$9,Paramètres!$A$1:$I$89,3,0)*0.475*44/12</f>
        <v>2.9677421084316439E-7</v>
      </c>
      <c r="AC127" s="22">
        <f t="shared" si="57"/>
        <v>84.63943604527293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180.31844548479722</v>
      </c>
      <c r="AO127" s="59">
        <f t="shared" si="90"/>
        <v>273.83237400307223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23.455125030209597</v>
      </c>
      <c r="AV127" s="21">
        <f>EXP(-LN(2)/25)*AV126+(1-EXP(-LN(2)/25))/(LN(2)/25)*Calculateur!AQ127*Calculateur!AS127*VLOOKUP('Données projet'!$B$10,Paramètres!$A$1:$I$89,3,0)*0.475*44/12</f>
        <v>24.522967186710222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47.978092216919819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5.3066239316239274</v>
      </c>
      <c r="BD127" s="12">
        <f>IF('Données projet'!$A$88&gt;35,BD126+BC127-BL126,IF(A127&lt;'Données projet'!$A$88,$BA$205^A127,IF(A127='Données projet'!$A$88,'Données projet'!$B$88,BD126+BC127-BL126)))</f>
        <v>272.98824786324741</v>
      </c>
      <c r="BE127" s="13">
        <f>BD127*VLOOKUP('Données projet'!$B$11,Paramètres!$A$1:$I$89,3,0)*VLOOKUP('Données projet'!$B$11,Paramètres!$A$1:$I$89,5,0)</f>
        <v>276.8100833333329</v>
      </c>
      <c r="BF127" s="13">
        <f t="shared" si="91"/>
        <v>66.292438909774205</v>
      </c>
      <c r="BG127" s="20">
        <f t="shared" si="61"/>
        <v>597.57022624007823</v>
      </c>
      <c r="BH127" s="59">
        <f t="shared" si="62"/>
        <v>890.90355957341148</v>
      </c>
      <c r="BI127" s="59">
        <f ca="1">AVERAGE(OFFSET($BH$3,0,0,'Données projet'!$E$11+1,1))-AVERAGE(OFFSET($H$3,0,0,'Données projet'!$E$11+1,1))</f>
        <v>264.08050363622294</v>
      </c>
      <c r="BJ127" s="59">
        <f t="shared" si="92"/>
        <v>164.48884512322883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32.178280466846466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32.178280466846466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58.500000000000199</v>
      </c>
      <c r="D128" s="11">
        <f t="shared" si="86"/>
        <v>16.788464942932855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581.17411534895689</v>
      </c>
      <c r="H128" s="67">
        <f t="shared" si="56"/>
        <v>424.4607431089417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254.6443970237226</v>
      </c>
      <c r="T128" s="59">
        <f t="shared" si="88"/>
        <v>231.81667808018062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70.820127933052021</v>
      </c>
      <c r="AA128" s="21">
        <f>EXP(-LN(2)/25)*AA127+(1-EXP(-LN(2)/25))/(LN(2)/25)*Calculateur!V128*Calculateur!X128*VLOOKUP('Données projet'!$B$9,Paramètres!$A$1:$I$89,3,0)*0.475*44/12</f>
        <v>12.063636297656284</v>
      </c>
      <c r="AB128" s="21">
        <f>EXP(-LN(2)/2)*AB127+(1-EXP(-LN(2)/2))/(LN(2)/2)*V128*Y128*VLOOKUP('Données projet'!$B$9,Paramètres!$A$1:$I$89,3,0)*0.475*44/12</f>
        <v>2.0985105696848777E-7</v>
      </c>
      <c r="AC128" s="22">
        <f t="shared" si="57"/>
        <v>82.883764440559361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180.31844548479722</v>
      </c>
      <c r="AO128" s="59">
        <f t="shared" si="90"/>
        <v>273.83237400307223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22.995184334580834</v>
      </c>
      <c r="AV128" s="21">
        <f>EXP(-LN(2)/25)*AV127+(1-EXP(-LN(2)/25))/(LN(2)/25)*Calculateur!AQ128*Calculateur!AS128*VLOOKUP('Données projet'!$B$10,Paramètres!$A$1:$I$89,3,0)*0.475*44/12</f>
        <v>23.852385359382833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46.847569693963663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>
        <f>VLOOKUP(A128,'Données projet'!$A$87:$I$107,2,0)</f>
        <v>278.29487179487177</v>
      </c>
      <c r="BB128" s="12">
        <f>VLOOKUP(A128,'Données projet'!$A$87:$I$107,9,0)</f>
        <v>5.3066239316239274</v>
      </c>
      <c r="BC128" s="12">
        <f t="array" ref="BC128">INDEX(BB:BB,MIN(IF(ISNUMBER(BB128:BB324),ROW(BB128:BB324),"")))</f>
        <v>5.3066239316239274</v>
      </c>
      <c r="BD128" s="12">
        <f>IF('Données projet'!$A$88&gt;35,BD127+BC128-BL127,IF(A128&lt;'Données projet'!$A$88,$BA$205^A128,IF(A128='Données projet'!$A$88,'Données projet'!$B$88,BD127+BC128-BL127)))</f>
        <v>278.29487179487131</v>
      </c>
      <c r="BE128" s="13">
        <f>BD128*VLOOKUP('Données projet'!$B$11,Paramètres!$A$1:$I$89,3,0)*VLOOKUP('Données projet'!$B$11,Paramètres!$A$1:$I$89,5,0)</f>
        <v>282.19099999999952</v>
      </c>
      <c r="BF128" s="13">
        <f t="shared" si="91"/>
        <v>67.429819909567854</v>
      </c>
      <c r="BG128" s="20">
        <f t="shared" si="61"/>
        <v>608.92292800916312</v>
      </c>
      <c r="BH128" s="59">
        <f t="shared" si="62"/>
        <v>902.25626134249637</v>
      </c>
      <c r="BI128" s="59">
        <f ca="1">AVERAGE(OFFSET($BH$3,0,0,'Données projet'!$E$11+1,1))-AVERAGE(OFFSET($H$3,0,0,'Données projet'!$E$11+1,1))</f>
        <v>264.08050363622294</v>
      </c>
      <c r="BJ128" s="59">
        <f t="shared" si="92"/>
        <v>164.48884512322883</v>
      </c>
      <c r="BK128" s="15">
        <f>IF(ISNA(VLOOKUP(A128,'Données projet'!$A$87:$I$107,3,0)),0,VLOOKUP(A128,'Données projet'!$A$87:$I$107,3,0))</f>
        <v>10</v>
      </c>
      <c r="BL128" s="15">
        <f>IF(ISNA(VLOOKUP(A128,'Données projet'!$A$87:$I$107,4,0)),0,VLOOKUP(A128,'Données projet'!$A$87:$I$107,4,0))</f>
        <v>48.160256410256409</v>
      </c>
      <c r="BM128" s="16">
        <f>IF(ISNA(VLOOKUP(A128,'Données projet'!$A$87:$I$107,5,0)),0%,VLOOKUP(A128,'Données projet'!$A$87:$I$107,5,0)*VLOOKUP('Données projet'!$B$11,Paramètres!$A$1:$I$89,7,0))</f>
        <v>0.30099999999999999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47.796797081744565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47.796797081744565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58.968000000000202</v>
      </c>
      <c r="D129" s="11">
        <f t="shared" si="86"/>
        <v>16.907084152971169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585.70240398784915</v>
      </c>
      <c r="H129" s="67">
        <f t="shared" si="56"/>
        <v>425.48243823309178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254.6443970237226</v>
      </c>
      <c r="T129" s="59">
        <f t="shared" si="88"/>
        <v>231.81667808018062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69.431388420297651</v>
      </c>
      <c r="AA129" s="21">
        <f>EXP(-LN(2)/25)*AA128+(1-EXP(-LN(2)/25))/(LN(2)/25)*Calculateur!V129*Calculateur!X129*VLOOKUP('Données projet'!$B$9,Paramètres!$A$1:$I$89,3,0)*0.475*44/12</f>
        <v>11.733755528697813</v>
      </c>
      <c r="AB129" s="21">
        <f>EXP(-LN(2)/2)*AB128+(1-EXP(-LN(2)/2))/(LN(2)/2)*V129*Y129*VLOOKUP('Données projet'!$B$9,Paramètres!$A$1:$I$89,3,0)*0.475*44/12</f>
        <v>1.483871054215822E-7</v>
      </c>
      <c r="AC129" s="22">
        <f t="shared" si="57"/>
        <v>81.165144097382566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180.31844548479722</v>
      </c>
      <c r="AO129" s="59">
        <f t="shared" si="90"/>
        <v>273.83237400307223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22.544262795457229</v>
      </c>
      <c r="AV129" s="21">
        <f>EXP(-LN(2)/25)*AV128+(1-EXP(-LN(2)/25))/(LN(2)/25)*Calculateur!AQ129*Calculateur!AS129*VLOOKUP('Données projet'!$B$10,Paramètres!$A$1:$I$89,3,0)*0.475*44/12</f>
        <v>23.200140627388077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45.744403422845309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5.2446581196581219</v>
      </c>
      <c r="BD129" s="12">
        <f>IF('Données projet'!$A$88&gt;35,BD128+BC129-BL128,IF(A129&lt;'Données projet'!$A$88,$BA$205^A129,IF(A129='Données projet'!$A$88,'Données projet'!$B$88,BD128+BC129-BL128)))</f>
        <v>235.37927350427304</v>
      </c>
      <c r="BE129" s="13">
        <f>BD129*VLOOKUP('Données projet'!$B$11,Paramètres!$A$1:$I$89,3,0)*VLOOKUP('Données projet'!$B$11,Paramètres!$A$1:$I$89,5,0)</f>
        <v>238.67458333333289</v>
      </c>
      <c r="BF129" s="13">
        <f t="shared" si="91"/>
        <v>58.154268783384175</v>
      </c>
      <c r="BG129" s="20">
        <f t="shared" si="61"/>
        <v>516.97691743661551</v>
      </c>
      <c r="BH129" s="59">
        <f t="shared" si="62"/>
        <v>810.31025076994888</v>
      </c>
      <c r="BI129" s="59">
        <f ca="1">AVERAGE(OFFSET($BH$3,0,0,'Données projet'!$E$11+1,1))-AVERAGE(OFFSET($H$3,0,0,'Données projet'!$E$11+1,1))</f>
        <v>264.08050363622294</v>
      </c>
      <c r="BJ129" s="59">
        <f t="shared" si="92"/>
        <v>164.48884512322883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46.859531044139139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46.859531044139139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59.436000000000206</v>
      </c>
      <c r="D130" s="11">
        <f t="shared" si="86"/>
        <v>17.025593830837963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590.22984711524202</v>
      </c>
      <c r="H130" s="67">
        <f t="shared" si="56"/>
        <v>426.50394258870983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254.6443970237226</v>
      </c>
      <c r="T130" s="59">
        <f t="shared" si="88"/>
        <v>231.81667808018062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68.069881242340941</v>
      </c>
      <c r="AA130" s="21">
        <f>EXP(-LN(2)/25)*AA129+(1-EXP(-LN(2)/25))/(LN(2)/25)*Calculateur!V130*Calculateur!X130*VLOOKUP('Données projet'!$B$9,Paramètres!$A$1:$I$89,3,0)*0.475*44/12</f>
        <v>11.412895366714187</v>
      </c>
      <c r="AB130" s="21">
        <f>EXP(-LN(2)/2)*AB129+(1-EXP(-LN(2)/2))/(LN(2)/2)*V130*Y130*VLOOKUP('Données projet'!$B$9,Paramètres!$A$1:$I$89,3,0)*0.475*44/12</f>
        <v>1.0492552848424388E-7</v>
      </c>
      <c r="AC130" s="22">
        <f t="shared" si="57"/>
        <v>79.482776713980655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180.31844548479722</v>
      </c>
      <c r="AO130" s="59">
        <f t="shared" si="90"/>
        <v>273.83237400307223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22.102183552680856</v>
      </c>
      <c r="AV130" s="21">
        <f>EXP(-LN(2)/25)*AV129+(1-EXP(-LN(2)/25))/(LN(2)/25)*Calculateur!AQ130*Calculateur!AS130*VLOOKUP('Données projet'!$B$10,Paramètres!$A$1:$I$89,3,0)*0.475*44/12</f>
        <v>22.56573156188978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44.667915114570633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5.2446581196581219</v>
      </c>
      <c r="BD130" s="12">
        <f>IF('Données projet'!$A$88&gt;35,BD129+BC130-BL129,IF(A130&lt;'Données projet'!$A$88,$BA$205^A130,IF(A130='Données projet'!$A$88,'Données projet'!$B$88,BD129+BC130-BL129)))</f>
        <v>240.62393162393116</v>
      </c>
      <c r="BE130" s="13">
        <f>BD130*VLOOKUP('Données projet'!$B$11,Paramètres!$A$1:$I$89,3,0)*VLOOKUP('Données projet'!$B$11,Paramètres!$A$1:$I$89,5,0)</f>
        <v>243.9926666666662</v>
      </c>
      <c r="BF130" s="13">
        <f t="shared" si="91"/>
        <v>59.297745526958636</v>
      </c>
      <c r="BG130" s="20">
        <f t="shared" si="61"/>
        <v>528.23080123722991</v>
      </c>
      <c r="BH130" s="59">
        <f t="shared" si="62"/>
        <v>821.56413457056328</v>
      </c>
      <c r="BI130" s="59">
        <f ca="1">AVERAGE(OFFSET($BH$3,0,0,'Données projet'!$E$11+1,1))-AVERAGE(OFFSET($H$3,0,0,'Données projet'!$E$11+1,1))</f>
        <v>264.08050363622294</v>
      </c>
      <c r="BJ130" s="59">
        <f t="shared" si="92"/>
        <v>164.48884512322883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45.940644221855322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45.940644221855322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59.90400000000021</v>
      </c>
      <c r="D131" s="11">
        <f t="shared" si="86"/>
        <v>17.143994938960237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594.75645216039641</v>
      </c>
      <c r="H131" s="67">
        <f t="shared" si="56"/>
        <v>427.52525785202272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254.6443970237226</v>
      </c>
      <c r="T131" s="59">
        <f t="shared" si="88"/>
        <v>231.81667808018062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66.735072389706573</v>
      </c>
      <c r="AA131" s="21">
        <f>EXP(-LN(2)/25)*AA130+(1-EXP(-LN(2)/25))/(LN(2)/25)*Calculateur!V131*Calculateur!X131*VLOOKUP('Données projet'!$B$9,Paramètres!$A$1:$I$89,3,0)*0.475*44/12</f>
        <v>11.100809142733304</v>
      </c>
      <c r="AB131" s="21">
        <f>EXP(-LN(2)/2)*AB130+(1-EXP(-LN(2)/2))/(LN(2)/2)*V131*Y131*VLOOKUP('Données projet'!$B$9,Paramètres!$A$1:$I$89,3,0)*0.475*44/12</f>
        <v>7.4193552710791098E-8</v>
      </c>
      <c r="AC131" s="22">
        <f t="shared" si="57"/>
        <v>77.835881606633436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180.31844548479722</v>
      </c>
      <c r="AO131" s="59">
        <f t="shared" si="90"/>
        <v>273.83237400307223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21.668773214213612</v>
      </c>
      <c r="AV131" s="21">
        <f>EXP(-LN(2)/25)*AV130+(1-EXP(-LN(2)/25))/(LN(2)/25)*Calculateur!AQ131*Calculateur!AS131*VLOOKUP('Données projet'!$B$10,Paramètres!$A$1:$I$89,3,0)*0.475*44/12</f>
        <v>21.948670445649658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43.61744365986327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5.2446581196581219</v>
      </c>
      <c r="BD131" s="12">
        <f>IF('Données projet'!$A$88&gt;35,BD130+BC131-BL130,IF(A131&lt;'Données projet'!$A$88,$BA$205^A131,IF(A131='Données projet'!$A$88,'Données projet'!$B$88,BD130+BC131-BL130)))</f>
        <v>245.86858974358927</v>
      </c>
      <c r="BE131" s="13">
        <f>BD131*VLOOKUP('Données projet'!$B$11,Paramètres!$A$1:$I$89,3,0)*VLOOKUP('Données projet'!$B$11,Paramètres!$A$1:$I$89,5,0)</f>
        <v>249.31074999999953</v>
      </c>
      <c r="BF131" s="13">
        <f t="shared" si="91"/>
        <v>60.438324631862308</v>
      </c>
      <c r="BG131" s="20">
        <f t="shared" si="61"/>
        <v>539.47963831715936</v>
      </c>
      <c r="BH131" s="59">
        <f t="shared" si="62"/>
        <v>832.81297165049273</v>
      </c>
      <c r="BI131" s="59">
        <f ca="1">AVERAGE(OFFSET($BH$3,0,0,'Données projet'!$E$11+1,1))-AVERAGE(OFFSET($H$3,0,0,'Données projet'!$E$11+1,1))</f>
        <v>264.08050363622294</v>
      </c>
      <c r="BJ131" s="59">
        <f t="shared" si="92"/>
        <v>164.48884512322883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45.039776209690871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45.039776209690871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60.372000000000213</v>
      </c>
      <c r="D132" s="11">
        <f t="shared" si="86"/>
        <v>17.262288423858621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599.28222642978756</v>
      </c>
      <c r="H132" s="67">
        <f t="shared" ref="H132:H195" si="110">(B132+E132+F132)*44/12+(C132+D132)*0.475*44/12</f>
        <v>428.54638567155416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254.6443970237226</v>
      </c>
      <c r="T132" s="59">
        <f t="shared" si="88"/>
        <v>231.81667808018062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65.426438324519367</v>
      </c>
      <c r="AA132" s="21">
        <f>EXP(-LN(2)/25)*AA131+(1-EXP(-LN(2)/25))/(LN(2)/25)*Calculateur!V132*Calculateur!X132*VLOOKUP('Données projet'!$B$9,Paramètres!$A$1:$I$89,3,0)*0.475*44/12</f>
        <v>10.79725693295908</v>
      </c>
      <c r="AB132" s="21">
        <f>EXP(-LN(2)/2)*AB131+(1-EXP(-LN(2)/2))/(LN(2)/2)*V132*Y132*VLOOKUP('Données projet'!$B$9,Paramètres!$A$1:$I$89,3,0)*0.475*44/12</f>
        <v>5.2462764242121942E-8</v>
      </c>
      <c r="AC132" s="22">
        <f t="shared" ref="AC132:AC153" si="111">SUM(Z132:AB132)</f>
        <v>76.22369530994122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180.31844548479722</v>
      </c>
      <c r="AO132" s="59">
        <f t="shared" si="90"/>
        <v>273.83237400307223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21.243861788129507</v>
      </c>
      <c r="AV132" s="21">
        <f>EXP(-LN(2)/25)*AV131+(1-EXP(-LN(2)/25))/(LN(2)/25)*Calculateur!AQ132*Calculateur!AS132*VLOOKUP('Données projet'!$B$10,Paramètres!$A$1:$I$89,3,0)*0.475*44/12</f>
        <v>21.348482898082953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42.592344686212456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5.2446581196581219</v>
      </c>
      <c r="BD132" s="12">
        <f>IF('Données projet'!$A$88&gt;35,BD131+BC132-BL131,IF(A132&lt;'Données projet'!$A$88,$BA$205^A132,IF(A132='Données projet'!$A$88,'Données projet'!$B$88,BD131+BC132-BL131)))</f>
        <v>251.11324786324738</v>
      </c>
      <c r="BE132" s="13">
        <f>BD132*VLOOKUP('Données projet'!$B$11,Paramètres!$A$1:$I$89,3,0)*VLOOKUP('Données projet'!$B$11,Paramètres!$A$1:$I$89,5,0)</f>
        <v>254.62883333333286</v>
      </c>
      <c r="BF132" s="13">
        <f t="shared" si="91"/>
        <v>61.576075027678748</v>
      </c>
      <c r="BG132" s="20">
        <f t="shared" ref="BG132:BG153" si="115">(BE132+BF132)*0.475*44/12</f>
        <v>550.7235487287619</v>
      </c>
      <c r="BH132" s="59">
        <f t="shared" ref="BH132:BH195" si="116">BG132+(AY132+AZ132)*44/12</f>
        <v>844.05688206209516</v>
      </c>
      <c r="BI132" s="59">
        <f ca="1">AVERAGE(OFFSET($BH$3,0,0,'Données projet'!$E$11+1,1))-AVERAGE(OFFSET($H$3,0,0,'Données projet'!$E$11+1,1))</f>
        <v>264.08050363622294</v>
      </c>
      <c r="BJ132" s="59">
        <f t="shared" si="92"/>
        <v>164.48884512322883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44.156573669769728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44.156573669769728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60.840000000000217</v>
      </c>
      <c r="D133" s="11">
        <f t="shared" ref="D133:D196" si="140">IFERROR(EXP(-1.0587+0.8836*LN(C133)+0.284),0)</f>
        <v>17.380475216531508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603.80717711006946</v>
      </c>
      <c r="H133" s="67">
        <f t="shared" si="110"/>
        <v>429.5673276687927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254.6443970237226</v>
      </c>
      <c r="T133" s="59">
        <f t="shared" ref="T133:T196" si="142">$T$3</f>
        <v>231.81667808018062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64.143465775162511</v>
      </c>
      <c r="AA133" s="21">
        <f>EXP(-LN(2)/25)*AA132+(1-EXP(-LN(2)/25))/(LN(2)/25)*Calculateur!V133*Calculateur!X133*VLOOKUP('Données projet'!$B$9,Paramètres!$A$1:$I$89,3,0)*0.475*44/12</f>
        <v>10.502005374324249</v>
      </c>
      <c r="AB133" s="21">
        <f>EXP(-LN(2)/2)*AB132+(1-EXP(-LN(2)/2))/(LN(2)/2)*V133*Y133*VLOOKUP('Données projet'!$B$9,Paramètres!$A$1:$I$89,3,0)*0.475*44/12</f>
        <v>3.7096776355395549E-8</v>
      </c>
      <c r="AC133" s="22">
        <f t="shared" si="111"/>
        <v>74.645471186583535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180.31844548479722</v>
      </c>
      <c r="AO133" s="59">
        <f t="shared" ref="AO133:AO196" si="144">$AO$3</f>
        <v>273.83237400307223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20.827282615940533</v>
      </c>
      <c r="AV133" s="21">
        <f>EXP(-LN(2)/25)*AV132+(1-EXP(-LN(2)/25))/(LN(2)/25)*Calculateur!AQ133*Calculateur!AS133*VLOOKUP('Données projet'!$B$10,Paramètres!$A$1:$I$89,3,0)*0.475*44/12</f>
        <v>20.76470751056695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41.591990126507483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5.2446581196581219</v>
      </c>
      <c r="BD133" s="12">
        <f>IF('Données projet'!$A$88&gt;35,BD132+BC133-BL132,IF(A133&lt;'Données projet'!$A$88,$BA$205^A133,IF(A133='Données projet'!$A$88,'Données projet'!$B$88,BD132+BC133-BL132)))</f>
        <v>256.35790598290549</v>
      </c>
      <c r="BE133" s="13">
        <f>BD133*VLOOKUP('Données projet'!$B$11,Paramètres!$A$1:$I$89,3,0)*VLOOKUP('Données projet'!$B$11,Paramètres!$A$1:$I$89,5,0)</f>
        <v>259.9469166666662</v>
      </c>
      <c r="BF133" s="13">
        <f t="shared" ref="BF133:BF153" si="145">EXP(-1.0587+0.8836*LN(BE133)+0.284)</f>
        <v>62.71106260017865</v>
      </c>
      <c r="BG133" s="20">
        <f t="shared" si="115"/>
        <v>561.96264722308808</v>
      </c>
      <c r="BH133" s="59">
        <f t="shared" si="116"/>
        <v>855.29598055642145</v>
      </c>
      <c r="BI133" s="59">
        <f ca="1">AVERAGE(OFFSET($BH$3,0,0,'Données projet'!$E$11+1,1))-AVERAGE(OFFSET($H$3,0,0,'Données projet'!$E$11+1,1))</f>
        <v>264.08050363622294</v>
      </c>
      <c r="BJ133" s="59">
        <f t="shared" ref="BJ133:BJ196" si="146">$BJ$3</f>
        <v>164.48884512322883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43.290690192956085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43.290690192956085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61.30800000000022</v>
      </c>
      <c r="D134" s="11">
        <f t="shared" si="140"/>
        <v>17.498556232826935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608.33131127094646</v>
      </c>
      <c r="H134" s="67">
        <f t="shared" si="110"/>
        <v>430.58808543884061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254.6443970237226</v>
      </c>
      <c r="T134" s="59">
        <f t="shared" si="142"/>
        <v>231.81667808018062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62.885651534962555</v>
      </c>
      <c r="AA134" s="21">
        <f>EXP(-LN(2)/25)*AA133+(1-EXP(-LN(2)/25))/(LN(2)/25)*Calculateur!V134*Calculateur!X134*VLOOKUP('Données projet'!$B$9,Paramètres!$A$1:$I$89,3,0)*0.475*44/12</f>
        <v>10.214827485086891</v>
      </c>
      <c r="AB134" s="21">
        <f>EXP(-LN(2)/2)*AB133+(1-EXP(-LN(2)/2))/(LN(2)/2)*V134*Y134*VLOOKUP('Données projet'!$B$9,Paramètres!$A$1:$I$89,3,0)*0.475*44/12</f>
        <v>2.6231382121060971E-8</v>
      </c>
      <c r="AC134" s="22">
        <f t="shared" si="111"/>
        <v>73.100479046280824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180.31844548479722</v>
      </c>
      <c r="AO134" s="59">
        <f t="shared" si="144"/>
        <v>273.83237400307223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20.418872307229979</v>
      </c>
      <c r="AV134" s="21">
        <f>EXP(-LN(2)/25)*AV133+(1-EXP(-LN(2)/25))/(LN(2)/25)*Calculateur!AQ134*Calculateur!AS134*VLOOKUP('Données projet'!$B$10,Paramètres!$A$1:$I$89,3,0)*0.475*44/12</f>
        <v>20.196895491721989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40.615767798951964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5.2446581196581219</v>
      </c>
      <c r="BD134" s="12">
        <f>IF('Données projet'!$A$88&gt;35,BD133+BC134-BL133,IF(A134&lt;'Données projet'!$A$88,$BA$205^A134,IF(A134='Données projet'!$A$88,'Données projet'!$B$88,BD133+BC134-BL133)))</f>
        <v>261.60256410256363</v>
      </c>
      <c r="BE134" s="13">
        <f>BD134*VLOOKUP('Données projet'!$B$11,Paramètres!$A$1:$I$89,3,0)*VLOOKUP('Données projet'!$B$11,Paramètres!$A$1:$I$89,5,0)</f>
        <v>265.26499999999953</v>
      </c>
      <c r="BF134" s="13">
        <f t="shared" si="145"/>
        <v>63.843350385205326</v>
      </c>
      <c r="BG134" s="20">
        <f t="shared" si="115"/>
        <v>573.19704358756508</v>
      </c>
      <c r="BH134" s="59">
        <f t="shared" si="116"/>
        <v>866.53037692089833</v>
      </c>
      <c r="BI134" s="59">
        <f ca="1">AVERAGE(OFFSET($BH$3,0,0,'Données projet'!$E$11+1,1))-AVERAGE(OFFSET($H$3,0,0,'Données projet'!$E$11+1,1))</f>
        <v>264.08050363622294</v>
      </c>
      <c r="BJ134" s="59">
        <f t="shared" si="146"/>
        <v>164.48884512322883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42.441786162985984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42.441786162985984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61.776000000000224</v>
      </c>
      <c r="D135" s="11">
        <f t="shared" si="140"/>
        <v>17.616532373802929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612.85463586795424</v>
      </c>
      <c r="H135" s="67">
        <f t="shared" si="110"/>
        <v>431.60866055104043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254.6443970237226</v>
      </c>
      <c r="T135" s="59">
        <f t="shared" si="142"/>
        <v>231.81667808018062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61.65250226482199</v>
      </c>
      <c r="AA135" s="21">
        <f>EXP(-LN(2)/25)*AA134+(1-EXP(-LN(2)/25))/(LN(2)/25)*Calculateur!V135*Calculateur!X135*VLOOKUP('Données projet'!$B$9,Paramètres!$A$1:$I$89,3,0)*0.475*44/12</f>
        <v>9.9355024903327589</v>
      </c>
      <c r="AB135" s="21">
        <f>EXP(-LN(2)/2)*AB134+(1-EXP(-LN(2)/2))/(LN(2)/2)*V135*Y135*VLOOKUP('Données projet'!$B$9,Paramètres!$A$1:$I$89,3,0)*0.475*44/12</f>
        <v>1.8548388177697774E-8</v>
      </c>
      <c r="AC135" s="22">
        <f t="shared" si="111"/>
        <v>71.588004773703133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180.31844548479722</v>
      </c>
      <c r="AO135" s="59">
        <f t="shared" si="144"/>
        <v>273.83237400307223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20.018470675567549</v>
      </c>
      <c r="AV135" s="21">
        <f>EXP(-LN(2)/25)*AV134+(1-EXP(-LN(2)/25))/(LN(2)/25)*Calculateur!AQ135*Calculateur!AS135*VLOOKUP('Données projet'!$B$10,Paramètres!$A$1:$I$89,3,0)*0.475*44/12</f>
        <v>19.644610322392278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39.663080997959824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5.2446581196581219</v>
      </c>
      <c r="BD135" s="12">
        <f>IF('Données projet'!$A$88&gt;35,BD134+BC135-BL134,IF(A135&lt;'Données projet'!$A$88,$BA$205^A135,IF(A135='Données projet'!$A$88,'Données projet'!$B$88,BD134+BC135-BL134)))</f>
        <v>266.84722222222177</v>
      </c>
      <c r="BE135" s="13">
        <f>BD135*VLOOKUP('Données projet'!$B$11,Paramètres!$A$1:$I$89,3,0)*VLOOKUP('Données projet'!$B$11,Paramètres!$A$1:$I$89,5,0)</f>
        <v>270.58308333333292</v>
      </c>
      <c r="BF135" s="13">
        <f t="shared" si="145"/>
        <v>64.972998746573325</v>
      </c>
      <c r="BG135" s="20">
        <f t="shared" si="115"/>
        <v>584.42684295583661</v>
      </c>
      <c r="BH135" s="59">
        <f t="shared" si="116"/>
        <v>877.76017628916998</v>
      </c>
      <c r="BI135" s="59">
        <f ca="1">AVERAGE(OFFSET($BH$3,0,0,'Données projet'!$E$11+1,1))-AVERAGE(OFFSET($H$3,0,0,'Données projet'!$E$11+1,1))</f>
        <v>264.08050363622294</v>
      </c>
      <c r="BJ135" s="59">
        <f t="shared" si="146"/>
        <v>164.48884512322883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41.609528623263266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41.609528623263266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62.244000000000227</v>
      </c>
      <c r="D136" s="11">
        <f t="shared" si="140"/>
        <v>17.734404526076489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617.37715774515357</v>
      </c>
      <c r="H136" s="67">
        <f t="shared" si="110"/>
        <v>432.6290545495836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254.6443970237226</v>
      </c>
      <c r="T136" s="59">
        <f t="shared" si="142"/>
        <v>231.81667808018062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60.443534299722096</v>
      </c>
      <c r="AA136" s="21">
        <f>EXP(-LN(2)/25)*AA135+(1-EXP(-LN(2)/25))/(LN(2)/25)*Calculateur!V136*Calculateur!X136*VLOOKUP('Données projet'!$B$9,Paramètres!$A$1:$I$89,3,0)*0.475*44/12</f>
        <v>9.6638156522492409</v>
      </c>
      <c r="AB136" s="21">
        <f>EXP(-LN(2)/2)*AB135+(1-EXP(-LN(2)/2))/(LN(2)/2)*V136*Y136*VLOOKUP('Données projet'!$B$9,Paramètres!$A$1:$I$89,3,0)*0.475*44/12</f>
        <v>1.3115691060530485E-8</v>
      </c>
      <c r="AC136" s="22">
        <f t="shared" si="111"/>
        <v>70.107349965087039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180.31844548479722</v>
      </c>
      <c r="AO136" s="59">
        <f t="shared" si="144"/>
        <v>273.83237400307223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19.625920675681137</v>
      </c>
      <c r="AV136" s="21">
        <f>EXP(-LN(2)/25)*AV135+(1-EXP(-LN(2)/25))/(LN(2)/25)*Calculateur!AQ136*Calculateur!AS136*VLOOKUP('Données projet'!$B$10,Paramètres!$A$1:$I$89,3,0)*0.475*44/12</f>
        <v>19.107427420061303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38.733348095742443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5.2446581196581219</v>
      </c>
      <c r="BD136" s="12">
        <f>IF('Données projet'!$A$88&gt;35,BD135+BC136-BL135,IF(A136&lt;'Données projet'!$A$88,$BA$205^A136,IF(A136='Données projet'!$A$88,'Données projet'!$B$88,BD135+BC136-BL135)))</f>
        <v>272.09188034187991</v>
      </c>
      <c r="BE136" s="13">
        <f>BD136*VLOOKUP('Données projet'!$B$11,Paramètres!$A$1:$I$89,3,0)*VLOOKUP('Données projet'!$B$11,Paramètres!$A$1:$I$89,5,0)</f>
        <v>275.90116666666626</v>
      </c>
      <c r="BF136" s="13">
        <f t="shared" si="145"/>
        <v>66.100065539585671</v>
      </c>
      <c r="BG136" s="20">
        <f t="shared" si="115"/>
        <v>595.65214609255543</v>
      </c>
      <c r="BH136" s="59">
        <f t="shared" si="116"/>
        <v>888.9854794258888</v>
      </c>
      <c r="BI136" s="59">
        <f ca="1">AVERAGE(OFFSET($BH$3,0,0,'Données projet'!$E$11+1,1))-AVERAGE(OFFSET($H$3,0,0,'Données projet'!$E$11+1,1))</f>
        <v>264.08050363622294</v>
      </c>
      <c r="BJ136" s="59">
        <f t="shared" si="146"/>
        <v>164.48884512322883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40.793591146267538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40.793591146267538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62.712000000000231</v>
      </c>
      <c r="D137" s="11">
        <f t="shared" si="140"/>
        <v>17.852173562161887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621.89888363774276</v>
      </c>
      <c r="H137" s="67">
        <f t="shared" si="110"/>
        <v>433.649268954099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254.6443970237226</v>
      </c>
      <c r="T137" s="59">
        <f t="shared" si="142"/>
        <v>231.81667808018062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59.25827345902016</v>
      </c>
      <c r="AA137" s="21">
        <f>EXP(-LN(2)/25)*AA136+(1-EXP(-LN(2)/25))/(LN(2)/25)*Calculateur!V137*Calculateur!X137*VLOOKUP('Données projet'!$B$9,Paramètres!$A$1:$I$89,3,0)*0.475*44/12</f>
        <v>9.3995581050405068</v>
      </c>
      <c r="AB137" s="21">
        <f>EXP(-LN(2)/2)*AB136+(1-EXP(-LN(2)/2))/(LN(2)/2)*V137*Y137*VLOOKUP('Données projet'!$B$9,Paramètres!$A$1:$I$89,3,0)*0.475*44/12</f>
        <v>9.2741940888488872E-9</v>
      </c>
      <c r="AC137" s="22">
        <f t="shared" si="111"/>
        <v>68.65783157333486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180.31844548479722</v>
      </c>
      <c r="AO137" s="59">
        <f t="shared" si="144"/>
        <v>273.83237400307223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19.24106834186064</v>
      </c>
      <c r="AV137" s="21">
        <f>EXP(-LN(2)/25)*AV136+(1-EXP(-LN(2)/25))/(LN(2)/25)*Calculateur!AQ137*Calculateur!AS137*VLOOKUP('Données projet'!$B$10,Paramètres!$A$1:$I$89,3,0)*0.475*44/12</f>
        <v>18.58493381244379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37.826002154304433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5.2446581196581219</v>
      </c>
      <c r="BD137" s="12">
        <f>IF('Données projet'!$A$88&gt;35,BD136+BC137-BL136,IF(A137&lt;'Données projet'!$A$88,$BA$205^A137,IF(A137='Données projet'!$A$88,'Données projet'!$B$88,BD136+BC137-BL136)))</f>
        <v>277.33653846153805</v>
      </c>
      <c r="BE137" s="13">
        <f>BD137*VLOOKUP('Données projet'!$B$11,Paramètres!$A$1:$I$89,3,0)*VLOOKUP('Données projet'!$B$11,Paramètres!$A$1:$I$89,5,0)</f>
        <v>281.21924999999965</v>
      </c>
      <c r="BF137" s="13">
        <f t="shared" si="145"/>
        <v>67.224606261587638</v>
      </c>
      <c r="BG137" s="20">
        <f t="shared" si="115"/>
        <v>606.87304965559781</v>
      </c>
      <c r="BH137" s="59">
        <f t="shared" si="116"/>
        <v>900.20638298893118</v>
      </c>
      <c r="BI137" s="59">
        <f ca="1">AVERAGE(OFFSET($BH$3,0,0,'Données projet'!$E$11+1,1))-AVERAGE(OFFSET($H$3,0,0,'Données projet'!$E$11+1,1))</f>
        <v>264.08050363622294</v>
      </c>
      <c r="BJ137" s="59">
        <f t="shared" si="146"/>
        <v>164.48884512322883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39.993653705522973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39.993653705522973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63.180000000000234</v>
      </c>
      <c r="D138" s="11">
        <f t="shared" si="140"/>
        <v>17.969840340798424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626.41982017458622</v>
      </c>
      <c r="H138" s="67">
        <f t="shared" si="110"/>
        <v>434.66930526022429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254.6443970237226</v>
      </c>
      <c r="T138" s="59">
        <f t="shared" si="142"/>
        <v>231.81667808018062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58.096254860466665</v>
      </c>
      <c r="AA138" s="21">
        <f>EXP(-LN(2)/25)*AA137+(1-EXP(-LN(2)/25))/(LN(2)/25)*Calculateur!V138*Calculateur!X138*VLOOKUP('Données projet'!$B$9,Paramètres!$A$1:$I$89,3,0)*0.475*44/12</f>
        <v>9.1425266943568957</v>
      </c>
      <c r="AB138" s="21">
        <f>EXP(-LN(2)/2)*AB137+(1-EXP(-LN(2)/2))/(LN(2)/2)*V138*Y138*VLOOKUP('Données projet'!$B$9,Paramètres!$A$1:$I$89,3,0)*0.475*44/12</f>
        <v>6.5578455302652427E-9</v>
      </c>
      <c r="AC138" s="22">
        <f t="shared" si="111"/>
        <v>67.238781561381401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180.31844548479722</v>
      </c>
      <c r="AO138" s="59">
        <f t="shared" si="144"/>
        <v>273.83237400307223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18.863762727569618</v>
      </c>
      <c r="AV138" s="21">
        <f>EXP(-LN(2)/25)*AV137+(1-EXP(-LN(2)/25))/(LN(2)/25)*Calculateur!AQ138*Calculateur!AS138*VLOOKUP('Données projet'!$B$10,Paramètres!$A$1:$I$89,3,0)*0.475*44/12</f>
        <v>18.07672782000332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36.940490547572935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5.2446581196581219</v>
      </c>
      <c r="BD138" s="12">
        <f>IF('Données projet'!$A$88&gt;35,BD137+BC138-BL137,IF(A138&lt;'Données projet'!$A$88,$BA$205^A138,IF(A138='Données projet'!$A$88,'Données projet'!$B$88,BD137+BC138-BL137)))</f>
        <v>282.5811965811962</v>
      </c>
      <c r="BE138" s="13">
        <f>BD138*VLOOKUP('Données projet'!$B$11,Paramètres!$A$1:$I$89,3,0)*VLOOKUP('Données projet'!$B$11,Paramètres!$A$1:$I$89,5,0)</f>
        <v>286.53733333333292</v>
      </c>
      <c r="BF138" s="13">
        <f t="shared" si="145"/>
        <v>68.346674190809836</v>
      </c>
      <c r="BG138" s="20">
        <f t="shared" si="115"/>
        <v>618.08964643788192</v>
      </c>
      <c r="BH138" s="59">
        <f t="shared" si="116"/>
        <v>911.4229797712153</v>
      </c>
      <c r="BI138" s="59">
        <f ca="1">AVERAGE(OFFSET($BH$3,0,0,'Données projet'!$E$11+1,1))-AVERAGE(OFFSET($H$3,0,0,'Données projet'!$E$11+1,1))</f>
        <v>264.08050363622294</v>
      </c>
      <c r="BJ138" s="59">
        <f t="shared" si="146"/>
        <v>164.48884512322883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39.209402550077748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39.209402550077748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63.648000000000238</v>
      </c>
      <c r="D139" s="11">
        <f t="shared" si="140"/>
        <v>18.087405707268417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630.93997388067032</v>
      </c>
      <c r="H139" s="67">
        <f t="shared" si="110"/>
        <v>435.68916494015957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254.6443970237226</v>
      </c>
      <c r="T139" s="59">
        <f t="shared" si="142"/>
        <v>231.81667808018062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56.957022737869444</v>
      </c>
      <c r="AA139" s="21">
        <f>EXP(-LN(2)/25)*AA138+(1-EXP(-LN(2)/25))/(LN(2)/25)*Calculateur!V139*Calculateur!X139*VLOOKUP('Données projet'!$B$9,Paramètres!$A$1:$I$89,3,0)*0.475*44/12</f>
        <v>8.8925238211151232</v>
      </c>
      <c r="AB139" s="21">
        <f>EXP(-LN(2)/2)*AB138+(1-EXP(-LN(2)/2))/(LN(2)/2)*V139*Y139*VLOOKUP('Données projet'!$B$9,Paramètres!$A$1:$I$89,3,0)*0.475*44/12</f>
        <v>4.6370970444244436E-9</v>
      </c>
      <c r="AC139" s="22">
        <f t="shared" si="111"/>
        <v>65.849546563621672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180.31844548479722</v>
      </c>
      <c r="AO139" s="59">
        <f t="shared" si="144"/>
        <v>273.83237400307223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18.493855846241143</v>
      </c>
      <c r="AV139" s="21">
        <f>EXP(-LN(2)/25)*AV138+(1-EXP(-LN(2)/25))/(LN(2)/25)*Calculateur!AQ139*Calculateur!AS139*VLOOKUP('Données projet'!$B$10,Paramètres!$A$1:$I$89,3,0)*0.475*44/12</f>
        <v>17.582418747151529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36.076274593392668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5.2446581196581219</v>
      </c>
      <c r="BD139" s="12">
        <f>IF('Données projet'!$A$88&gt;35,BD138+BC139-BL138,IF(A139&lt;'Données projet'!$A$88,$BA$205^A139,IF(A139='Données projet'!$A$88,'Données projet'!$B$88,BD138+BC139-BL138)))</f>
        <v>287.82585470085434</v>
      </c>
      <c r="BE139" s="13">
        <f>BD139*VLOOKUP('Données projet'!$B$11,Paramètres!$A$1:$I$89,3,0)*VLOOKUP('Données projet'!$B$11,Paramètres!$A$1:$I$89,5,0)</f>
        <v>291.85541666666631</v>
      </c>
      <c r="BF139" s="13">
        <f t="shared" si="145"/>
        <v>69.466320514612647</v>
      </c>
      <c r="BG139" s="20">
        <f t="shared" si="115"/>
        <v>629.30202559072757</v>
      </c>
      <c r="BH139" s="59">
        <f t="shared" si="116"/>
        <v>922.63535892406094</v>
      </c>
      <c r="BI139" s="59">
        <f ca="1">AVERAGE(OFFSET($BH$3,0,0,'Données projet'!$E$11+1,1))-AVERAGE(OFFSET($H$3,0,0,'Données projet'!$E$11+1,1))</f>
        <v>264.08050363622294</v>
      </c>
      <c r="BJ139" s="59">
        <f t="shared" si="146"/>
        <v>164.48884512322883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38.440530081444834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38.440530081444834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64.116000000000241</v>
      </c>
      <c r="D140" s="11">
        <f t="shared" si="140"/>
        <v>18.204870493705315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635.45935117948159</v>
      </c>
      <c r="H140" s="67">
        <f t="shared" si="110"/>
        <v>436.7088494432038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254.6443970237226</v>
      </c>
      <c r="T140" s="59">
        <f t="shared" si="142"/>
        <v>231.81667808018062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55.840130262333368</v>
      </c>
      <c r="AA140" s="21">
        <f>EXP(-LN(2)/25)*AA139+(1-EXP(-LN(2)/25))/(LN(2)/25)*Calculateur!V140*Calculateur!X140*VLOOKUP('Données projet'!$B$9,Paramètres!$A$1:$I$89,3,0)*0.475*44/12</f>
        <v>8.6493572895892257</v>
      </c>
      <c r="AB140" s="21">
        <f>EXP(-LN(2)/2)*AB139+(1-EXP(-LN(2)/2))/(LN(2)/2)*V140*Y140*VLOOKUP('Données projet'!$B$9,Paramètres!$A$1:$I$89,3,0)*0.475*44/12</f>
        <v>3.2789227651326213E-9</v>
      </c>
      <c r="AC140" s="22">
        <f t="shared" si="111"/>
        <v>64.489487555201521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180.31844548479722</v>
      </c>
      <c r="AO140" s="59">
        <f t="shared" si="144"/>
        <v>273.83237400307223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18.131202613234599</v>
      </c>
      <c r="AV140" s="21">
        <f>EXP(-LN(2)/25)*AV139+(1-EXP(-LN(2)/25))/(LN(2)/25)*Calculateur!AQ140*Calculateur!AS140*VLOOKUP('Données projet'!$B$10,Paramètres!$A$1:$I$89,3,0)*0.475*44/12</f>
        <v>17.101626581891452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35.232829195126051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>
        <f>VLOOKUP(A140,'Données projet'!$A$87:$I$107,2,0)</f>
        <v>293.07051282051282</v>
      </c>
      <c r="BB140" s="12">
        <f>VLOOKUP(A140,'Données projet'!$A$87:$I$107,9,0)</f>
        <v>5.2446581196581219</v>
      </c>
      <c r="BC140" s="12">
        <f t="array" ref="BC140">INDEX(BB:BB,MIN(IF(ISNUMBER(BB140:BB336),ROW(BB140:BB336),"")))</f>
        <v>5.2446581196581219</v>
      </c>
      <c r="BD140" s="12">
        <f>IF('Données projet'!$A$88&gt;35,BD139+BC140-BL139,IF(A140&lt;'Données projet'!$A$88,$BA$205^A140,IF(A140='Données projet'!$A$88,'Données projet'!$B$88,BD139+BC140-BL139)))</f>
        <v>293.07051282051248</v>
      </c>
      <c r="BE140" s="13">
        <f>BD140*VLOOKUP('Données projet'!$B$11,Paramètres!$A$1:$I$89,3,0)*VLOOKUP('Données projet'!$B$11,Paramètres!$A$1:$I$89,5,0)</f>
        <v>297.17349999999965</v>
      </c>
      <c r="BF140" s="13">
        <f t="shared" si="145"/>
        <v>70.583594448118191</v>
      </c>
      <c r="BG140" s="20">
        <f t="shared" si="115"/>
        <v>640.51027283047199</v>
      </c>
      <c r="BH140" s="59">
        <f t="shared" si="116"/>
        <v>933.84360616380536</v>
      </c>
      <c r="BI140" s="59">
        <f ca="1">AVERAGE(OFFSET($BH$3,0,0,'Données projet'!$E$11+1,1))-AVERAGE(OFFSET($H$3,0,0,'Données projet'!$E$11+1,1))</f>
        <v>264.08050363622294</v>
      </c>
      <c r="BJ140" s="59">
        <f t="shared" si="146"/>
        <v>164.48884512322883</v>
      </c>
      <c r="BK140" s="15">
        <f>IF(ISNA(VLOOKUP(A140,'Données projet'!$A$87:$I$107,3,0)),0,VLOOKUP(A140,'Données projet'!$A$87:$I$107,3,0))</f>
        <v>11</v>
      </c>
      <c r="BL140" s="15">
        <f>IF(ISNA(VLOOKUP(A140,'Données projet'!$A$87:$I$107,4,0)),0,VLOOKUP(A140,'Données projet'!$A$87:$I$107,4,0))</f>
        <v>51.160256410256409</v>
      </c>
      <c r="BM140" s="16">
        <f>IF(ISNA(VLOOKUP(A140,'Données projet'!$A$87:$I$107,5,0)),0%,VLOOKUP(A140,'Données projet'!$A$87:$I$107,5,0)*VLOOKUP('Données projet'!$B$11,Paramètres!$A$1:$I$89,7,0))</f>
        <v>0.30099999999999999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54.948462910252076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54.948462910252076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64.584000000000245</v>
      </c>
      <c r="D141" s="11">
        <f t="shared" si="140"/>
        <v>18.322235519392791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639.97795839531466</v>
      </c>
      <c r="H141" s="67">
        <f t="shared" si="110"/>
        <v>437.72836019627618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254.6443970237226</v>
      </c>
      <c r="T141" s="59">
        <f t="shared" si="142"/>
        <v>231.81667808018062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54.745139367005414</v>
      </c>
      <c r="AA141" s="21">
        <f>EXP(-LN(2)/25)*AA140+(1-EXP(-LN(2)/25))/(LN(2)/25)*Calculateur!V141*Calculateur!X141*VLOOKUP('Données projet'!$B$9,Paramètres!$A$1:$I$89,3,0)*0.475*44/12</f>
        <v>8.4128401596554774</v>
      </c>
      <c r="AB141" s="21">
        <f>EXP(-LN(2)/2)*AB140+(1-EXP(-LN(2)/2))/(LN(2)/2)*V141*Y141*VLOOKUP('Données projet'!$B$9,Paramètres!$A$1:$I$89,3,0)*0.475*44/12</f>
        <v>2.3185485222122218E-9</v>
      </c>
      <c r="AC141" s="22">
        <f t="shared" si="111"/>
        <v>63.157979528979446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180.31844548479722</v>
      </c>
      <c r="AO141" s="59">
        <f t="shared" si="144"/>
        <v>273.83237400307223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17.775660788930683</v>
      </c>
      <c r="AV141" s="21">
        <f>EXP(-LN(2)/25)*AV140+(1-EXP(-LN(2)/25))/(LN(2)/25)*Calculateur!AQ141*Calculateur!AS141*VLOOKUP('Données projet'!$B$10,Paramètres!$A$1:$I$89,3,0)*0.475*44/12</f>
        <v>16.633981703674174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34.40964249260486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5.1063034188034209</v>
      </c>
      <c r="BD141" s="12">
        <f>IF('Données projet'!$A$88&gt;35,BD140+BC141-BL140,IF(A141&lt;'Données projet'!$A$88,$BA$205^A141,IF(A141='Données projet'!$A$88,'Données projet'!$B$88,BD140+BC141-BL140)))</f>
        <v>247.01655982905947</v>
      </c>
      <c r="BE141" s="13">
        <f>BD141*VLOOKUP('Données projet'!$B$11,Paramètres!$A$1:$I$89,3,0)*VLOOKUP('Données projet'!$B$11,Paramètres!$A$1:$I$89,5,0)</f>
        <v>250.47479166666631</v>
      </c>
      <c r="BF141" s="13">
        <f t="shared" si="145"/>
        <v>60.687599112090453</v>
      </c>
      <c r="BG141" s="20">
        <f t="shared" si="115"/>
        <v>541.94116393966794</v>
      </c>
      <c r="BH141" s="59">
        <f t="shared" si="116"/>
        <v>835.27449727300132</v>
      </c>
      <c r="BI141" s="59">
        <f ca="1">AVERAGE(OFFSET($BH$3,0,0,'Données projet'!$E$11+1,1))-AVERAGE(OFFSET($H$3,0,0,'Données projet'!$E$11+1,1))</f>
        <v>264.08050363622294</v>
      </c>
      <c r="BJ141" s="59">
        <f t="shared" si="146"/>
        <v>164.48884512322883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53.87095706783505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53.87095706783505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65.052000000000248</v>
      </c>
      <c r="D142" s="11">
        <f t="shared" si="140"/>
        <v>18.439501591054739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644.49580175551216</v>
      </c>
      <c r="H142" s="67">
        <f t="shared" si="110"/>
        <v>438.74769860442075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254.6443970237226</v>
      </c>
      <c r="T142" s="59">
        <f t="shared" si="142"/>
        <v>231.81667808018062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53.671620575256341</v>
      </c>
      <c r="AA142" s="21">
        <f>EXP(-LN(2)/25)*AA141+(1-EXP(-LN(2)/25))/(LN(2)/25)*Calculateur!V142*Calculateur!X142*VLOOKUP('Données projet'!$B$9,Paramètres!$A$1:$I$89,3,0)*0.475*44/12</f>
        <v>8.1827906030776614</v>
      </c>
      <c r="AB142" s="21">
        <f>EXP(-LN(2)/2)*AB141+(1-EXP(-LN(2)/2))/(LN(2)/2)*V142*Y142*VLOOKUP('Données projet'!$B$9,Paramètres!$A$1:$I$89,3,0)*0.475*44/12</f>
        <v>1.6394613825663107E-9</v>
      </c>
      <c r="AC142" s="22">
        <f t="shared" si="111"/>
        <v>61.854411179973468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180.31844548479722</v>
      </c>
      <c r="AO142" s="59">
        <f t="shared" si="144"/>
        <v>273.83237400307223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17.427090922942266</v>
      </c>
      <c r="AV142" s="21">
        <f>EXP(-LN(2)/25)*AV141+(1-EXP(-LN(2)/25))/(LN(2)/25)*Calculateur!AQ142*Calculateur!AS142*VLOOKUP('Données projet'!$B$10,Paramètres!$A$1:$I$89,3,0)*0.475*44/12</f>
        <v>16.179124599244123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33.606215522186389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5.1063034188034209</v>
      </c>
      <c r="BD142" s="12">
        <f>IF('Données projet'!$A$88&gt;35,BD141+BC142-BL141,IF(A142&lt;'Données projet'!$A$88,$BA$205^A142,IF(A142='Données projet'!$A$88,'Données projet'!$B$88,BD141+BC142-BL141)))</f>
        <v>252.12286324786288</v>
      </c>
      <c r="BE142" s="13">
        <f>BD142*VLOOKUP('Données projet'!$B$11,Paramètres!$A$1:$I$89,3,0)*VLOOKUP('Données projet'!$B$11,Paramètres!$A$1:$I$89,5,0)</f>
        <v>255.65258333333296</v>
      </c>
      <c r="BF142" s="13">
        <f t="shared" si="145"/>
        <v>61.794776930172596</v>
      </c>
      <c r="BG142" s="20">
        <f t="shared" si="115"/>
        <v>552.88748579227229</v>
      </c>
      <c r="BH142" s="59">
        <f t="shared" si="116"/>
        <v>846.22081912560566</v>
      </c>
      <c r="BI142" s="59">
        <f ca="1">AVERAGE(OFFSET($BH$3,0,0,'Données projet'!$E$11+1,1))-AVERAGE(OFFSET($H$3,0,0,'Données projet'!$E$11+1,1))</f>
        <v>264.08050363622294</v>
      </c>
      <c r="BJ142" s="59">
        <f t="shared" si="146"/>
        <v>164.48884512322883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52.814580457774156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52.814580457774156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65.520000000000252</v>
      </c>
      <c r="D143" s="11">
        <f t="shared" si="140"/>
        <v>18.556669503136781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649.01288739263669</v>
      </c>
      <c r="H143" s="67">
        <f t="shared" si="110"/>
        <v>439.76686605129692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254.6443970237226</v>
      </c>
      <c r="T143" s="59">
        <f t="shared" si="142"/>
        <v>231.81667808018062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52.619152832231656</v>
      </c>
      <c r="AA143" s="21">
        <f>EXP(-LN(2)/25)*AA142+(1-EXP(-LN(2)/25))/(LN(2)/25)*Calculateur!V143*Calculateur!X143*VLOOKUP('Données projet'!$B$9,Paramètres!$A$1:$I$89,3,0)*0.475*44/12</f>
        <v>7.9590317637222467</v>
      </c>
      <c r="AB143" s="21">
        <f>EXP(-LN(2)/2)*AB142+(1-EXP(-LN(2)/2))/(LN(2)/2)*V143*Y143*VLOOKUP('Données projet'!$B$9,Paramètres!$A$1:$I$89,3,0)*0.475*44/12</f>
        <v>1.1592742611061109E-9</v>
      </c>
      <c r="AC143" s="22">
        <f t="shared" si="111"/>
        <v>60.578184597113172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180.31844548479722</v>
      </c>
      <c r="AO143" s="59">
        <f t="shared" si="144"/>
        <v>273.83237400307223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17.085356299419256</v>
      </c>
      <c r="AV143" s="21">
        <f>EXP(-LN(2)/25)*AV142+(1-EXP(-LN(2)/25))/(LN(2)/25)*Calculateur!AQ143*Calculateur!AS143*VLOOKUP('Données projet'!$B$10,Paramètres!$A$1:$I$89,3,0)*0.475*44/12</f>
        <v>15.736705586254608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32.822061885673861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5.1063034188034209</v>
      </c>
      <c r="BD143" s="12">
        <f>IF('Données projet'!$A$88&gt;35,BD142+BC143-BL142,IF(A143&lt;'Données projet'!$A$88,$BA$205^A143,IF(A143='Données projet'!$A$88,'Données projet'!$B$88,BD142+BC143-BL142)))</f>
        <v>257.22916666666629</v>
      </c>
      <c r="BE143" s="13">
        <f>BD143*VLOOKUP('Données projet'!$B$11,Paramètres!$A$1:$I$89,3,0)*VLOOKUP('Données projet'!$B$11,Paramètres!$A$1:$I$89,5,0)</f>
        <v>260.83037499999961</v>
      </c>
      <c r="BF143" s="13">
        <f t="shared" si="145"/>
        <v>62.899347488444107</v>
      </c>
      <c r="BG143" s="20">
        <f t="shared" si="115"/>
        <v>563.82926666737285</v>
      </c>
      <c r="BH143" s="59">
        <f t="shared" si="116"/>
        <v>857.16260000070611</v>
      </c>
      <c r="BI143" s="59">
        <f ca="1">AVERAGE(OFFSET($BH$3,0,0,'Données projet'!$E$11+1,1))-AVERAGE(OFFSET($H$3,0,0,'Données projet'!$E$11+1,1))</f>
        <v>264.08050363622294</v>
      </c>
      <c r="BJ143" s="59">
        <f t="shared" si="146"/>
        <v>164.48884512322883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51.778918748710446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51.778918748710446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65.988000000000255</v>
      </c>
      <c r="D144" s="11">
        <f t="shared" si="140"/>
        <v>18.673740038079515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653.5292213465807</v>
      </c>
      <c r="H144" s="67">
        <f t="shared" si="110"/>
        <v>440.78586389965557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254.6443970237226</v>
      </c>
      <c r="T144" s="59">
        <f t="shared" si="142"/>
        <v>231.81667808018062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51.587323339705748</v>
      </c>
      <c r="AA144" s="21">
        <f>EXP(-LN(2)/25)*AA143+(1-EXP(-LN(2)/25))/(LN(2)/25)*Calculateur!V144*Calculateur!X144*VLOOKUP('Données projet'!$B$9,Paramètres!$A$1:$I$89,3,0)*0.475*44/12</f>
        <v>7.7413916215959722</v>
      </c>
      <c r="AB144" s="21">
        <f>EXP(-LN(2)/2)*AB143+(1-EXP(-LN(2)/2))/(LN(2)/2)*V144*Y144*VLOOKUP('Données projet'!$B$9,Paramètres!$A$1:$I$89,3,0)*0.475*44/12</f>
        <v>8.1973069128315534E-10</v>
      </c>
      <c r="AC144" s="22">
        <f t="shared" si="111"/>
        <v>59.328714962121452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180.31844548479722</v>
      </c>
      <c r="AO144" s="59">
        <f t="shared" si="144"/>
        <v>273.83237400307223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16.750322883425994</v>
      </c>
      <c r="AV144" s="21">
        <f>EXP(-LN(2)/25)*AV143+(1-EXP(-LN(2)/25))/(LN(2)/25)*Calculateur!AQ144*Calculateur!AS144*VLOOKUP('Données projet'!$B$10,Paramètres!$A$1:$I$89,3,0)*0.475*44/12</f>
        <v>15.306384544441096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32.056707427867089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5.1063034188034209</v>
      </c>
      <c r="BD144" s="12">
        <f>IF('Données projet'!$A$88&gt;35,BD143+BC144-BL143,IF(A144&lt;'Données projet'!$A$88,$BA$205^A144,IF(A144='Données projet'!$A$88,'Données projet'!$B$88,BD143+BC144-BL143)))</f>
        <v>262.33547008546969</v>
      </c>
      <c r="BE144" s="13">
        <f>BD144*VLOOKUP('Données projet'!$B$11,Paramètres!$A$1:$I$89,3,0)*VLOOKUP('Données projet'!$B$11,Paramètres!$A$1:$I$89,5,0)</f>
        <v>266.00816666666628</v>
      </c>
      <c r="BF144" s="13">
        <f t="shared" si="145"/>
        <v>64.00136850958036</v>
      </c>
      <c r="BG144" s="20">
        <f t="shared" si="115"/>
        <v>574.76660709862961</v>
      </c>
      <c r="BH144" s="59">
        <f t="shared" si="116"/>
        <v>868.09994043196298</v>
      </c>
      <c r="BI144" s="59">
        <f ca="1">AVERAGE(OFFSET($BH$3,0,0,'Données projet'!$E$11+1,1))-AVERAGE(OFFSET($H$3,0,0,'Données projet'!$E$11+1,1))</f>
        <v>264.08050363622294</v>
      </c>
      <c r="BJ144" s="59">
        <f t="shared" si="146"/>
        <v>164.48884512322883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50.763565734070205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50.763565734070205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66.456000000000259</v>
      </c>
      <c r="D145" s="11">
        <f t="shared" si="140"/>
        <v>18.790713966583677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658.04480956661291</v>
      </c>
      <c r="H145" s="67">
        <f t="shared" si="110"/>
        <v>441.80469349180032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254.6443970237226</v>
      </c>
      <c r="T145" s="59">
        <f t="shared" si="142"/>
        <v>231.81667808018062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50.575727394174429</v>
      </c>
      <c r="AA145" s="21">
        <f>EXP(-LN(2)/25)*AA144+(1-EXP(-LN(2)/25))/(LN(2)/25)*Calculateur!V145*Calculateur!X145*VLOOKUP('Données projet'!$B$9,Paramètres!$A$1:$I$89,3,0)*0.475*44/12</f>
        <v>7.5297028606013381</v>
      </c>
      <c r="AB145" s="21">
        <f>EXP(-LN(2)/2)*AB144+(1-EXP(-LN(2)/2))/(LN(2)/2)*V145*Y145*VLOOKUP('Données projet'!$B$9,Paramètres!$A$1:$I$89,3,0)*0.475*44/12</f>
        <v>5.7963713055305545E-10</v>
      </c>
      <c r="AC145" s="22">
        <f t="shared" si="111"/>
        <v>58.105430255355408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180.31844548479722</v>
      </c>
      <c r="AO145" s="59">
        <f t="shared" si="144"/>
        <v>273.83237400307223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16.421859268370156</v>
      </c>
      <c r="AV145" s="21">
        <f>EXP(-LN(2)/25)*AV144+(1-EXP(-LN(2)/25))/(LN(2)/25)*Calculateur!AQ145*Calculateur!AS145*VLOOKUP('Données projet'!$B$10,Paramètres!$A$1:$I$89,3,0)*0.475*44/12</f>
        <v>14.887830654145574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31.30968992251573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5.1063034188034209</v>
      </c>
      <c r="BD145" s="12">
        <f>IF('Données projet'!$A$88&gt;35,BD144+BC145-BL144,IF(A145&lt;'Données projet'!$A$88,$BA$205^A145,IF(A145='Données projet'!$A$88,'Données projet'!$B$88,BD144+BC145-BL144)))</f>
        <v>267.4417735042731</v>
      </c>
      <c r="BE145" s="13">
        <f>BD145*VLOOKUP('Données projet'!$B$11,Paramètres!$A$1:$I$89,3,0)*VLOOKUP('Données projet'!$B$11,Paramètres!$A$1:$I$89,5,0)</f>
        <v>271.18595833333296</v>
      </c>
      <c r="BF145" s="13">
        <f t="shared" si="145"/>
        <v>65.100895340597489</v>
      </c>
      <c r="BG145" s="20">
        <f t="shared" si="115"/>
        <v>585.69960348209554</v>
      </c>
      <c r="BH145" s="59">
        <f t="shared" si="116"/>
        <v>879.03293681542891</v>
      </c>
      <c r="BI145" s="59">
        <f ca="1">AVERAGE(OFFSET($BH$3,0,0,'Données projet'!$E$11+1,1))-AVERAGE(OFFSET($H$3,0,0,'Données projet'!$E$11+1,1))</f>
        <v>264.08050363622294</v>
      </c>
      <c r="BJ145" s="59">
        <f t="shared" si="146"/>
        <v>164.48884512322883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49.768123172742875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49.768123172742875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66.924000000000262</v>
      </c>
      <c r="D146" s="11">
        <f t="shared" si="140"/>
        <v>18.90759204786773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662.559657913367</v>
      </c>
      <c r="H146" s="67">
        <f t="shared" si="110"/>
        <v>442.82335615003672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254.6443970237226</v>
      </c>
      <c r="T146" s="59">
        <f t="shared" si="142"/>
        <v>231.81667808018062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49.58396822812238</v>
      </c>
      <c r="AA146" s="21">
        <f>EXP(-LN(2)/25)*AA145+(1-EXP(-LN(2)/25))/(LN(2)/25)*Calculateur!V146*Calculateur!X146*VLOOKUP('Données projet'!$B$9,Paramètres!$A$1:$I$89,3,0)*0.475*44/12</f>
        <v>7.3238027399083308</v>
      </c>
      <c r="AB146" s="21">
        <f>EXP(-LN(2)/2)*AB145+(1-EXP(-LN(2)/2))/(LN(2)/2)*V146*Y146*VLOOKUP('Données projet'!$B$9,Paramètres!$A$1:$I$89,3,0)*0.475*44/12</f>
        <v>4.0986534564157767E-10</v>
      </c>
      <c r="AC146" s="22">
        <f t="shared" si="111"/>
        <v>56.907770968440573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180.31844548479722</v>
      </c>
      <c r="AO146" s="59">
        <f t="shared" si="144"/>
        <v>273.83237400307223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16.09983662446254</v>
      </c>
      <c r="AV146" s="21">
        <f>EXP(-LN(2)/25)*AV145+(1-EXP(-LN(2)/25))/(LN(2)/25)*Calculateur!AQ146*Calculateur!AS146*VLOOKUP('Données projet'!$B$10,Paramètres!$A$1:$I$89,3,0)*0.475*44/12</f>
        <v>14.480722141990976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30.580558766453514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5.1063034188034209</v>
      </c>
      <c r="BD146" s="12">
        <f>IF('Données projet'!$A$88&gt;35,BD145+BC146-BL145,IF(A146&lt;'Données projet'!$A$88,$BA$205^A146,IF(A146='Données projet'!$A$88,'Données projet'!$B$88,BD145+BC146-BL145)))</f>
        <v>272.54807692307651</v>
      </c>
      <c r="BE146" s="13">
        <f>BD146*VLOOKUP('Données projet'!$B$11,Paramètres!$A$1:$I$89,3,0)*VLOOKUP('Données projet'!$B$11,Paramètres!$A$1:$I$89,5,0)</f>
        <v>276.36374999999958</v>
      </c>
      <c r="BF146" s="13">
        <f t="shared" si="145"/>
        <v>66.19798109408589</v>
      </c>
      <c r="BG146" s="20">
        <f t="shared" si="115"/>
        <v>596.6283483221988</v>
      </c>
      <c r="BH146" s="59">
        <f t="shared" si="116"/>
        <v>889.96168165553217</v>
      </c>
      <c r="BI146" s="59">
        <f ca="1">AVERAGE(OFFSET($BH$3,0,0,'Données projet'!$E$11+1,1))-AVERAGE(OFFSET($H$3,0,0,'Données projet'!$E$11+1,1))</f>
        <v>264.08050363622294</v>
      </c>
      <c r="BJ146" s="59">
        <f t="shared" si="146"/>
        <v>164.48884512322883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48.792200632883159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48.792200632883159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67.392000000000266</v>
      </c>
      <c r="D147" s="11">
        <f t="shared" si="140"/>
        <v>19.024375029918055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667.07377216077305</v>
      </c>
      <c r="H147" s="67">
        <f t="shared" si="110"/>
        <v>443.84185317710774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254.6443970237226</v>
      </c>
      <c r="T147" s="59">
        <f t="shared" si="142"/>
        <v>231.81667808018062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48.61165685440325</v>
      </c>
      <c r="AA147" s="21">
        <f>EXP(-LN(2)/25)*AA146+(1-EXP(-LN(2)/25))/(LN(2)/25)*Calculateur!V147*Calculateur!X147*VLOOKUP('Données projet'!$B$9,Paramètres!$A$1:$I$89,3,0)*0.475*44/12</f>
        <v>7.1235329688434899</v>
      </c>
      <c r="AB147" s="21">
        <f>EXP(-LN(2)/2)*AB146+(1-EXP(-LN(2)/2))/(LN(2)/2)*V147*Y147*VLOOKUP('Données projet'!$B$9,Paramètres!$A$1:$I$89,3,0)*0.475*44/12</f>
        <v>2.8981856527652773E-10</v>
      </c>
      <c r="AC147" s="22">
        <f t="shared" si="111"/>
        <v>55.735189823536558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180.31844548479722</v>
      </c>
      <c r="AO147" s="59">
        <f t="shared" si="144"/>
        <v>273.83237400307223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15.784128648187533</v>
      </c>
      <c r="AV147" s="21">
        <f>EXP(-LN(2)/25)*AV146+(1-EXP(-LN(2)/25))/(LN(2)/25)*Calculateur!AQ147*Calculateur!AS147*VLOOKUP('Données projet'!$B$10,Paramètres!$A$1:$I$89,3,0)*0.475*44/12</f>
        <v>14.08474603351015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29.868874681697683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5.1063034188034209</v>
      </c>
      <c r="BD147" s="12">
        <f>IF('Données projet'!$A$88&gt;35,BD146+BC147-BL146,IF(A147&lt;'Données projet'!$A$88,$BA$205^A147,IF(A147='Données projet'!$A$88,'Données projet'!$B$88,BD146+BC147-BL146)))</f>
        <v>277.65438034187991</v>
      </c>
      <c r="BE147" s="13">
        <f>BD147*VLOOKUP('Données projet'!$B$11,Paramètres!$A$1:$I$89,3,0)*VLOOKUP('Données projet'!$B$11,Paramètres!$A$1:$I$89,5,0)</f>
        <v>281.54154166666626</v>
      </c>
      <c r="BF147" s="13">
        <f t="shared" si="145"/>
        <v>67.292676778560462</v>
      </c>
      <c r="BG147" s="20">
        <f t="shared" si="115"/>
        <v>607.55293045876988</v>
      </c>
      <c r="BH147" s="59">
        <f t="shared" si="116"/>
        <v>900.88626379210314</v>
      </c>
      <c r="BI147" s="59">
        <f ca="1">AVERAGE(OFFSET($BH$3,0,0,'Données projet'!$E$11+1,1))-AVERAGE(OFFSET($H$3,0,0,'Données projet'!$E$11+1,1))</f>
        <v>264.08050363622294</v>
      </c>
      <c r="BJ147" s="59">
        <f t="shared" si="146"/>
        <v>164.48884512322883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47.835415338776123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47.835415338776123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67.860000000000269</v>
      </c>
      <c r="D148" s="11">
        <f t="shared" si="140"/>
        <v>19.141063649731827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671.58715799793197</v>
      </c>
      <c r="H148" s="67">
        <f t="shared" si="110"/>
        <v>444.86018585661668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254.6443970237226</v>
      </c>
      <c r="T148" s="59">
        <f t="shared" si="142"/>
        <v>231.81667808018062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47.658411913671372</v>
      </c>
      <c r="AA148" s="21">
        <f>EXP(-LN(2)/25)*AA147+(1-EXP(-LN(2)/25))/(LN(2)/25)*Calculateur!V148*Calculateur!X148*VLOOKUP('Données projet'!$B$9,Paramètres!$A$1:$I$89,3,0)*0.475*44/12</f>
        <v>6.9287395852001472</v>
      </c>
      <c r="AB148" s="21">
        <f>EXP(-LN(2)/2)*AB147+(1-EXP(-LN(2)/2))/(LN(2)/2)*V148*Y148*VLOOKUP('Données projet'!$B$9,Paramètres!$A$1:$I$89,3,0)*0.475*44/12</f>
        <v>2.0493267282078883E-10</v>
      </c>
      <c r="AC148" s="22">
        <f t="shared" si="111"/>
        <v>54.587151499076455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180.31844548479722</v>
      </c>
      <c r="AO148" s="59">
        <f t="shared" si="144"/>
        <v>273.83237400307223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15.474611512764428</v>
      </c>
      <c r="AV148" s="21">
        <f>EXP(-LN(2)/25)*AV147+(1-EXP(-LN(2)/25))/(LN(2)/25)*Calculateur!AQ148*Calculateur!AS148*VLOOKUP('Données projet'!$B$10,Paramètres!$A$1:$I$89,3,0)*0.475*44/12</f>
        <v>13.699597912539213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29.174209425303641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5.1063034188034209</v>
      </c>
      <c r="BD148" s="12">
        <f>IF('Données projet'!$A$88&gt;35,BD147+BC148-BL147,IF(A148&lt;'Données projet'!$A$88,$BA$205^A148,IF(A148='Données projet'!$A$88,'Données projet'!$B$88,BD147+BC148-BL147)))</f>
        <v>282.76068376068332</v>
      </c>
      <c r="BE148" s="13">
        <f>BD148*VLOOKUP('Données projet'!$B$11,Paramètres!$A$1:$I$89,3,0)*VLOOKUP('Données projet'!$B$11,Paramètres!$A$1:$I$89,5,0)</f>
        <v>286.71933333333288</v>
      </c>
      <c r="BF148" s="13">
        <f t="shared" si="145"/>
        <v>68.38503141894958</v>
      </c>
      <c r="BG148" s="20">
        <f t="shared" si="115"/>
        <v>618.47343527689191</v>
      </c>
      <c r="BH148" s="59">
        <f t="shared" si="116"/>
        <v>911.80676861022516</v>
      </c>
      <c r="BI148" s="59">
        <f ca="1">AVERAGE(OFFSET($BH$3,0,0,'Données projet'!$E$11+1,1))-AVERAGE(OFFSET($H$3,0,0,'Données projet'!$E$11+1,1))</f>
        <v>264.08050363622294</v>
      </c>
      <c r="BJ148" s="59">
        <f t="shared" si="146"/>
        <v>164.48884512322883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46.897392020705119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46.897392020705119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68.328000000000273</v>
      </c>
      <c r="D149" s="11">
        <f t="shared" si="140"/>
        <v>19.257658633553223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676.09982103093932</v>
      </c>
      <c r="H149" s="67">
        <f t="shared" si="110"/>
        <v>445.87835545343899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254.6443970237226</v>
      </c>
      <c r="T149" s="59">
        <f t="shared" si="142"/>
        <v>231.81667808018062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46.723859524805242</v>
      </c>
      <c r="AA149" s="21">
        <f>EXP(-LN(2)/25)*AA148+(1-EXP(-LN(2)/25))/(LN(2)/25)*Calculateur!V149*Calculateur!X149*VLOOKUP('Données projet'!$B$9,Paramètres!$A$1:$I$89,3,0)*0.475*44/12</f>
        <v>6.7392728368762702</v>
      </c>
      <c r="AB149" s="21">
        <f>EXP(-LN(2)/2)*AB148+(1-EXP(-LN(2)/2))/(LN(2)/2)*V149*Y149*VLOOKUP('Données projet'!$B$9,Paramètres!$A$1:$I$89,3,0)*0.475*44/12</f>
        <v>1.4490928263826386E-10</v>
      </c>
      <c r="AC149" s="22">
        <f t="shared" si="111"/>
        <v>53.463132361826418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180.31844548479722</v>
      </c>
      <c r="AO149" s="59">
        <f t="shared" si="144"/>
        <v>273.83237400307223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15.171163819580158</v>
      </c>
      <c r="AV149" s="21">
        <f>EXP(-LN(2)/25)*AV148+(1-EXP(-LN(2)/25))/(LN(2)/25)*Calculateur!AQ149*Calculateur!AS149*VLOOKUP('Données projet'!$B$10,Paramètres!$A$1:$I$89,3,0)*0.475*44/12</f>
        <v>13.324981687190284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28.496145506770443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5.1063034188034209</v>
      </c>
      <c r="BD149" s="12">
        <f>IF('Données projet'!$A$88&gt;35,BD148+BC149-BL148,IF(A149&lt;'Données projet'!$A$88,$BA$205^A149,IF(A149='Données projet'!$A$88,'Données projet'!$B$88,BD148+BC149-BL148)))</f>
        <v>287.86698717948673</v>
      </c>
      <c r="BE149" s="13">
        <f>BD149*VLOOKUP('Données projet'!$B$11,Paramètres!$A$1:$I$89,3,0)*VLOOKUP('Données projet'!$B$11,Paramètres!$A$1:$I$89,5,0)</f>
        <v>291.89712499999956</v>
      </c>
      <c r="BF149" s="13">
        <f t="shared" si="145"/>
        <v>69.47509216813539</v>
      </c>
      <c r="BG149" s="20">
        <f t="shared" si="115"/>
        <v>629.38994490116841</v>
      </c>
      <c r="BH149" s="59">
        <f t="shared" si="116"/>
        <v>922.72327823450178</v>
      </c>
      <c r="BI149" s="59">
        <f ca="1">AVERAGE(OFFSET($BH$3,0,0,'Données projet'!$E$11+1,1))-AVERAGE(OFFSET($H$3,0,0,'Données projet'!$E$11+1,1))</f>
        <v>264.08050363622294</v>
      </c>
      <c r="BJ149" s="59">
        <f t="shared" si="146"/>
        <v>164.48884512322883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45.977762767763757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45.977762767763757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68.796000000000276</v>
      </c>
      <c r="D150" s="11">
        <f t="shared" si="140"/>
        <v>19.374160697102795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680.61176678465529</v>
      </c>
      <c r="H150" s="67">
        <f t="shared" si="110"/>
        <v>446.89636321412115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254.6443970237226</v>
      </c>
      <c r="T150" s="59">
        <f t="shared" si="142"/>
        <v>231.81667808018062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45.807633138264102</v>
      </c>
      <c r="AA150" s="21">
        <f>EXP(-LN(2)/25)*AA149+(1-EXP(-LN(2)/25))/(LN(2)/25)*Calculateur!V150*Calculateur!X150*VLOOKUP('Données projet'!$B$9,Paramètres!$A$1:$I$89,3,0)*0.475*44/12</f>
        <v>6.5549870667489332</v>
      </c>
      <c r="AB150" s="21">
        <f>EXP(-LN(2)/2)*AB149+(1-EXP(-LN(2)/2))/(LN(2)/2)*V150*Y150*VLOOKUP('Données projet'!$B$9,Paramètres!$A$1:$I$89,3,0)*0.475*44/12</f>
        <v>1.0246633641039442E-10</v>
      </c>
      <c r="AC150" s="22">
        <f t="shared" si="111"/>
        <v>52.362620205115505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180.31844548479722</v>
      </c>
      <c r="AO150" s="59">
        <f t="shared" si="144"/>
        <v>273.83237400307223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14.873666550574415</v>
      </c>
      <c r="AV150" s="21">
        <f>EXP(-LN(2)/25)*AV149+(1-EXP(-LN(2)/25))/(LN(2)/25)*Calculateur!AQ150*Calculateur!AS150*VLOOKUP('Données projet'!$B$10,Paramètres!$A$1:$I$89,3,0)*0.475*44/12</f>
        <v>12.960609362223733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27.834275912798148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5.1063034188034209</v>
      </c>
      <c r="BD150" s="12">
        <f>IF('Données projet'!$A$88&gt;35,BD149+BC150-BL149,IF(A150&lt;'Données projet'!$A$88,$BA$205^A150,IF(A150='Données projet'!$A$88,'Données projet'!$B$88,BD149+BC150-BL149)))</f>
        <v>292.97329059829013</v>
      </c>
      <c r="BE150" s="13">
        <f>BD150*VLOOKUP('Données projet'!$B$11,Paramètres!$A$1:$I$89,3,0)*VLOOKUP('Données projet'!$B$11,Paramètres!$A$1:$I$89,5,0)</f>
        <v>297.07491666666618</v>
      </c>
      <c r="BF150" s="13">
        <f t="shared" si="145"/>
        <v>70.562904410355046</v>
      </c>
      <c r="BG150" s="20">
        <f t="shared" si="115"/>
        <v>640.30253837581188</v>
      </c>
      <c r="BH150" s="59">
        <f t="shared" si="116"/>
        <v>933.63587170914525</v>
      </c>
      <c r="BI150" s="59">
        <f ca="1">AVERAGE(OFFSET($BH$3,0,0,'Données projet'!$E$11+1,1))-AVERAGE(OFFSET($H$3,0,0,'Données projet'!$E$11+1,1))</f>
        <v>264.08050363622294</v>
      </c>
      <c r="BJ150" s="59">
        <f t="shared" si="146"/>
        <v>164.48884512322883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45.076166883554116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45.076166883554116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69.26400000000028</v>
      </c>
      <c r="D151" s="11">
        <f t="shared" si="140"/>
        <v>19.490570545800512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685.12300070442723</v>
      </c>
      <c r="H151" s="67">
        <f t="shared" si="110"/>
        <v>447.91421036726967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254.6443970237226</v>
      </c>
      <c r="T151" s="59">
        <f t="shared" si="142"/>
        <v>231.81667808018062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44.90937339232012</v>
      </c>
      <c r="AA151" s="21">
        <f>EXP(-LN(2)/25)*AA150+(1-EXP(-LN(2)/25))/(LN(2)/25)*Calculateur!V151*Calculateur!X151*VLOOKUP('Données projet'!$B$9,Paramètres!$A$1:$I$89,3,0)*0.475*44/12</f>
        <v>6.3757406006968953</v>
      </c>
      <c r="AB151" s="21">
        <f>EXP(-LN(2)/2)*AB150+(1-EXP(-LN(2)/2))/(LN(2)/2)*V151*Y151*VLOOKUP('Données projet'!$B$9,Paramètres!$A$1:$I$89,3,0)*0.475*44/12</f>
        <v>7.2454641319131931E-11</v>
      </c>
      <c r="AC151" s="22">
        <f t="shared" si="111"/>
        <v>51.285113993089467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180.31844548479722</v>
      </c>
      <c r="AO151" s="59">
        <f t="shared" si="144"/>
        <v>273.83237400307223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14.582003021558457</v>
      </c>
      <c r="AV151" s="21">
        <f>EXP(-LN(2)/25)*AV150+(1-EXP(-LN(2)/25))/(LN(2)/25)*Calculateur!AQ151*Calculateur!AS151*VLOOKUP('Données projet'!$B$10,Paramètres!$A$1:$I$89,3,0)*0.475*44/12</f>
        <v>12.606200817644901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27.188203839203357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5.1063034188034209</v>
      </c>
      <c r="BD151" s="12">
        <f>IF('Données projet'!$A$88&gt;35,BD150+BC151-BL150,IF(A151&lt;'Données projet'!$A$88,$BA$205^A151,IF(A151='Données projet'!$A$88,'Données projet'!$B$88,BD150+BC151-BL150)))</f>
        <v>298.07959401709354</v>
      </c>
      <c r="BE151" s="13">
        <f>BD151*VLOOKUP('Données projet'!$B$11,Paramètres!$A$1:$I$89,3,0)*VLOOKUP('Données projet'!$B$11,Paramètres!$A$1:$I$89,5,0)</f>
        <v>302.25270833333286</v>
      </c>
      <c r="BF151" s="13">
        <f t="shared" si="145"/>
        <v>71.648511857189575</v>
      </c>
      <c r="BG151" s="20">
        <f t="shared" si="115"/>
        <v>651.21129183182666</v>
      </c>
      <c r="BH151" s="59">
        <f t="shared" si="116"/>
        <v>944.54462516515991</v>
      </c>
      <c r="BI151" s="59">
        <f ca="1">AVERAGE(OFFSET($BH$3,0,0,'Données projet'!$E$11+1,1))-AVERAGE(OFFSET($H$3,0,0,'Données projet'!$E$11+1,1))</f>
        <v>264.08050363622294</v>
      </c>
      <c r="BJ151" s="59">
        <f t="shared" si="146"/>
        <v>164.48884512322883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44.192250744714634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44.192250744714634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69.732000000000284</v>
      </c>
      <c r="D152" s="11">
        <f t="shared" si="140"/>
        <v>19.606888874982584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689.63352815776261</v>
      </c>
      <c r="H152" s="67">
        <f t="shared" si="110"/>
        <v>448.93189812392848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254.6443970237226</v>
      </c>
      <c r="T152" s="59">
        <f t="shared" si="142"/>
        <v>231.81667808018062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44.028727972109756</v>
      </c>
      <c r="AA152" s="21">
        <f>EXP(-LN(2)/25)*AA151+(1-EXP(-LN(2)/25))/(LN(2)/25)*Calculateur!V152*Calculateur!X152*VLOOKUP('Données projet'!$B$9,Paramètres!$A$1:$I$89,3,0)*0.475*44/12</f>
        <v>6.201395638685212</v>
      </c>
      <c r="AB152" s="21">
        <f>EXP(-LN(2)/2)*AB151+(1-EXP(-LN(2)/2))/(LN(2)/2)*V152*Y152*VLOOKUP('Données projet'!$B$9,Paramètres!$A$1:$I$89,3,0)*0.475*44/12</f>
        <v>5.1233168205197209E-11</v>
      </c>
      <c r="AC152" s="22">
        <f t="shared" si="111"/>
        <v>50.230123610846199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180.31844548479722</v>
      </c>
      <c r="AO152" s="59">
        <f t="shared" si="144"/>
        <v>273.83237400307223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14.296058836449316</v>
      </c>
      <c r="AV152" s="21">
        <f>EXP(-LN(2)/25)*AV151+(1-EXP(-LN(2)/25))/(LN(2)/25)*Calculateur!AQ152*Calculateur!AS152*VLOOKUP('Données projet'!$B$10,Paramètres!$A$1:$I$89,3,0)*0.475*44/12</f>
        <v>12.261483593355111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26.557542429804428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>
        <f>VLOOKUP(A152,'Données projet'!$A$87:$I$107,2,0)</f>
        <v>303.18589743589746</v>
      </c>
      <c r="BB152" s="12">
        <f>VLOOKUP(A152,'Données projet'!$A$87:$I$107,9,0)</f>
        <v>5.1063034188034209</v>
      </c>
      <c r="BC152" s="12">
        <f t="array" ref="BC152">INDEX(BB:BB,MIN(IF(ISNUMBER(BB152:BB348),ROW(BB152:BB348),"")))</f>
        <v>5.1063034188034209</v>
      </c>
      <c r="BD152" s="12">
        <f>IF('Données projet'!$A$88&gt;35,BD151+BC152-BL151,IF(A152&lt;'Données projet'!$A$88,$BA$205^A152,IF(A152='Données projet'!$A$88,'Données projet'!$B$88,BD151+BC152-BL151)))</f>
        <v>303.18589743589695</v>
      </c>
      <c r="BE152" s="13">
        <f>BD152*VLOOKUP('Données projet'!$B$11,Paramètres!$A$1:$I$89,3,0)*VLOOKUP('Données projet'!$B$11,Paramètres!$A$1:$I$89,5,0)</f>
        <v>307.43049999999948</v>
      </c>
      <c r="BF152" s="13">
        <f t="shared" si="145"/>
        <v>72.731956636788439</v>
      </c>
      <c r="BG152" s="20">
        <f t="shared" si="115"/>
        <v>662.11627864240563</v>
      </c>
      <c r="BH152" s="59">
        <f t="shared" si="116"/>
        <v>955.44961197573889</v>
      </c>
      <c r="BI152" s="59">
        <f ca="1">AVERAGE(OFFSET($BH$3,0,0,'Données projet'!$E$11+1,1))-AVERAGE(OFFSET($H$3,0,0,'Données projet'!$E$11+1,1))</f>
        <v>264.08050363622294</v>
      </c>
      <c r="BJ152" s="59">
        <f t="shared" si="146"/>
        <v>164.48884512322883</v>
      </c>
      <c r="BK152" s="15">
        <f>IF(ISNA(VLOOKUP(A152,'Données projet'!$A$87:$I$107,3,0)),0,VLOOKUP(A152,'Données projet'!$A$87:$I$107,3,0))</f>
        <v>12</v>
      </c>
      <c r="BL152" s="15">
        <f>IF(ISNA(VLOOKUP(A152,'Données projet'!$A$87:$I$107,4,0)),0,VLOOKUP(A152,'Données projet'!$A$87:$I$107,4,0))</f>
        <v>120.50641025641026</v>
      </c>
      <c r="BM152" s="16">
        <f>IF(ISNA(VLOOKUP(A152,'Données projet'!$A$87:$I$107,5,0)),0%,VLOOKUP(A152,'Données projet'!$A$87:$I$107,5,0)*VLOOKUP('Données projet'!$B$11,Paramètres!$A$1:$I$89,7,0))</f>
        <v>0.38700000000000001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95.602128758127037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95.602128758127037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70.200000000000287</v>
      </c>
      <c r="D153" s="11">
        <f t="shared" si="140"/>
        <v>19.723116370112255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694.14335443595644</v>
      </c>
      <c r="H153" s="67">
        <f t="shared" si="110"/>
        <v>449.94942767794601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254.6443970237226</v>
      </c>
      <c r="T153" s="59">
        <f t="shared" si="142"/>
        <v>231.81667808018062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43.16535147144905</v>
      </c>
      <c r="AA153" s="21">
        <f>EXP(-LN(2)/25)*AA152+(1-EXP(-LN(2)/25))/(LN(2)/25)*Calculateur!V153*Calculateur!X153*VLOOKUP('Données projet'!$B$9,Paramètres!$A$1:$I$89,3,0)*0.475*44/12</f>
        <v>6.0318181488281422</v>
      </c>
      <c r="AB153" s="21">
        <f>EXP(-LN(2)/2)*AB152+(1-EXP(-LN(2)/2))/(LN(2)/2)*V153*Y153*VLOOKUP('Données projet'!$B$9,Paramètres!$A$1:$I$89,3,0)*0.475*44/12</f>
        <v>3.6227320659565966E-11</v>
      </c>
      <c r="AC153" s="22">
        <f t="shared" si="111"/>
        <v>49.197169620313424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180.31844548479722</v>
      </c>
      <c r="AO153" s="59">
        <f t="shared" si="144"/>
        <v>273.83237400307223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14.015721842401433</v>
      </c>
      <c r="AV153" s="21">
        <f>EXP(-LN(2)/25)*AV152+(1-EXP(-LN(2)/25))/(LN(2)/25)*Calculateur!AQ153*Calculateur!AS153*VLOOKUP('Données projet'!$B$10,Paramètres!$A$1:$I$89,3,0)*0.475*44/12</f>
        <v>11.926192679691416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25.941914522092851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3.0945512820512704</v>
      </c>
      <c r="BD153" s="12">
        <f>IF('Données projet'!$A$88&gt;35,BD152+BC153-BL152,IF(A153&lt;'Données projet'!$A$88,$BA$205^A153,IF(A153='Données projet'!$A$88,'Données projet'!$B$88,BD152+BC153-BL152)))</f>
        <v>185.77403846153794</v>
      </c>
      <c r="BE153" s="13">
        <f>BD153*VLOOKUP('Données projet'!$B$11,Paramètres!$A$1:$I$89,3,0)*VLOOKUP('Données projet'!$B$11,Paramètres!$A$1:$I$89,5,0)</f>
        <v>188.37487499999949</v>
      </c>
      <c r="BF153" s="13">
        <f t="shared" si="145"/>
        <v>47.180481359608336</v>
      </c>
      <c r="BG153" s="20">
        <f t="shared" si="115"/>
        <v>410.25891232631693</v>
      </c>
      <c r="BH153" s="59">
        <f t="shared" si="116"/>
        <v>703.59224565965019</v>
      </c>
      <c r="BI153" s="59">
        <f ca="1">AVERAGE(OFFSET($BH$3,0,0,'Données projet'!$E$11+1,1))-AVERAGE(OFFSET($H$3,0,0,'Données projet'!$E$11+1,1))</f>
        <v>264.08050363622294</v>
      </c>
      <c r="BJ153" s="59">
        <f t="shared" si="146"/>
        <v>164.48884512322883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93.727429324720916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93.727429324720916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70.668000000000291</v>
      </c>
      <c r="D154" s="11">
        <f t="shared" si="140"/>
        <v>19.839253706984934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698.65248475567535</v>
      </c>
      <c r="H154" s="67">
        <f t="shared" si="110"/>
        <v>450.96680020633255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254.6443970237226</v>
      </c>
      <c r="T154" s="59">
        <f t="shared" si="142"/>
        <v>231.81667808018062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42.31890525735863</v>
      </c>
      <c r="AA154" s="21">
        <f>EXP(-LN(2)/25)*AA153+(1-EXP(-LN(2)/25))/(LN(2)/25)*Calculateur!V154*Calculateur!X154*VLOOKUP('Données projet'!$B$9,Paramètres!$A$1:$I$89,3,0)*0.475*44/12</f>
        <v>5.8668777643489065</v>
      </c>
      <c r="AB154" s="21">
        <f>EXP(-LN(2)/2)*AB153+(1-EXP(-LN(2)/2))/(LN(2)/2)*V154*Y154*VLOOKUP('Données projet'!$B$9,Paramètres!$A$1:$I$89,3,0)*0.475*44/12</f>
        <v>2.5616584102598604E-11</v>
      </c>
      <c r="AC154" s="22">
        <f t="shared" ref="AC154:AC203" si="163">SUM(Z154:AB154)</f>
        <v>48.185783021733151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180.31844548479722</v>
      </c>
      <c r="AO154" s="59">
        <f t="shared" si="144"/>
        <v>273.83237400307223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13.740882085818146</v>
      </c>
      <c r="AV154" s="21">
        <f>EXP(-LN(2)/25)*AV153+(1-EXP(-LN(2)/25))/(LN(2)/25)*Calculateur!AQ154*Calculateur!AS154*VLOOKUP('Données projet'!$B$10,Paramètres!$A$1:$I$89,3,0)*0.475*44/12</f>
        <v>11.600070313694038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25.340952399512183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3.0945512820512704</v>
      </c>
      <c r="BD154" s="12">
        <f>IF('Données projet'!$A$88&gt;35,BD153+BC154-BL153,IF(A154&lt;'Données projet'!$A$88,$BA$205^A154,IF(A154='Données projet'!$A$88,'Données projet'!$B$88,BD153+BC154-BL153)))</f>
        <v>188.86858974358921</v>
      </c>
      <c r="BE154" s="13">
        <f>BD154*VLOOKUP('Données projet'!$B$11,Paramètres!$A$1:$I$89,3,0)*VLOOKUP('Données projet'!$B$11,Paramètres!$A$1:$I$89,5,0)</f>
        <v>191.51274999999947</v>
      </c>
      <c r="BF154" s="13">
        <f t="shared" ref="BF154:BF203" si="167">EXP(-1.0587+0.8836*LN(BE154)+0.284)</f>
        <v>47.874245879088207</v>
      </c>
      <c r="BG154" s="20">
        <f t="shared" ref="BG154:BG203" si="168">(BE154+BF154)*0.475*44/12</f>
        <v>416.93235115607769</v>
      </c>
      <c r="BH154" s="59">
        <f t="shared" si="116"/>
        <v>710.265684489411</v>
      </c>
      <c r="BI154" s="59">
        <f ca="1">AVERAGE(OFFSET($BH$3,0,0,'Données projet'!$E$11+1,1))-AVERAGE(OFFSET($H$3,0,0,'Données projet'!$E$11+1,1))</f>
        <v>264.08050363622294</v>
      </c>
      <c r="BJ154" s="59">
        <f t="shared" si="146"/>
        <v>164.48884512322883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91.889491603750145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91.889491603750145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71.136000000000294</v>
      </c>
      <c r="D155" s="11">
        <f t="shared" si="140"/>
        <v>19.955301551927551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703.16092426049556</v>
      </c>
      <c r="H155" s="67">
        <f t="shared" si="110"/>
        <v>451.98401686960767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254.6443970237226</v>
      </c>
      <c r="T155" s="59">
        <f t="shared" si="142"/>
        <v>231.81667808018062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41.489057337245313</v>
      </c>
      <c r="AA155" s="21">
        <f>EXP(-LN(2)/25)*AA154+(1-EXP(-LN(2)/25))/(LN(2)/25)*Calculateur!V155*Calculateur!X155*VLOOKUP('Données projet'!$B$9,Paramètres!$A$1:$I$89,3,0)*0.475*44/12</f>
        <v>5.7064476833570934</v>
      </c>
      <c r="AB155" s="21">
        <f>EXP(-LN(2)/2)*AB154+(1-EXP(-LN(2)/2))/(LN(2)/2)*V155*Y155*VLOOKUP('Données projet'!$B$9,Paramètres!$A$1:$I$89,3,0)*0.475*44/12</f>
        <v>1.8113660329782983E-11</v>
      </c>
      <c r="AC155" s="22">
        <f t="shared" si="163"/>
        <v>47.195505020620516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180.31844548479722</v>
      </c>
      <c r="AO155" s="59">
        <f t="shared" si="144"/>
        <v>273.83237400307223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13.471431769225759</v>
      </c>
      <c r="AV155" s="21">
        <f>EXP(-LN(2)/25)*AV154+(1-EXP(-LN(2)/25))/(LN(2)/25)*Calculateur!AQ155*Calculateur!AS155*VLOOKUP('Données projet'!$B$10,Paramètres!$A$1:$I$89,3,0)*0.475*44/12</f>
        <v>11.28286578094489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24.754297550170648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3.0945512820512704</v>
      </c>
      <c r="BD155" s="12">
        <f>IF('Données projet'!$A$88&gt;35,BD154+BC155-BL154,IF(A155&lt;'Données projet'!$A$88,$BA$205^A155,IF(A155='Données projet'!$A$88,'Données projet'!$B$88,BD154+BC155-BL154)))</f>
        <v>191.96314102564048</v>
      </c>
      <c r="BE155" s="13">
        <f>BD155*VLOOKUP('Données projet'!$B$11,Paramètres!$A$1:$I$89,3,0)*VLOOKUP('Données projet'!$B$11,Paramètres!$A$1:$I$89,5,0)</f>
        <v>194.65062499999945</v>
      </c>
      <c r="BF155" s="13">
        <f t="shared" si="167"/>
        <v>48.566688465444784</v>
      </c>
      <c r="BG155" s="20">
        <f t="shared" si="168"/>
        <v>423.60348761898211</v>
      </c>
      <c r="BH155" s="59">
        <f t="shared" si="116"/>
        <v>716.93682095231543</v>
      </c>
      <c r="BI155" s="59">
        <f ca="1">AVERAGE(OFFSET($BH$3,0,0,'Données projet'!$E$11+1,1))-AVERAGE(OFFSET($H$3,0,0,'Données projet'!$E$11+1,1))</f>
        <v>264.08050363622294</v>
      </c>
      <c r="BJ155" s="59">
        <f t="shared" si="146"/>
        <v>164.48884512322883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90.087594720456295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90.087594720456295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71.604000000000298</v>
      </c>
      <c r="D156" s="11">
        <f t="shared" si="140"/>
        <v>20.071260561992666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707.66867802240176</v>
      </c>
      <c r="H156" s="67">
        <f t="shared" si="110"/>
        <v>453.00107881213773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254.6443970237226</v>
      </c>
      <c r="T156" s="59">
        <f t="shared" si="142"/>
        <v>231.81667808018062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40.675482228688168</v>
      </c>
      <c r="AA156" s="21">
        <f>EXP(-LN(2)/25)*AA155+(1-EXP(-LN(2)/25))/(LN(2)/25)*Calculateur!V156*Calculateur!X156*VLOOKUP('Données projet'!$B$9,Paramètres!$A$1:$I$89,3,0)*0.475*44/12</f>
        <v>5.5504045713666521</v>
      </c>
      <c r="AB156" s="21">
        <f>EXP(-LN(2)/2)*AB155+(1-EXP(-LN(2)/2))/(LN(2)/2)*V156*Y156*VLOOKUP('Données projet'!$B$9,Paramètres!$A$1:$I$89,3,0)*0.475*44/12</f>
        <v>1.2808292051299302E-11</v>
      </c>
      <c r="AC156" s="22">
        <f t="shared" si="163"/>
        <v>46.225886800067634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180.31844548479722</v>
      </c>
      <c r="AO156" s="59">
        <f t="shared" si="144"/>
        <v>273.83237400307223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13.207265208993284</v>
      </c>
      <c r="AV156" s="21">
        <f>EXP(-LN(2)/25)*AV155+(1-EXP(-LN(2)/25))/(LN(2)/25)*Calculateur!AQ156*Calculateur!AS156*VLOOKUP('Données projet'!$B$10,Paramètres!$A$1:$I$89,3,0)*0.475*44/12</f>
        <v>10.974335222824829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24.181600431818111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>
        <f>VLOOKUP(A156,'Données projet'!$A$87:$I$107,2,0)</f>
        <v>195.05769230769226</v>
      </c>
      <c r="BB156" s="12">
        <f>VLOOKUP(A156,'Données projet'!$A$87:$I$107,9,0)</f>
        <v>3.0945512820512704</v>
      </c>
      <c r="BC156" s="12">
        <f t="array" ref="BC156">INDEX(BB:BB,MIN(IF(ISNUMBER(BB156:BB352),ROW(BB156:BB352),"")))</f>
        <v>3.0945512820512704</v>
      </c>
      <c r="BD156" s="12">
        <f>IF('Données projet'!$A$88&gt;35,BD155+BC156-BL155,IF(A156&lt;'Données projet'!$A$88,$BA$205^A156,IF(A156='Données projet'!$A$88,'Données projet'!$B$88,BD155+BC156-BL155)))</f>
        <v>195.05769230769175</v>
      </c>
      <c r="BE156" s="13">
        <f>BD156*VLOOKUP('Données projet'!$B$11,Paramètres!$A$1:$I$89,3,0)*VLOOKUP('Données projet'!$B$11,Paramètres!$A$1:$I$89,5,0)</f>
        <v>197.78849999999943</v>
      </c>
      <c r="BF156" s="13">
        <f t="shared" si="167"/>
        <v>49.257832889250977</v>
      </c>
      <c r="BG156" s="20">
        <f t="shared" si="168"/>
        <v>430.27236311544448</v>
      </c>
      <c r="BH156" s="59">
        <f t="shared" si="116"/>
        <v>723.60569644877773</v>
      </c>
      <c r="BI156" s="59">
        <f ca="1">AVERAGE(OFFSET($BH$3,0,0,'Données projet'!$E$11+1,1))-AVERAGE(OFFSET($H$3,0,0,'Données projet'!$E$11+1,1))</f>
        <v>264.08050363622294</v>
      </c>
      <c r="BJ156" s="59">
        <f t="shared" si="146"/>
        <v>164.48884512322883</v>
      </c>
      <c r="BK156" s="15">
        <f>IF(ISNA(VLOOKUP(A156,'Données projet'!$A$87:$I$107,3,0)),0,VLOOKUP(A156,'Données projet'!$A$87:$I$107,3,0))</f>
        <v>13</v>
      </c>
      <c r="BL156" s="15">
        <f>IF(ISNA(VLOOKUP(A156,'Données projet'!$A$87:$I$107,4,0)),0,VLOOKUP(A156,'Données projet'!$A$87:$I$107,4,0))</f>
        <v>70.115384615384613</v>
      </c>
      <c r="BM156" s="16">
        <f>IF(ISNA(VLOOKUP(A156,'Données projet'!$A$87:$I$107,5,0)),0%,VLOOKUP(A156,'Données projet'!$A$87:$I$107,5,0)*VLOOKUP('Données projet'!$B$11,Paramètres!$A$1:$I$89,7,0))</f>
        <v>0.38700000000000001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118.73753980699942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118.73753980699942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72.072000000000301</v>
      </c>
      <c r="D157" s="11">
        <f t="shared" si="140"/>
        <v>20.18713138514735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712.17575104324499</v>
      </c>
      <c r="H157" s="67">
        <f t="shared" si="110"/>
        <v>454.01798716246549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254.6443970237226</v>
      </c>
      <c r="T157" s="59">
        <f t="shared" si="142"/>
        <v>231.81667808018062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39.877860831778008</v>
      </c>
      <c r="AA157" s="21">
        <f>EXP(-LN(2)/25)*AA156+(1-EXP(-LN(2)/25))/(LN(2)/25)*Calculateur!V157*Calculateur!X157*VLOOKUP('Données projet'!$B$9,Paramètres!$A$1:$I$89,3,0)*0.475*44/12</f>
        <v>5.3986284664795399</v>
      </c>
      <c r="AB157" s="21">
        <f>EXP(-LN(2)/2)*AB156+(1-EXP(-LN(2)/2))/(LN(2)/2)*V157*Y157*VLOOKUP('Données projet'!$B$9,Paramètres!$A$1:$I$89,3,0)*0.475*44/12</f>
        <v>9.0568301648914914E-12</v>
      </c>
      <c r="AC157" s="22">
        <f t="shared" si="163"/>
        <v>45.276489298266604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180.31844548479722</v>
      </c>
      <c r="AO157" s="59">
        <f t="shared" si="144"/>
        <v>273.83237400307223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12.948278793881276</v>
      </c>
      <c r="AV157" s="21">
        <f>EXP(-LN(2)/25)*AV156+(1-EXP(-LN(2)/25))/(LN(2)/25)*Calculateur!AQ157*Calculateur!AS157*VLOOKUP('Données projet'!$B$10,Paramètres!$A$1:$I$89,3,0)*0.475*44/12</f>
        <v>10.674241449041476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23.622520242922754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1.8717948717948829</v>
      </c>
      <c r="BD157" s="12">
        <f>IF('Données projet'!$A$88&gt;35,BD156+BC157-BL156,IF(A157&lt;'Données projet'!$A$88,$BA$205^A157,IF(A157='Données projet'!$A$88,'Données projet'!$B$88,BD156+BC157-BL156)))</f>
        <v>126.81410256410203</v>
      </c>
      <c r="BE157" s="13">
        <f>BD157*VLOOKUP('Données projet'!$B$11,Paramètres!$A$1:$I$89,3,0)*VLOOKUP('Données projet'!$B$11,Paramètres!$A$1:$I$89,5,0)</f>
        <v>128.58949999999948</v>
      </c>
      <c r="BF157" s="13">
        <f t="shared" si="167"/>
        <v>33.670227547903842</v>
      </c>
      <c r="BG157" s="20">
        <f t="shared" si="168"/>
        <v>282.60235881259825</v>
      </c>
      <c r="BH157" s="59">
        <f t="shared" si="116"/>
        <v>575.93569214593163</v>
      </c>
      <c r="BI157" s="59">
        <f ca="1">AVERAGE(OFFSET($BH$3,0,0,'Données projet'!$E$11+1,1))-AVERAGE(OFFSET($H$3,0,0,'Données projet'!$E$11+1,1))</f>
        <v>264.08050363622294</v>
      </c>
      <c r="BJ157" s="59">
        <f t="shared" si="146"/>
        <v>164.48884512322883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116.40916907413229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116.40916907413229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72.540000000000305</v>
      </c>
      <c r="D158" s="11">
        <f t="shared" si="140"/>
        <v>20.302914660456867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716.68214825616053</v>
      </c>
      <c r="H158" s="67">
        <f t="shared" si="110"/>
        <v>455.03474303362952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254.6443970237226</v>
      </c>
      <c r="T158" s="59">
        <f t="shared" si="142"/>
        <v>231.81667808018062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39.095880303960243</v>
      </c>
      <c r="AA158" s="21">
        <f>EXP(-LN(2)/25)*AA157+(1-EXP(-LN(2)/25))/(LN(2)/25)*Calculateur!V158*Calculateur!X158*VLOOKUP('Données projet'!$B$9,Paramètres!$A$1:$I$89,3,0)*0.475*44/12</f>
        <v>5.2510026871621243</v>
      </c>
      <c r="AB158" s="21">
        <f>EXP(-LN(2)/2)*AB157+(1-EXP(-LN(2)/2))/(LN(2)/2)*V158*Y158*VLOOKUP('Données projet'!$B$9,Paramètres!$A$1:$I$89,3,0)*0.475*44/12</f>
        <v>6.4041460256496511E-12</v>
      </c>
      <c r="AC158" s="22">
        <f t="shared" si="163"/>
        <v>44.346882991128773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180.31844548479722</v>
      </c>
      <c r="AO158" s="59">
        <f t="shared" si="144"/>
        <v>273.83237400307223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12.694370944403499</v>
      </c>
      <c r="AV158" s="21">
        <f>EXP(-LN(2)/25)*AV157+(1-EXP(-LN(2)/25))/(LN(2)/25)*Calculateur!AQ158*Calculateur!AS158*VLOOKUP('Données projet'!$B$10,Paramètres!$A$1:$I$89,3,0)*0.475*44/12</f>
        <v>10.382353755283475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23.076724699686974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1.8717948717948829</v>
      </c>
      <c r="BD158" s="12">
        <f>IF('Données projet'!$A$88&gt;35,BD157+BC158-BL157,IF(A158&lt;'Données projet'!$A$88,$BA$205^A158,IF(A158='Données projet'!$A$88,'Données projet'!$B$88,BD157+BC158-BL157)))</f>
        <v>128.68589743589692</v>
      </c>
      <c r="BE158" s="13">
        <f>BD158*VLOOKUP('Données projet'!$B$11,Paramètres!$A$1:$I$89,3,0)*VLOOKUP('Données projet'!$B$11,Paramètres!$A$1:$I$89,5,0)</f>
        <v>130.4874999999995</v>
      </c>
      <c r="BF158" s="13">
        <f t="shared" si="167"/>
        <v>34.108981718044198</v>
      </c>
      <c r="BG158" s="20">
        <f t="shared" si="168"/>
        <v>286.67220565892609</v>
      </c>
      <c r="BH158" s="59">
        <f t="shared" si="116"/>
        <v>580.0055389922594</v>
      </c>
      <c r="BI158" s="59">
        <f ca="1">AVERAGE(OFFSET($BH$3,0,0,'Données projet'!$E$11+1,1))-AVERAGE(OFFSET($H$3,0,0,'Données projet'!$E$11+1,1))</f>
        <v>264.08050363622294</v>
      </c>
      <c r="BJ158" s="59">
        <f t="shared" si="146"/>
        <v>164.48884512322883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114.12645627117077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114.12645627117077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73.008000000000308</v>
      </c>
      <c r="D159" s="11">
        <f t="shared" si="140"/>
        <v>20.418611018263718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721.1878745269504</v>
      </c>
      <c r="H159" s="67">
        <f t="shared" si="110"/>
        <v>456.05134752347647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254.6443970237226</v>
      </c>
      <c r="T159" s="59">
        <f t="shared" si="142"/>
        <v>231.81667808018062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38.329233937331956</v>
      </c>
      <c r="AA159" s="21">
        <f>EXP(-LN(2)/25)*AA158+(1-EXP(-LN(2)/25))/(LN(2)/25)*Calculateur!V159*Calculateur!X159*VLOOKUP('Données projet'!$B$9,Paramètres!$A$1:$I$89,3,0)*0.475*44/12</f>
        <v>5.1074137425434456</v>
      </c>
      <c r="AB159" s="21">
        <f>EXP(-LN(2)/2)*AB158+(1-EXP(-LN(2)/2))/(LN(2)/2)*V159*Y159*VLOOKUP('Données projet'!$B$9,Paramètres!$A$1:$I$89,3,0)*0.475*44/12</f>
        <v>4.5284150824457457E-12</v>
      </c>
      <c r="AC159" s="22">
        <f t="shared" si="163"/>
        <v>43.436647679879925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180.31844548479722</v>
      </c>
      <c r="AO159" s="59">
        <f t="shared" si="144"/>
        <v>273.83237400307223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12.445442072985484</v>
      </c>
      <c r="AV159" s="21">
        <f>EXP(-LN(2)/25)*AV158+(1-EXP(-LN(2)/25))/(LN(2)/25)*Calculateur!AQ159*Calculateur!AS159*VLOOKUP('Données projet'!$B$10,Paramètres!$A$1:$I$89,3,0)*0.475*44/12</f>
        <v>10.098447745860994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22.54388981884648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1.8717948717948829</v>
      </c>
      <c r="BD159" s="12">
        <f>IF('Données projet'!$A$88&gt;35,BD158+BC159-BL158,IF(A159&lt;'Données projet'!$A$88,$BA$205^A159,IF(A159='Données projet'!$A$88,'Données projet'!$B$88,BD158+BC159-BL158)))</f>
        <v>130.55769230769181</v>
      </c>
      <c r="BE159" s="13">
        <f>BD159*VLOOKUP('Données projet'!$B$11,Paramètres!$A$1:$I$89,3,0)*VLOOKUP('Données projet'!$B$11,Paramètres!$A$1:$I$89,5,0)</f>
        <v>132.38549999999952</v>
      </c>
      <c r="BF159" s="13">
        <f t="shared" si="167"/>
        <v>34.546993638315641</v>
      </c>
      <c r="BG159" s="20">
        <f t="shared" si="168"/>
        <v>290.74075975339895</v>
      </c>
      <c r="BH159" s="59">
        <f t="shared" si="116"/>
        <v>584.07409308673232</v>
      </c>
      <c r="BI159" s="59">
        <f ca="1">AVERAGE(OFFSET($BH$3,0,0,'Données projet'!$E$11+1,1))-AVERAGE(OFFSET($H$3,0,0,'Données projet'!$E$11+1,1))</f>
        <v>264.08050363622294</v>
      </c>
      <c r="BJ159" s="59">
        <f t="shared" si="146"/>
        <v>164.48884512322883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111.88850607395798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111.88850607395798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73.476000000000312</v>
      </c>
      <c r="D160" s="11">
        <f t="shared" si="140"/>
        <v>20.534221080361753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725.69293465542648</v>
      </c>
      <c r="H160" s="67">
        <f t="shared" si="110"/>
        <v>457.06780171496393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254.6443970237226</v>
      </c>
      <c r="T160" s="59">
        <f t="shared" si="142"/>
        <v>231.81667808018062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37.577621038345143</v>
      </c>
      <c r="AA160" s="21">
        <f>EXP(-LN(2)/25)*AA159+(1-EXP(-LN(2)/25))/(LN(2)/25)*Calculateur!V160*Calculateur!X160*VLOOKUP('Données projet'!$B$9,Paramètres!$A$1:$I$89,3,0)*0.475*44/12</f>
        <v>4.9677512451663794</v>
      </c>
      <c r="AB160" s="21">
        <f>EXP(-LN(2)/2)*AB159+(1-EXP(-LN(2)/2))/(LN(2)/2)*V160*Y160*VLOOKUP('Données projet'!$B$9,Paramètres!$A$1:$I$89,3,0)*0.475*44/12</f>
        <v>3.2020730128248255E-12</v>
      </c>
      <c r="AC160" s="22">
        <f t="shared" si="163"/>
        <v>42.54537228351473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180.31844548479722</v>
      </c>
      <c r="AO160" s="59">
        <f t="shared" si="144"/>
        <v>273.83237400307223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12.201394544904357</v>
      </c>
      <c r="AV160" s="21">
        <f>EXP(-LN(2)/25)*AV159+(1-EXP(-LN(2)/25))/(LN(2)/25)*Calculateur!AQ160*Calculateur!AS160*VLOOKUP('Données projet'!$B$10,Paramètres!$A$1:$I$89,3,0)*0.475*44/12</f>
        <v>9.8223051611961392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22.023699706100494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>
        <f>VLOOKUP(A160,'Données projet'!$A$87:$I$107,2,0)</f>
        <v>132.42948717948718</v>
      </c>
      <c r="BB160" s="12">
        <f>VLOOKUP(A160,'Données projet'!$A$87:$I$107,9,0)</f>
        <v>1.8717948717948829</v>
      </c>
      <c r="BC160" s="12">
        <f t="array" ref="BC160">INDEX(BB:BB,MIN(IF(ISNUMBER(BB160:BB356),ROW(BB160:BB356),"")))</f>
        <v>1.8717948717948829</v>
      </c>
      <c r="BD160" s="12">
        <f>IF('Données projet'!$A$88&gt;35,BD159+BC160-BL159,IF(A160&lt;'Données projet'!$A$88,$BA$205^A160,IF(A160='Données projet'!$A$88,'Données projet'!$B$88,BD159+BC160-BL159)))</f>
        <v>132.4294871794867</v>
      </c>
      <c r="BE160" s="13">
        <f>BD160*VLOOKUP('Données projet'!$B$11,Paramètres!$A$1:$I$89,3,0)*VLOOKUP('Données projet'!$B$11,Paramètres!$A$1:$I$89,5,0)</f>
        <v>134.28349999999952</v>
      </c>
      <c r="BF160" s="13">
        <f t="shared" si="167"/>
        <v>34.984275179883873</v>
      </c>
      <c r="BG160" s="20">
        <f t="shared" si="168"/>
        <v>294.80804177163026</v>
      </c>
      <c r="BH160" s="59">
        <f t="shared" si="116"/>
        <v>588.14137510496357</v>
      </c>
      <c r="BI160" s="59">
        <f ca="1">AVERAGE(OFFSET($BH$3,0,0,'Données projet'!$E$11+1,1))-AVERAGE(OFFSET($H$3,0,0,'Données projet'!$E$11+1,1))</f>
        <v>264.08050363622294</v>
      </c>
      <c r="BJ160" s="59">
        <f t="shared" si="146"/>
        <v>164.48884512322883</v>
      </c>
      <c r="BK160" s="15">
        <f>IF(ISNA(VLOOKUP(A160,'Données projet'!$A$87:$I$107,3,0)),0,VLOOKUP(A160,'Données projet'!$A$87:$I$107,3,0))</f>
        <v>14</v>
      </c>
      <c r="BL160" s="15">
        <f>IF(ISNA(VLOOKUP(A160,'Données projet'!$A$87:$I$107,4,0)),0,VLOOKUP(A160,'Données projet'!$A$87:$I$107,4,0))</f>
        <v>45.71153846153846</v>
      </c>
      <c r="BM160" s="16">
        <f>IF(ISNA(VLOOKUP(A160,'Données projet'!$A$87:$I$107,5,0)),0%,VLOOKUP(A160,'Données projet'!$A$87:$I$107,5,0)*VLOOKUP('Données projet'!$B$11,Paramètres!$A$1:$I$89,7,0))</f>
        <v>0.38700000000000001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129.52440210000634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129.52440210000634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73.944000000000315</v>
      </c>
      <c r="D161" s="11">
        <f t="shared" si="140"/>
        <v>20.649745460165789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730.19733337672085</v>
      </c>
      <c r="H161" s="67">
        <f t="shared" si="110"/>
        <v>458.08410667645592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254.6443970237226</v>
      </c>
      <c r="T161" s="59">
        <f t="shared" si="142"/>
        <v>231.81667808018062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36.840746809868854</v>
      </c>
      <c r="AA161" s="21">
        <f>EXP(-LN(2)/25)*AA160+(1-EXP(-LN(2)/25))/(LN(2)/25)*Calculateur!V161*Calculateur!X161*VLOOKUP('Données projet'!$B$9,Paramètres!$A$1:$I$89,3,0)*0.475*44/12</f>
        <v>4.8319078261246204</v>
      </c>
      <c r="AB161" s="21">
        <f>EXP(-LN(2)/2)*AB160+(1-EXP(-LN(2)/2))/(LN(2)/2)*V161*Y161*VLOOKUP('Données projet'!$B$9,Paramètres!$A$1:$I$89,3,0)*0.475*44/12</f>
        <v>2.2642075412228729E-12</v>
      </c>
      <c r="AC161" s="22">
        <f t="shared" si="163"/>
        <v>41.672654635995741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180.31844548479722</v>
      </c>
      <c r="AO161" s="59">
        <f t="shared" si="144"/>
        <v>273.83237400307223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11.962132639994607</v>
      </c>
      <c r="AV161" s="21">
        <f>EXP(-LN(2)/25)*AV160+(1-EXP(-LN(2)/25))/(LN(2)/25)*Calculateur!AQ161*Calculateur!AS161*VLOOKUP('Données projet'!$B$10,Paramètres!$A$1:$I$89,3,0)*0.475*44/12</f>
        <v>9.5537137100306513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21.515846350025257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1.1618589743589709</v>
      </c>
      <c r="BD161" s="12">
        <f>IF('Données projet'!$A$88&gt;35,BD160+BC161-BL160,IF(A161&lt;'Données projet'!$A$88,$BA$205^A161,IF(A161='Données projet'!$A$88,'Données projet'!$B$88,BD160+BC161-BL160)))</f>
        <v>87.879807692307224</v>
      </c>
      <c r="BE161" s="13">
        <f>BD161*VLOOKUP('Données projet'!$B$11,Paramètres!$A$1:$I$89,3,0)*VLOOKUP('Données projet'!$B$11,Paramètres!$A$1:$I$89,5,0)</f>
        <v>89.110124999999528</v>
      </c>
      <c r="BF161" s="13">
        <f t="shared" si="167"/>
        <v>24.350484613685058</v>
      </c>
      <c r="BG161" s="20">
        <f t="shared" si="168"/>
        <v>197.61056174383398</v>
      </c>
      <c r="BH161" s="59">
        <f t="shared" si="116"/>
        <v>490.94389507716733</v>
      </c>
      <c r="BI161" s="59">
        <f ca="1">AVERAGE(OFFSET($BH$3,0,0,'Données projet'!$E$11+1,1))-AVERAGE(OFFSET($H$3,0,0,'Données projet'!$E$11+1,1))</f>
        <v>264.08050363622294</v>
      </c>
      <c r="BJ161" s="59">
        <f t="shared" si="146"/>
        <v>164.48884512322883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126.98450757690969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126.98450757690969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74.412000000000319</v>
      </c>
      <c r="D162" s="11">
        <f t="shared" si="140"/>
        <v>20.765184762876906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734.70107536256103</v>
      </c>
      <c r="H162" s="67">
        <f t="shared" si="110"/>
        <v>459.10026346201118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254.6443970237226</v>
      </c>
      <c r="T162" s="59">
        <f t="shared" si="142"/>
        <v>231.81667808018062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36.118322235564086</v>
      </c>
      <c r="AA162" s="21">
        <f>EXP(-LN(2)/25)*AA161+(1-EXP(-LN(2)/25))/(LN(2)/25)*Calculateur!V162*Calculateur!X162*VLOOKUP('Données projet'!$B$9,Paramètres!$A$1:$I$89,3,0)*0.475*44/12</f>
        <v>4.6997790525202534</v>
      </c>
      <c r="AB162" s="21">
        <f>EXP(-LN(2)/2)*AB161+(1-EXP(-LN(2)/2))/(LN(2)/2)*V162*Y162*VLOOKUP('Données projet'!$B$9,Paramètres!$A$1:$I$89,3,0)*0.475*44/12</f>
        <v>1.6010365064124128E-12</v>
      </c>
      <c r="AC162" s="22">
        <f t="shared" si="163"/>
        <v>40.818101288085941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180.31844548479722</v>
      </c>
      <c r="AO162" s="59">
        <f t="shared" si="144"/>
        <v>273.83237400307223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11.727562515104784</v>
      </c>
      <c r="AV162" s="21">
        <f>EXP(-LN(2)/25)*AV161+(1-EXP(-LN(2)/25))/(LN(2)/25)*Calculateur!AQ162*Calculateur!AS162*VLOOKUP('Données projet'!$B$10,Paramètres!$A$1:$I$89,3,0)*0.475*44/12</f>
        <v>9.292466906221895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21.020029421326679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1.1618589743589709</v>
      </c>
      <c r="BD162" s="12">
        <f>IF('Données projet'!$A$88&gt;35,BD161+BC162-BL161,IF(A162&lt;'Données projet'!$A$88,$BA$205^A162,IF(A162='Données projet'!$A$88,'Données projet'!$B$88,BD161+BC162-BL161)))</f>
        <v>89.041666666666202</v>
      </c>
      <c r="BE162" s="13">
        <f>BD162*VLOOKUP('Données projet'!$B$11,Paramètres!$A$1:$I$89,3,0)*VLOOKUP('Données projet'!$B$11,Paramètres!$A$1:$I$89,5,0)</f>
        <v>90.288249999999536</v>
      </c>
      <c r="BF162" s="13">
        <f t="shared" si="167"/>
        <v>24.634731009832841</v>
      </c>
      <c r="BG162" s="20">
        <f t="shared" si="168"/>
        <v>200.15752525879137</v>
      </c>
      <c r="BH162" s="59">
        <f t="shared" si="116"/>
        <v>493.49085859212471</v>
      </c>
      <c r="BI162" s="59">
        <f ca="1">AVERAGE(OFFSET($BH$3,0,0,'Données projet'!$E$11+1,1))-AVERAGE(OFFSET($H$3,0,0,'Données projet'!$E$11+1,1))</f>
        <v>264.08050363622294</v>
      </c>
      <c r="BJ162" s="59">
        <f t="shared" si="146"/>
        <v>164.48884512322883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124.49441883622828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124.49441883622828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74.880000000000322</v>
      </c>
      <c r="D163" s="11">
        <f t="shared" si="140"/>
        <v>20.880539585643316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739.20416522251242</v>
      </c>
      <c r="H163" s="67">
        <f t="shared" si="110"/>
        <v>460.11627311166262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254.6443970237226</v>
      </c>
      <c r="T163" s="59">
        <f t="shared" si="142"/>
        <v>231.81667808018062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35.410063966525954</v>
      </c>
      <c r="AA163" s="21">
        <f>EXP(-LN(2)/25)*AA162+(1-EXP(-LN(2)/25))/(LN(2)/25)*Calculateur!V163*Calculateur!X163*VLOOKUP('Données projet'!$B$9,Paramètres!$A$1:$I$89,3,0)*0.475*44/12</f>
        <v>4.5712633471784478</v>
      </c>
      <c r="AB163" s="21">
        <f>EXP(-LN(2)/2)*AB162+(1-EXP(-LN(2)/2))/(LN(2)/2)*V163*Y163*VLOOKUP('Données projet'!$B$9,Paramètres!$A$1:$I$89,3,0)*0.475*44/12</f>
        <v>1.1321037706114364E-12</v>
      </c>
      <c r="AC163" s="22">
        <f t="shared" si="163"/>
        <v>39.981327313705528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180.31844548479722</v>
      </c>
      <c r="AO163" s="59">
        <f t="shared" si="144"/>
        <v>273.83237400307223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11.497592167290403</v>
      </c>
      <c r="AV163" s="21">
        <f>EXP(-LN(2)/25)*AV162+(1-EXP(-LN(2)/25))/(LN(2)/25)*Calculateur!AQ163*Calculateur!AS163*VLOOKUP('Données projet'!$B$10,Paramètres!$A$1:$I$89,3,0)*0.475*44/12</f>
        <v>9.0383639100016602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20.535956077292063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1.1618589743589709</v>
      </c>
      <c r="BD163" s="12">
        <f>IF('Données projet'!$A$88&gt;35,BD162+BC163-BL162,IF(A163&lt;'Données projet'!$A$88,$BA$205^A163,IF(A163='Données projet'!$A$88,'Données projet'!$B$88,BD162+BC163-BL162)))</f>
        <v>90.20352564102518</v>
      </c>
      <c r="BE163" s="13">
        <f>BD163*VLOOKUP('Données projet'!$B$11,Paramètres!$A$1:$I$89,3,0)*VLOOKUP('Données projet'!$B$11,Paramètres!$A$1:$I$89,5,0)</f>
        <v>91.466374999999545</v>
      </c>
      <c r="BF163" s="13">
        <f t="shared" si="167"/>
        <v>24.918545994850898</v>
      </c>
      <c r="BG163" s="20">
        <f t="shared" si="168"/>
        <v>202.70373739936451</v>
      </c>
      <c r="BH163" s="59">
        <f t="shared" si="116"/>
        <v>496.03707073269783</v>
      </c>
      <c r="BI163" s="59">
        <f ca="1">AVERAGE(OFFSET($BH$3,0,0,'Données projet'!$E$11+1,1))-AVERAGE(OFFSET($H$3,0,0,'Données projet'!$E$11+1,1))</f>
        <v>264.08050363622294</v>
      </c>
      <c r="BJ163" s="59">
        <f t="shared" si="146"/>
        <v>164.48884512322883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122.05315921694746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122.05315921694746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75.348000000000326</v>
      </c>
      <c r="D164" s="11">
        <f t="shared" si="140"/>
        <v>20.995810517717125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743.70660750518743</v>
      </c>
      <c r="H164" s="67">
        <f t="shared" si="110"/>
        <v>461.13213665169121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254.6443970237226</v>
      </c>
      <c r="T164" s="59">
        <f t="shared" si="142"/>
        <v>231.81667808018062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34.715694210148776</v>
      </c>
      <c r="AA164" s="21">
        <f>EXP(-LN(2)/25)*AA163+(1-EXP(-LN(2)/25))/(LN(2)/25)*Calculateur!V164*Calculateur!X164*VLOOKUP('Données projet'!$B$9,Paramètres!$A$1:$I$89,3,0)*0.475*44/12</f>
        <v>4.4462619105575616</v>
      </c>
      <c r="AB164" s="21">
        <f>EXP(-LN(2)/2)*AB163+(1-EXP(-LN(2)/2))/(LN(2)/2)*V164*Y164*VLOOKUP('Données projet'!$B$9,Paramètres!$A$1:$I$89,3,0)*0.475*44/12</f>
        <v>8.0051825320620638E-13</v>
      </c>
      <c r="AC164" s="22">
        <f t="shared" si="163"/>
        <v>39.161956120707138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180.31844548479722</v>
      </c>
      <c r="AO164" s="59">
        <f t="shared" si="144"/>
        <v>273.83237400307223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11.2721313977286</v>
      </c>
      <c r="AV164" s="21">
        <f>EXP(-LN(2)/25)*AV163+(1-EXP(-LN(2)/25))/(LN(2)/25)*Calculateur!AQ164*Calculateur!AS164*VLOOKUP('Données projet'!$B$10,Paramètres!$A$1:$I$89,3,0)*0.475*44/12</f>
        <v>8.7912093735757644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20.063340771304365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>
        <f>VLOOKUP(A164,'Données projet'!$A$87:$I$107,2,0)</f>
        <v>91.365384615384613</v>
      </c>
      <c r="BB164" s="12">
        <f>VLOOKUP(A164,'Données projet'!$A$87:$I$107,9,0)</f>
        <v>1.1618589743589709</v>
      </c>
      <c r="BC164" s="12">
        <f t="array" ref="BC164">INDEX(BB:BB,MIN(IF(ISNUMBER(BB164:BB360),ROW(BB164:BB360),"")))</f>
        <v>1.1618589743589709</v>
      </c>
      <c r="BD164" s="12">
        <f>IF('Données projet'!$A$88&gt;35,BD163+BC164-BL163,IF(A164&lt;'Données projet'!$A$88,$BA$205^A164,IF(A164='Données projet'!$A$88,'Données projet'!$B$88,BD163+BC164-BL163)))</f>
        <v>91.365384615384158</v>
      </c>
      <c r="BE164" s="13">
        <f>BD164*VLOOKUP('Données projet'!$B$11,Paramètres!$A$1:$I$89,3,0)*VLOOKUP('Données projet'!$B$11,Paramètres!$A$1:$I$89,5,0)</f>
        <v>92.644499999999539</v>
      </c>
      <c r="BF164" s="13">
        <f t="shared" si="167"/>
        <v>25.201935767997217</v>
      </c>
      <c r="BG164" s="20">
        <f t="shared" si="168"/>
        <v>205.24920896259434</v>
      </c>
      <c r="BH164" s="59">
        <f t="shared" si="116"/>
        <v>498.58254229592762</v>
      </c>
      <c r="BI164" s="59">
        <f ca="1">AVERAGE(OFFSET($BH$3,0,0,'Données projet'!$E$11+1,1))-AVERAGE(OFFSET($H$3,0,0,'Données projet'!$E$11+1,1))</f>
        <v>264.08050363622294</v>
      </c>
      <c r="BJ164" s="59">
        <f t="shared" si="146"/>
        <v>164.48884512322883</v>
      </c>
      <c r="BK164" s="15">
        <f>IF(ISNA(VLOOKUP(A164,'Données projet'!$A$87:$I$107,3,0)),0,VLOOKUP(A164,'Données projet'!$A$87:$I$107,3,0))</f>
        <v>15</v>
      </c>
      <c r="BL164" s="15">
        <f>IF(ISNA(VLOOKUP(A164,'Données projet'!$A$87:$I$107,4,0)),0,VLOOKUP(A164,'Données projet'!$A$87:$I$107,4,0))</f>
        <v>91.365384615384613</v>
      </c>
      <c r="BM164" s="16">
        <f>IF(ISNA(VLOOKUP(A164,'Données projet'!$A$87:$I$107,5,0)),0%,VLOOKUP(A164,'Données projet'!$A$87:$I$107,5,0)*VLOOKUP('Données projet'!$B$11,Paramètres!$A$1:$I$89,7,0))</f>
        <v>0.38700000000000001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159.29466668293924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159.29466668293924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75.816000000000329</v>
      </c>
      <c r="D165" s="11">
        <f t="shared" si="140"/>
        <v>21.11099814060724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748.20840669942697</v>
      </c>
      <c r="H165" s="67">
        <f t="shared" si="110"/>
        <v>462.1478550948915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254.6443970237226</v>
      </c>
      <c r="T165" s="59">
        <f t="shared" si="142"/>
        <v>231.81667808018062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34.034940621170421</v>
      </c>
      <c r="AA165" s="21">
        <f>EXP(-LN(2)/25)*AA164+(1-EXP(-LN(2)/25))/(LN(2)/25)*Calculateur!V165*Calculateur!X165*VLOOKUP('Données projet'!$B$9,Paramètres!$A$1:$I$89,3,0)*0.475*44/12</f>
        <v>4.3246786447946128</v>
      </c>
      <c r="AB165" s="21">
        <f>EXP(-LN(2)/2)*AB164+(1-EXP(-LN(2)/2))/(LN(2)/2)*V165*Y165*VLOOKUP('Données projet'!$B$9,Paramètres!$A$1:$I$89,3,0)*0.475*44/12</f>
        <v>5.6605188530571821E-13</v>
      </c>
      <c r="AC165" s="22">
        <f t="shared" si="163"/>
        <v>38.359619265965605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180.31844548479722</v>
      </c>
      <c r="AO165" s="59">
        <f t="shared" si="144"/>
        <v>273.83237400307223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11.051091776340414</v>
      </c>
      <c r="AV165" s="21">
        <f>EXP(-LN(2)/25)*AV164+(1-EXP(-LN(2)/25))/(LN(2)/25)*Calculateur!AQ165*Calculateur!AS165*VLOOKUP('Données projet'!$B$10,Paramètres!$A$1:$I$89,3,0)*0.475*44/12</f>
        <v>8.550813290945726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19.60190506728614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-4.5474735088646412E-13</v>
      </c>
      <c r="BE165" s="13">
        <f>BD165*VLOOKUP('Données projet'!$B$11,Paramètres!$A$1:$I$89,3,0)*VLOOKUP('Données projet'!$B$11,Paramètres!$A$1:$I$89,5,0)</f>
        <v>-4.6111381379887462E-13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264.08050363622294</v>
      </c>
      <c r="BJ165" s="59">
        <f t="shared" si="146"/>
        <v>164.48884512322883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156.1709954294397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156.1709954294397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76.284000000000333</v>
      </c>
      <c r="D166" s="11">
        <f t="shared" si="140"/>
        <v>21.226103028228163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752.70956723544816</v>
      </c>
      <c r="H166" s="67">
        <f t="shared" si="110"/>
        <v>463.16342944083124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254.6443970237226</v>
      </c>
      <c r="T166" s="59">
        <f t="shared" si="142"/>
        <v>231.81667808018062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33.367536194853244</v>
      </c>
      <c r="AA166" s="21">
        <f>EXP(-LN(2)/25)*AA165+(1-EXP(-LN(2)/25))/(LN(2)/25)*Calculateur!V166*Calculateur!X166*VLOOKUP('Données projet'!$B$9,Paramètres!$A$1:$I$89,3,0)*0.475*44/12</f>
        <v>4.2064200798277387</v>
      </c>
      <c r="AB166" s="21">
        <f>EXP(-LN(2)/2)*AB165+(1-EXP(-LN(2)/2))/(LN(2)/2)*V166*Y166*VLOOKUP('Données projet'!$B$9,Paramètres!$A$1:$I$89,3,0)*0.475*44/12</f>
        <v>4.0025912660310319E-13</v>
      </c>
      <c r="AC166" s="22">
        <f t="shared" si="163"/>
        <v>37.573956274681379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180.31844548479722</v>
      </c>
      <c r="AO166" s="59">
        <f t="shared" si="144"/>
        <v>273.83237400307223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10.834386607106792</v>
      </c>
      <c r="AV166" s="21">
        <f>EXP(-LN(2)/25)*AV165+(1-EXP(-LN(2)/25))/(LN(2)/25)*Calculateur!AQ166*Calculateur!AS166*VLOOKUP('Données projet'!$B$10,Paramètres!$A$1:$I$89,3,0)*0.475*44/12</f>
        <v>8.3169908518370868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19.151377458943877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-4.5474735088646412E-13</v>
      </c>
      <c r="BE166" s="13">
        <f>BD166*VLOOKUP('Données projet'!$B$11,Paramètres!$A$1:$I$89,3,0)*VLOOKUP('Données projet'!$B$11,Paramètres!$A$1:$I$89,5,0)</f>
        <v>-4.6111381379887462E-13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264.08050363622294</v>
      </c>
      <c r="BJ166" s="59">
        <f t="shared" si="146"/>
        <v>164.48884512322883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153.10857746396997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153.10857746396997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76.752000000000336</v>
      </c>
      <c r="D167" s="11">
        <f t="shared" si="140"/>
        <v>21.341125747045204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757.21009348596579</v>
      </c>
      <c r="H167" s="67">
        <f t="shared" si="110"/>
        <v>464.17886067610431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254.6443970237226</v>
      </c>
      <c r="T167" s="59">
        <f t="shared" si="142"/>
        <v>231.81667808018062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32.713219162259641</v>
      </c>
      <c r="AA167" s="21">
        <f>EXP(-LN(2)/25)*AA166+(1-EXP(-LN(2)/25))/(LN(2)/25)*Calculateur!V167*Calculateur!X167*VLOOKUP('Données projet'!$B$9,Paramètres!$A$1:$I$89,3,0)*0.475*44/12</f>
        <v>4.0913953015388307</v>
      </c>
      <c r="AB167" s="21">
        <f>EXP(-LN(2)/2)*AB166+(1-EXP(-LN(2)/2))/(LN(2)/2)*V167*Y167*VLOOKUP('Données projet'!$B$9,Paramètres!$A$1:$I$89,3,0)*0.475*44/12</f>
        <v>2.8302594265285911E-13</v>
      </c>
      <c r="AC167" s="22">
        <f t="shared" si="163"/>
        <v>36.804614463798757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180.31844548479722</v>
      </c>
      <c r="AO167" s="59">
        <f t="shared" si="144"/>
        <v>273.83237400307223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10.621930894064739</v>
      </c>
      <c r="AV167" s="21">
        <f>EXP(-LN(2)/25)*AV166+(1-EXP(-LN(2)/25))/(LN(2)/25)*Calculateur!AQ167*Calculateur!AS167*VLOOKUP('Données projet'!$B$10,Paramètres!$A$1:$I$89,3,0)*0.475*44/12</f>
        <v>8.0895622996220613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18.711493193686799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-4.5474735088646412E-13</v>
      </c>
      <c r="BE167" s="13">
        <f>BD167*VLOOKUP('Données projet'!$B$11,Paramètres!$A$1:$I$89,3,0)*VLOOKUP('Données projet'!$B$11,Paramètres!$A$1:$I$89,5,0)</f>
        <v>-4.6111381379887462E-13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264.08050363622294</v>
      </c>
      <c r="BJ167" s="59">
        <f t="shared" si="146"/>
        <v>164.48884512322883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150.10621164691256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150.10621164691256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77.22000000000034</v>
      </c>
      <c r="D168" s="11">
        <f t="shared" si="140"/>
        <v>21.456066856215958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761.70998976728379</v>
      </c>
      <c r="H168" s="67">
        <f t="shared" si="110"/>
        <v>465.19414977457666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254.6443970237226</v>
      </c>
      <c r="T168" s="59">
        <f t="shared" si="142"/>
        <v>231.81667808018062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32.071732887581213</v>
      </c>
      <c r="AA168" s="21">
        <f>EXP(-LN(2)/25)*AA167+(1-EXP(-LN(2)/25))/(LN(2)/25)*Calculateur!V168*Calculateur!X168*VLOOKUP('Données projet'!$B$9,Paramètres!$A$1:$I$89,3,0)*0.475*44/12</f>
        <v>3.9795158818611234</v>
      </c>
      <c r="AB168" s="21">
        <f>EXP(-LN(2)/2)*AB167+(1-EXP(-LN(2)/2))/(LN(2)/2)*V168*Y168*VLOOKUP('Données projet'!$B$9,Paramètres!$A$1:$I$89,3,0)*0.475*44/12</f>
        <v>2.001295633015516E-13</v>
      </c>
      <c r="AC168" s="22">
        <f t="shared" si="163"/>
        <v>36.051248769442537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180.31844548479722</v>
      </c>
      <c r="AO168" s="59">
        <f t="shared" si="144"/>
        <v>273.83237400307223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10.413641307970254</v>
      </c>
      <c r="AV168" s="21">
        <f>EXP(-LN(2)/25)*AV167+(1-EXP(-LN(2)/25))/(LN(2)/25)*Calculateur!AQ168*Calculateur!AS168*VLOOKUP('Données projet'!$B$10,Paramètres!$A$1:$I$89,3,0)*0.475*44/12</f>
        <v>7.8683527931273041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18.28199410109756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-4.5474735088646412E-13</v>
      </c>
      <c r="BE168" s="13">
        <f>BD168*VLOOKUP('Données projet'!$B$11,Paramètres!$A$1:$I$89,3,0)*VLOOKUP('Données projet'!$B$11,Paramètres!$A$1:$I$89,5,0)</f>
        <v>-4.6111381379887462E-13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264.08050363622294</v>
      </c>
      <c r="BJ168" s="59">
        <f t="shared" si="146"/>
        <v>164.48884512322883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147.16272039226533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147.16272039226533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77.688000000000343</v>
      </c>
      <c r="D169" s="11">
        <f t="shared" si="140"/>
        <v>21.570926907728293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766.20926034036154</v>
      </c>
      <c r="H169" s="67">
        <f t="shared" si="110"/>
        <v>466.20929769762733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254.6443970237226</v>
      </c>
      <c r="T169" s="59">
        <f t="shared" si="142"/>
        <v>231.81667808018062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31.442825767481239</v>
      </c>
      <c r="AA169" s="21">
        <f>EXP(-LN(2)/25)*AA168+(1-EXP(-LN(2)/25))/(LN(2)/25)*Calculateur!V169*Calculateur!X169*VLOOKUP('Données projet'!$B$9,Paramètres!$A$1:$I$89,3,0)*0.475*44/12</f>
        <v>3.8706958107979861</v>
      </c>
      <c r="AB169" s="21">
        <f>EXP(-LN(2)/2)*AB168+(1-EXP(-LN(2)/2))/(LN(2)/2)*V169*Y169*VLOOKUP('Données projet'!$B$9,Paramètres!$A$1:$I$89,3,0)*0.475*44/12</f>
        <v>1.4151297132642955E-13</v>
      </c>
      <c r="AC169" s="22">
        <f t="shared" si="163"/>
        <v>35.313521578279364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180.31844548479722</v>
      </c>
      <c r="AO169" s="59">
        <f t="shared" si="144"/>
        <v>273.83237400307223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10.209436153614977</v>
      </c>
      <c r="AV169" s="21">
        <f>EXP(-LN(2)/25)*AV168+(1-EXP(-LN(2)/25))/(LN(2)/25)*Calculateur!AQ169*Calculateur!AS169*VLOOKUP('Données projet'!$B$10,Paramètres!$A$1:$I$89,3,0)*0.475*44/12</f>
        <v>7.6531922722205481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17.862628425835524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-4.5474735088646412E-13</v>
      </c>
      <c r="BE169" s="13">
        <f>BD169*VLOOKUP('Données projet'!$B$11,Paramètres!$A$1:$I$89,3,0)*VLOOKUP('Données projet'!$B$11,Paramètres!$A$1:$I$89,5,0)</f>
        <v>-4.6111381379887462E-13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264.08050363622294</v>
      </c>
      <c r="BJ169" s="59">
        <f t="shared" si="146"/>
        <v>164.48884512322883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144.27694920576934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144.27694920576934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78.156000000000347</v>
      </c>
      <c r="D170" s="11">
        <f t="shared" si="140"/>
        <v>21.685706446534894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770.70790941185112</v>
      </c>
      <c r="H170" s="67">
        <f t="shared" si="110"/>
        <v>467.22430539438216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254.6443970237226</v>
      </c>
      <c r="T170" s="59">
        <f t="shared" si="142"/>
        <v>231.81667808018062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30.826251132410956</v>
      </c>
      <c r="AA170" s="21">
        <f>EXP(-LN(2)/25)*AA169+(1-EXP(-LN(2)/25))/(LN(2)/25)*Calculateur!V170*Calculateur!X170*VLOOKUP('Données projet'!$B$9,Paramètres!$A$1:$I$89,3,0)*0.475*44/12</f>
        <v>3.764851430300669</v>
      </c>
      <c r="AB170" s="21">
        <f>EXP(-LN(2)/2)*AB169+(1-EXP(-LN(2)/2))/(LN(2)/2)*V170*Y170*VLOOKUP('Données projet'!$B$9,Paramètres!$A$1:$I$89,3,0)*0.475*44/12</f>
        <v>1.000647816507758E-13</v>
      </c>
      <c r="AC170" s="22">
        <f t="shared" si="163"/>
        <v>34.591102562711725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180.31844548479722</v>
      </c>
      <c r="AO170" s="59">
        <f t="shared" si="144"/>
        <v>273.83237400307223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10.009235337783762</v>
      </c>
      <c r="AV170" s="21">
        <f>EXP(-LN(2)/25)*AV169+(1-EXP(-LN(2)/25))/(LN(2)/25)*Calculateur!AQ170*Calculateur!AS170*VLOOKUP('Données projet'!$B$10,Paramètres!$A$1:$I$89,3,0)*0.475*44/12</f>
        <v>7.4439153270727871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17.453150664856551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-4.5474735088646412E-13</v>
      </c>
      <c r="BE170" s="13">
        <f>BD170*VLOOKUP('Données projet'!$B$11,Paramètres!$A$1:$I$89,3,0)*VLOOKUP('Données projet'!$B$11,Paramètres!$A$1:$I$89,5,0)</f>
        <v>-4.6111381379887462E-13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264.08050363622294</v>
      </c>
      <c r="BJ170" s="59">
        <f t="shared" si="146"/>
        <v>164.48884512322883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141.44776623209393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141.44776623209393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78.62400000000035</v>
      </c>
      <c r="D171" s="11">
        <f t="shared" si="140"/>
        <v>21.800406010684551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775.20594113511152</v>
      </c>
      <c r="H171" s="67">
        <f t="shared" si="110"/>
        <v>468.23917380194285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254.6443970237226</v>
      </c>
      <c r="T171" s="59">
        <f t="shared" si="142"/>
        <v>231.81667808018062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30.221767149861009</v>
      </c>
      <c r="AA171" s="21">
        <f>EXP(-LN(2)/25)*AA170+(1-EXP(-LN(2)/25))/(LN(2)/25)*Calculateur!V171*Calculateur!X171*VLOOKUP('Données projet'!$B$9,Paramètres!$A$1:$I$89,3,0)*0.475*44/12</f>
        <v>3.6619013699541654</v>
      </c>
      <c r="AB171" s="21">
        <f>EXP(-LN(2)/2)*AB170+(1-EXP(-LN(2)/2))/(LN(2)/2)*V171*Y171*VLOOKUP('Données projet'!$B$9,Paramètres!$A$1:$I$89,3,0)*0.475*44/12</f>
        <v>7.0756485663214777E-14</v>
      </c>
      <c r="AC171" s="22">
        <f t="shared" si="163"/>
        <v>33.883668519815245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180.31844548479722</v>
      </c>
      <c r="AO171" s="59">
        <f t="shared" si="144"/>
        <v>273.83237400307223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9.8129603378405577</v>
      </c>
      <c r="AV171" s="21">
        <f>EXP(-LN(2)/25)*AV170+(1-EXP(-LN(2)/25))/(LN(2)/25)*Calculateur!AQ171*Calculateur!AS171*VLOOKUP('Données projet'!$B$10,Paramètres!$A$1:$I$89,3,0)*0.475*44/12</f>
        <v>7.2403610709954878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17.053321408836045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-4.5474735088646412E-13</v>
      </c>
      <c r="BE171" s="13">
        <f>BD171*VLOOKUP('Données projet'!$B$11,Paramètres!$A$1:$I$89,3,0)*VLOOKUP('Données projet'!$B$11,Paramètres!$A$1:$I$89,5,0)</f>
        <v>-4.6111381379887462E-13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264.08050363622294</v>
      </c>
      <c r="BJ171" s="59">
        <f t="shared" si="146"/>
        <v>164.48884512322883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138.67406181090107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138.67406181090107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79.092000000000354</v>
      </c>
      <c r="D172" s="11">
        <f t="shared" si="140"/>
        <v>21.915026131450077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779.70335961119633</v>
      </c>
      <c r="H172" s="67">
        <f t="shared" si="110"/>
        <v>469.25390384560944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254.6443970237226</v>
      </c>
      <c r="T172" s="59">
        <f t="shared" si="142"/>
        <v>231.81667808018062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29.629136729510044</v>
      </c>
      <c r="AA172" s="21">
        <f>EXP(-LN(2)/25)*AA171+(1-EXP(-LN(2)/25))/(LN(2)/25)*Calculateur!V172*Calculateur!X172*VLOOKUP('Données projet'!$B$9,Paramètres!$A$1:$I$89,3,0)*0.475*44/12</f>
        <v>3.5617664844217449</v>
      </c>
      <c r="AB172" s="21">
        <f>EXP(-LN(2)/2)*AB171+(1-EXP(-LN(2)/2))/(LN(2)/2)*V172*Y172*VLOOKUP('Données projet'!$B$9,Paramètres!$A$1:$I$89,3,0)*0.475*44/12</f>
        <v>5.0032390825387899E-14</v>
      </c>
      <c r="AC172" s="22">
        <f t="shared" si="163"/>
        <v>33.19090321393184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180.31844548479722</v>
      </c>
      <c r="AO172" s="59">
        <f t="shared" si="144"/>
        <v>273.83237400307223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9.6205341709303092</v>
      </c>
      <c r="AV172" s="21">
        <f>EXP(-LN(2)/25)*AV171+(1-EXP(-LN(2)/25))/(LN(2)/25)*Calculateur!AQ172*Calculateur!AS172*VLOOKUP('Données projet'!$B$10,Paramètres!$A$1:$I$89,3,0)*0.475*44/12</f>
        <v>7.0423730167550751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16.662907187685384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-4.5474735088646412E-13</v>
      </c>
      <c r="BE172" s="13">
        <f>BD172*VLOOKUP('Données projet'!$B$11,Paramètres!$A$1:$I$89,3,0)*VLOOKUP('Données projet'!$B$11,Paramètres!$A$1:$I$89,5,0)</f>
        <v>-4.6111381379887462E-13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264.08050363622294</v>
      </c>
      <c r="BJ172" s="59">
        <f t="shared" si="146"/>
        <v>164.48884512322883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135.95474804161515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135.95474804161515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79.560000000000358</v>
      </c>
      <c r="D173" s="11">
        <f t="shared" si="140"/>
        <v>22.0295673334534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784.20016888981854</v>
      </c>
      <c r="H173" s="67">
        <f t="shared" si="110"/>
        <v>470.26849643909861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254.6443970237226</v>
      </c>
      <c r="T173" s="59">
        <f t="shared" si="142"/>
        <v>231.81667808018062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29.048127430233297</v>
      </c>
      <c r="AA173" s="21">
        <f>EXP(-LN(2)/25)*AA172+(1-EXP(-LN(2)/25))/(LN(2)/25)*Calculateur!V173*Calculateur!X173*VLOOKUP('Données projet'!$B$9,Paramètres!$A$1:$I$89,3,0)*0.475*44/12</f>
        <v>3.4643697926000736</v>
      </c>
      <c r="AB173" s="21">
        <f>EXP(-LN(2)/2)*AB172+(1-EXP(-LN(2)/2))/(LN(2)/2)*V173*Y173*VLOOKUP('Données projet'!$B$9,Paramètres!$A$1:$I$89,3,0)*0.475*44/12</f>
        <v>3.5378242831607388E-14</v>
      </c>
      <c r="AC173" s="22">
        <f t="shared" si="163"/>
        <v>32.512497222833403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180.31844548479722</v>
      </c>
      <c r="AO173" s="59">
        <f t="shared" si="144"/>
        <v>273.83237400307223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9.4318813637847985</v>
      </c>
      <c r="AV173" s="21">
        <f>EXP(-LN(2)/25)*AV172+(1-EXP(-LN(2)/25))/(LN(2)/25)*Calculateur!AQ173*Calculateur!AS173*VLOOKUP('Données projet'!$B$10,Paramètres!$A$1:$I$89,3,0)*0.475*44/12</f>
        <v>6.8497989562696064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16.281680320054406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-4.5474735088646412E-13</v>
      </c>
      <c r="BE173" s="13">
        <f>BD173*VLOOKUP('Données projet'!$B$11,Paramètres!$A$1:$I$89,3,0)*VLOOKUP('Données projet'!$B$11,Paramètres!$A$1:$I$89,5,0)</f>
        <v>-4.6111381379887462E-13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264.08050363622294</v>
      </c>
      <c r="BJ173" s="59">
        <f t="shared" si="146"/>
        <v>164.48884512322883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133.2887583567273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133.2887583567273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80.028000000000361</v>
      </c>
      <c r="D174" s="11">
        <f t="shared" si="140"/>
        <v>22.144030134787236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788.69637297029021</v>
      </c>
      <c r="H174" s="67">
        <f t="shared" si="110"/>
        <v>471.28295248475501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254.6443970237226</v>
      </c>
      <c r="T174" s="59">
        <f t="shared" si="142"/>
        <v>231.81667808018062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28.478511368934686</v>
      </c>
      <c r="AA174" s="21">
        <f>EXP(-LN(2)/25)*AA173+(1-EXP(-LN(2)/25))/(LN(2)/25)*Calculateur!V174*Calculateur!X174*VLOOKUP('Données projet'!$B$9,Paramètres!$A$1:$I$89,3,0)*0.475*44/12</f>
        <v>3.3696364184381351</v>
      </c>
      <c r="AB174" s="21">
        <f>EXP(-LN(2)/2)*AB173+(1-EXP(-LN(2)/2))/(LN(2)/2)*V174*Y174*VLOOKUP('Données projet'!$B$9,Paramètres!$A$1:$I$89,3,0)*0.475*44/12</f>
        <v>2.5016195412693949E-14</v>
      </c>
      <c r="AC174" s="22">
        <f t="shared" si="163"/>
        <v>31.848147787372845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180.31844548479722</v>
      </c>
      <c r="AO174" s="59">
        <f t="shared" si="144"/>
        <v>273.83237400307223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9.2469279231205608</v>
      </c>
      <c r="AV174" s="21">
        <f>EXP(-LN(2)/25)*AV173+(1-EXP(-LN(2)/25))/(LN(2)/25)*Calculateur!AQ174*Calculateur!AS174*VLOOKUP('Données projet'!$B$10,Paramètres!$A$1:$I$89,3,0)*0.475*44/12</f>
        <v>6.6624908435951422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15.909418766715703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-4.5474735088646412E-13</v>
      </c>
      <c r="BE174" s="13">
        <f>BD174*VLOOKUP('Données projet'!$B$11,Paramètres!$A$1:$I$89,3,0)*VLOOKUP('Données projet'!$B$11,Paramètres!$A$1:$I$89,5,0)</f>
        <v>-4.6111381379887462E-13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264.08050363622294</v>
      </c>
      <c r="BJ174" s="59">
        <f t="shared" si="146"/>
        <v>164.48884512322883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130.67504710346697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130.67504710346697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80.496000000000365</v>
      </c>
      <c r="D175" s="11">
        <f t="shared" si="140"/>
        <v>22.258415047134207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793.19197580244236</v>
      </c>
      <c r="H175" s="67">
        <f t="shared" si="110"/>
        <v>472.29727287375937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254.6443970237226</v>
      </c>
      <c r="T175" s="59">
        <f t="shared" si="142"/>
        <v>231.81667808018062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27.920065131166648</v>
      </c>
      <c r="AA175" s="21">
        <f>EXP(-LN(2)/25)*AA174+(1-EXP(-LN(2)/25))/(LN(2)/25)*Calculateur!V175*Calculateur!X175*VLOOKUP('Données projet'!$B$9,Paramètres!$A$1:$I$89,3,0)*0.475*44/12</f>
        <v>3.2774935333744666</v>
      </c>
      <c r="AB175" s="21">
        <f>EXP(-LN(2)/2)*AB174+(1-EXP(-LN(2)/2))/(LN(2)/2)*V175*Y175*VLOOKUP('Données projet'!$B$9,Paramètres!$A$1:$I$89,3,0)*0.475*44/12</f>
        <v>1.7689121415803694E-14</v>
      </c>
      <c r="AC175" s="22">
        <f t="shared" si="163"/>
        <v>31.197558664541134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180.31844548479722</v>
      </c>
      <c r="AO175" s="59">
        <f t="shared" si="144"/>
        <v>273.83237400307223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9.0656013066172889</v>
      </c>
      <c r="AV175" s="21">
        <f>EXP(-LN(2)/25)*AV174+(1-EXP(-LN(2)/25))/(LN(2)/25)*Calculateur!AQ175*Calculateur!AS175*VLOOKUP('Données projet'!$B$10,Paramètres!$A$1:$I$89,3,0)*0.475*44/12</f>
        <v>6.4803046811118667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15.545905987729157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-4.5474735088646412E-13</v>
      </c>
      <c r="BE175" s="13">
        <f>BD175*VLOOKUP('Données projet'!$B$11,Paramètres!$A$1:$I$89,3,0)*VLOOKUP('Données projet'!$B$11,Paramètres!$A$1:$I$89,5,0)</f>
        <v>-4.6111381379887462E-13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264.08050363622294</v>
      </c>
      <c r="BJ175" s="59">
        <f t="shared" si="146"/>
        <v>164.48884512322883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128.11258913367661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128.11258913367661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80.964000000000368</v>
      </c>
      <c r="D176" s="11">
        <f t="shared" si="140"/>
        <v>22.372722575882829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797.68698128751942</v>
      </c>
      <c r="H176" s="67">
        <f t="shared" si="110"/>
        <v>473.31145848632991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254.6443970237226</v>
      </c>
      <c r="T176" s="59">
        <f t="shared" si="142"/>
        <v>231.81667808018062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27.372569683502672</v>
      </c>
      <c r="AA176" s="21">
        <f>EXP(-LN(2)/25)*AA175+(1-EXP(-LN(2)/25))/(LN(2)/25)*Calculateur!V176*Calculateur!X176*VLOOKUP('Données projet'!$B$9,Paramètres!$A$1:$I$89,3,0)*0.475*44/12</f>
        <v>3.1878703003484476</v>
      </c>
      <c r="AB176" s="21">
        <f>EXP(-LN(2)/2)*AB175+(1-EXP(-LN(2)/2))/(LN(2)/2)*V176*Y176*VLOOKUP('Données projet'!$B$9,Paramètres!$A$1:$I$89,3,0)*0.475*44/12</f>
        <v>1.2508097706346975E-14</v>
      </c>
      <c r="AC176" s="22">
        <f t="shared" si="163"/>
        <v>30.560439983851133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180.31844548479722</v>
      </c>
      <c r="AO176" s="59">
        <f t="shared" si="144"/>
        <v>273.83237400307223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8.8878303944653307</v>
      </c>
      <c r="AV176" s="21">
        <f>EXP(-LN(2)/25)*AV175+(1-EXP(-LN(2)/25))/(LN(2)/25)*Calculateur!AQ176*Calculateur!AS176*VLOOKUP('Données projet'!$B$10,Paramètres!$A$1:$I$89,3,0)*0.475*44/12</f>
        <v>6.3031004088224503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15.190930803287781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-4.5474735088646412E-13</v>
      </c>
      <c r="BE176" s="13">
        <f>BD176*VLOOKUP('Données projet'!$B$11,Paramètres!$A$1:$I$89,3,0)*VLOOKUP('Données projet'!$B$11,Paramètres!$A$1:$I$89,5,0)</f>
        <v>-4.6111381379887462E-13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264.08050363622294</v>
      </c>
      <c r="BJ176" s="59">
        <f t="shared" si="146"/>
        <v>164.48884512322883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125.6003794017288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125.6003794017288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81.432000000000372</v>
      </c>
      <c r="D177" s="11">
        <f t="shared" si="140"/>
        <v>22.486953220240959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802.18139327905601</v>
      </c>
      <c r="H177" s="67">
        <f t="shared" si="110"/>
        <v>474.32551019192033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254.6443970237226</v>
      </c>
      <c r="T177" s="59">
        <f t="shared" si="142"/>
        <v>231.81667808018062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26.835810287628135</v>
      </c>
      <c r="AA177" s="21">
        <f>EXP(-LN(2)/25)*AA176+(1-EXP(-LN(2)/25))/(LN(2)/25)*Calculateur!V177*Calculateur!X177*VLOOKUP('Données projet'!$B$9,Paramètres!$A$1:$I$89,3,0)*0.475*44/12</f>
        <v>3.100697819342606</v>
      </c>
      <c r="AB177" s="21">
        <f>EXP(-LN(2)/2)*AB176+(1-EXP(-LN(2)/2))/(LN(2)/2)*V177*Y177*VLOOKUP('Données projet'!$B$9,Paramètres!$A$1:$I$89,3,0)*0.475*44/12</f>
        <v>8.8445607079018471E-15</v>
      </c>
      <c r="AC177" s="22">
        <f t="shared" si="163"/>
        <v>29.936508106970749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180.31844548479722</v>
      </c>
      <c r="AO177" s="59">
        <f t="shared" si="144"/>
        <v>273.83237400307223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8.7135454614711225</v>
      </c>
      <c r="AV177" s="21">
        <f>EXP(-LN(2)/25)*AV176+(1-EXP(-LN(2)/25))/(LN(2)/25)*Calculateur!AQ177*Calculateur!AS177*VLOOKUP('Données projet'!$B$10,Paramètres!$A$1:$I$89,3,0)*0.475*44/12</f>
        <v>6.1307417966775555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14.844287258148679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-4.5474735088646412E-13</v>
      </c>
      <c r="BE177" s="13">
        <f>BD177*VLOOKUP('Données projet'!$B$11,Paramètres!$A$1:$I$89,3,0)*VLOOKUP('Données projet'!$B$11,Paramètres!$A$1:$I$89,5,0)</f>
        <v>-4.6111381379887462E-13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264.08050363622294</v>
      </c>
      <c r="BJ177" s="59">
        <f t="shared" si="146"/>
        <v>164.48884512322883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123.13743257032786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123.13743257032786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81.900000000000375</v>
      </c>
      <c r="D178" s="11">
        <f t="shared" si="140"/>
        <v>22.601107473346421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806.67521558372971</v>
      </c>
      <c r="H178" s="67">
        <f t="shared" si="110"/>
        <v>475.33942884941229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254.6443970237226</v>
      </c>
      <c r="T178" s="59">
        <f t="shared" si="142"/>
        <v>231.81667808018062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26.309576416115796</v>
      </c>
      <c r="AA178" s="21">
        <f>EXP(-LN(2)/25)*AA177+(1-EXP(-LN(2)/25))/(LN(2)/25)*Calculateur!V178*Calculateur!X178*VLOOKUP('Données projet'!$B$9,Paramètres!$A$1:$I$89,3,0)*0.475*44/12</f>
        <v>3.0159090744140711</v>
      </c>
      <c r="AB178" s="21">
        <f>EXP(-LN(2)/2)*AB177+(1-EXP(-LN(2)/2))/(LN(2)/2)*V178*Y178*VLOOKUP('Données projet'!$B$9,Paramètres!$A$1:$I$89,3,0)*0.475*44/12</f>
        <v>6.2540488531734874E-15</v>
      </c>
      <c r="AC178" s="22">
        <f t="shared" si="163"/>
        <v>29.325485490529875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180.31844548479722</v>
      </c>
      <c r="AO178" s="59">
        <f t="shared" si="144"/>
        <v>273.83237400307223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8.5426781497096194</v>
      </c>
      <c r="AV178" s="21">
        <f>EXP(-LN(2)/25)*AV177+(1-EXP(-LN(2)/25))/(LN(2)/25)*Calculateur!AQ178*Calculateur!AS178*VLOOKUP('Données projet'!$B$10,Paramètres!$A$1:$I$89,3,0)*0.475*44/12</f>
        <v>5.9630963398457082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14.505774489555328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-4.5474735088646412E-13</v>
      </c>
      <c r="BE178" s="13">
        <f>BD178*VLOOKUP('Données projet'!$B$11,Paramètres!$A$1:$I$89,3,0)*VLOOKUP('Données projet'!$B$11,Paramètres!$A$1:$I$89,5,0)</f>
        <v>-4.6111381379887462E-13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264.08050363622294</v>
      </c>
      <c r="BJ178" s="59">
        <f t="shared" si="146"/>
        <v>164.48884512322883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120.72278262404146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120.72278262404146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82.368000000000379</v>
      </c>
      <c r="D179" s="11">
        <f t="shared" si="140"/>
        <v>22.715185822375016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811.16845196219617</v>
      </c>
      <c r="H179" s="67">
        <f t="shared" si="110"/>
        <v>476.3532153073038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254.6443970237226</v>
      </c>
      <c r="T179" s="59">
        <f t="shared" si="142"/>
        <v>231.81667808018062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25.793661669852845</v>
      </c>
      <c r="AA179" s="21">
        <f>EXP(-LN(2)/25)*AA178+(1-EXP(-LN(2)/25))/(LN(2)/25)*Calculateur!V179*Calculateur!X179*VLOOKUP('Données projet'!$B$9,Paramètres!$A$1:$I$89,3,0)*0.475*44/12</f>
        <v>2.9334388821744533</v>
      </c>
      <c r="AB179" s="21">
        <f>EXP(-LN(2)/2)*AB178+(1-EXP(-LN(2)/2))/(LN(2)/2)*V179*Y179*VLOOKUP('Données projet'!$B$9,Paramètres!$A$1:$I$89,3,0)*0.475*44/12</f>
        <v>4.4222803539509235E-15</v>
      </c>
      <c r="AC179" s="22">
        <f t="shared" si="163"/>
        <v>28.727100552027302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180.31844548479722</v>
      </c>
      <c r="AO179" s="59">
        <f t="shared" si="144"/>
        <v>273.83237400307223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8.3751614417129883</v>
      </c>
      <c r="AV179" s="21">
        <f>EXP(-LN(2)/25)*AV178+(1-EXP(-LN(2)/25))/(LN(2)/25)*Calculateur!AQ179*Calculateur!AS179*VLOOKUP('Données projet'!$B$10,Paramètres!$A$1:$I$89,3,0)*0.475*44/12</f>
        <v>5.8000351568470192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14.175196598560007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-4.5474735088646412E-13</v>
      </c>
      <c r="BE179" s="13">
        <f>BD179*VLOOKUP('Données projet'!$B$11,Paramètres!$A$1:$I$89,3,0)*VLOOKUP('Données projet'!$B$11,Paramètres!$A$1:$I$89,5,0)</f>
        <v>-4.6111381379887462E-13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264.08050363622294</v>
      </c>
      <c r="BJ179" s="59">
        <f t="shared" si="146"/>
        <v>164.48884512322883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118.35548249041069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118.35548249041069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82.836000000000382</v>
      </c>
      <c r="D180" s="11">
        <f t="shared" si="140"/>
        <v>22.829188748646111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815.66110612990281</v>
      </c>
      <c r="H180" s="67">
        <f t="shared" si="110"/>
        <v>477.36687040389262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254.6443970237226</v>
      </c>
      <c r="T180" s="59">
        <f t="shared" si="142"/>
        <v>231.81667808018062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25.287863697087186</v>
      </c>
      <c r="AA180" s="21">
        <f>EXP(-LN(2)/25)*AA179+(1-EXP(-LN(2)/25))/(LN(2)/25)*Calculateur!V180*Calculateur!X180*VLOOKUP('Données projet'!$B$9,Paramètres!$A$1:$I$89,3,0)*0.475*44/12</f>
        <v>2.8532238416785467</v>
      </c>
      <c r="AB180" s="21">
        <f>EXP(-LN(2)/2)*AB179+(1-EXP(-LN(2)/2))/(LN(2)/2)*V180*Y180*VLOOKUP('Données projet'!$B$9,Paramètres!$A$1:$I$89,3,0)*0.475*44/12</f>
        <v>3.1270244265867437E-15</v>
      </c>
      <c r="AC180" s="22">
        <f t="shared" si="163"/>
        <v>28.141087538765735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180.31844548479722</v>
      </c>
      <c r="AO180" s="59">
        <f t="shared" si="144"/>
        <v>273.83237400307223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8.210929634185069</v>
      </c>
      <c r="AV180" s="21">
        <f>EXP(-LN(2)/25)*AV179+(1-EXP(-LN(2)/25))/(LN(2)/25)*Calculateur!AQ180*Calculateur!AS180*VLOOKUP('Données projet'!$B$10,Paramètres!$A$1:$I$89,3,0)*0.475*44/12</f>
        <v>5.6414328904724451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13.852362524657515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-4.5474735088646412E-13</v>
      </c>
      <c r="BE180" s="13">
        <f>BD180*VLOOKUP('Données projet'!$B$11,Paramètres!$A$1:$I$89,3,0)*VLOOKUP('Données projet'!$B$11,Paramètres!$A$1:$I$89,5,0)</f>
        <v>-4.6111381379887462E-13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264.08050363622294</v>
      </c>
      <c r="BJ180" s="59">
        <f t="shared" si="146"/>
        <v>164.48884512322883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116.03460366848992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116.03460366848992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83.304000000000386</v>
      </c>
      <c r="D181" s="11">
        <f t="shared" si="140"/>
        <v>22.943116727725723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820.15318175788582</v>
      </c>
      <c r="H181" s="67">
        <f t="shared" si="110"/>
        <v>478.38039496745625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254.6443970237226</v>
      </c>
      <c r="T181" s="59">
        <f t="shared" si="142"/>
        <v>231.81667808018062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24.791984114061162</v>
      </c>
      <c r="AA181" s="21">
        <f>EXP(-LN(2)/25)*AA180+(1-EXP(-LN(2)/25))/(LN(2)/25)*Calculateur!V181*Calculateur!X181*VLOOKUP('Données projet'!$B$9,Paramètres!$A$1:$I$89,3,0)*0.475*44/12</f>
        <v>2.7752022856833261</v>
      </c>
      <c r="AB181" s="21">
        <f>EXP(-LN(2)/2)*AB180+(1-EXP(-LN(2)/2))/(LN(2)/2)*V181*Y181*VLOOKUP('Données projet'!$B$9,Paramètres!$A$1:$I$89,3,0)*0.475*44/12</f>
        <v>2.2111401769754618E-15</v>
      </c>
      <c r="AC181" s="22">
        <f t="shared" si="163"/>
        <v>27.567186399744489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180.31844548479722</v>
      </c>
      <c r="AO181" s="59">
        <f t="shared" si="144"/>
        <v>273.83237400307223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8.0499183122312612</v>
      </c>
      <c r="AV181" s="21">
        <f>EXP(-LN(2)/25)*AV180+(1-EXP(-LN(2)/25))/(LN(2)/25)*Calculateur!AQ181*Calculateur!AS181*VLOOKUP('Données projet'!$B$10,Paramètres!$A$1:$I$89,3,0)*0.475*44/12</f>
        <v>5.4871676114124144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13.537085923643676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-4.5474735088646412E-13</v>
      </c>
      <c r="BE181" s="13">
        <f>BD181*VLOOKUP('Données projet'!$B$11,Paramètres!$A$1:$I$89,3,0)*VLOOKUP('Données projet'!$B$11,Paramètres!$A$1:$I$89,5,0)</f>
        <v>-4.6111381379887462E-13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264.08050363622294</v>
      </c>
      <c r="BJ181" s="59">
        <f t="shared" si="146"/>
        <v>164.48884512322883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113.75923586467071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113.75923586467071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83.772000000000389</v>
      </c>
      <c r="D182" s="11">
        <f t="shared" si="140"/>
        <v>23.056970229527188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824.64468247354625</v>
      </c>
      <c r="H182" s="67">
        <f t="shared" si="110"/>
        <v>479.39378981642722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254.6443970237226</v>
      </c>
      <c r="T182" s="59">
        <f t="shared" si="142"/>
        <v>231.81667808018062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24.305828427201597</v>
      </c>
      <c r="AA182" s="21">
        <f>EXP(-LN(2)/25)*AA181+(1-EXP(-LN(2)/25))/(LN(2)/25)*Calculateur!V182*Calculateur!X182*VLOOKUP('Données projet'!$B$9,Paramètres!$A$1:$I$89,3,0)*0.475*44/12</f>
        <v>2.6993142332397699</v>
      </c>
      <c r="AB182" s="21">
        <f>EXP(-LN(2)/2)*AB181+(1-EXP(-LN(2)/2))/(LN(2)/2)*V182*Y182*VLOOKUP('Données projet'!$B$9,Paramètres!$A$1:$I$89,3,0)*0.475*44/12</f>
        <v>1.5635122132933718E-15</v>
      </c>
      <c r="AC182" s="22">
        <f t="shared" si="163"/>
        <v>27.005142660441365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180.31844548479722</v>
      </c>
      <c r="AO182" s="59">
        <f t="shared" si="144"/>
        <v>273.83237400307223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7.8920643240937576</v>
      </c>
      <c r="AV182" s="21">
        <f>EXP(-LN(2)/25)*AV181+(1-EXP(-LN(2)/25))/(LN(2)/25)*Calculateur!AQ182*Calculateur!AS182*VLOOKUP('Données projet'!$B$10,Paramètres!$A$1:$I$89,3,0)*0.475*44/12</f>
        <v>5.3371207245207382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13.229185048614497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-4.5474735088646412E-13</v>
      </c>
      <c r="BE182" s="13">
        <f>BD182*VLOOKUP('Données projet'!$B$11,Paramètres!$A$1:$I$89,3,0)*VLOOKUP('Données projet'!$B$11,Paramètres!$A$1:$I$89,5,0)</f>
        <v>-4.6111381379887462E-13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264.08050363622294</v>
      </c>
      <c r="BJ182" s="59">
        <f t="shared" si="146"/>
        <v>164.48884512322883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111.52848663564707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111.52848663564707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84.240000000000393</v>
      </c>
      <c r="D183" s="11">
        <f t="shared" si="140"/>
        <v>23.170749718409571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829.13561186141033</v>
      </c>
      <c r="H183" s="67">
        <f t="shared" si="110"/>
        <v>480.40705575956395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254.6443970237226</v>
      </c>
      <c r="T183" s="59">
        <f t="shared" si="142"/>
        <v>231.81667808018062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23.829205956835658</v>
      </c>
      <c r="AA183" s="21">
        <f>EXP(-LN(2)/25)*AA182+(1-EXP(-LN(2)/25))/(LN(2)/25)*Calculateur!V183*Calculateur!X183*VLOOKUP('Données projet'!$B$9,Paramètres!$A$1:$I$89,3,0)*0.475*44/12</f>
        <v>2.6255013435810621</v>
      </c>
      <c r="AB183" s="21">
        <f>EXP(-LN(2)/2)*AB182+(1-EXP(-LN(2)/2))/(LN(2)/2)*V183*Y183*VLOOKUP('Données projet'!$B$9,Paramètres!$A$1:$I$89,3,0)*0.475*44/12</f>
        <v>1.1055700884877309E-15</v>
      </c>
      <c r="AC183" s="22">
        <f t="shared" si="163"/>
        <v>26.454707300416722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180.31844548479722</v>
      </c>
      <c r="AO183" s="59">
        <f t="shared" si="144"/>
        <v>273.83237400307223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7.737305756382205</v>
      </c>
      <c r="AV183" s="21">
        <f>EXP(-LN(2)/25)*AV182+(1-EXP(-LN(2)/25))/(LN(2)/25)*Calculateur!AQ183*Calculateur!AS183*VLOOKUP('Données projet'!$B$10,Paramètres!$A$1:$I$89,3,0)*0.475*44/12</f>
        <v>5.1911768776417375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12.928482634023943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-4.5474735088646412E-13</v>
      </c>
      <c r="BE183" s="13">
        <f>BD183*VLOOKUP('Données projet'!$B$11,Paramètres!$A$1:$I$89,3,0)*VLOOKUP('Données projet'!$B$11,Paramètres!$A$1:$I$89,5,0)</f>
        <v>-4.6111381379887462E-13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264.08050363622294</v>
      </c>
      <c r="BJ183" s="59">
        <f t="shared" si="146"/>
        <v>164.48884512322883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109.3414810383819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109.3414810383819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84.708000000000396</v>
      </c>
      <c r="D184" s="11">
        <f t="shared" si="140"/>
        <v>23.284455653273778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833.62597346387076</v>
      </c>
      <c r="H184" s="67">
        <f t="shared" si="110"/>
        <v>481.42019359611913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254.6443970237226</v>
      </c>
      <c r="T184" s="59">
        <f t="shared" si="142"/>
        <v>231.81667808018062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23.361929762402593</v>
      </c>
      <c r="AA184" s="21">
        <f>EXP(-LN(2)/25)*AA183+(1-EXP(-LN(2)/25))/(LN(2)/25)*Calculateur!V184*Calculateur!X184*VLOOKUP('Données projet'!$B$9,Paramètres!$A$1:$I$89,3,0)*0.475*44/12</f>
        <v>2.5537068712717228</v>
      </c>
      <c r="AB184" s="21">
        <f>EXP(-LN(2)/2)*AB183+(1-EXP(-LN(2)/2))/(LN(2)/2)*V184*Y184*VLOOKUP('Données projet'!$B$9,Paramètres!$A$1:$I$89,3,0)*0.475*44/12</f>
        <v>7.8175610664668592E-16</v>
      </c>
      <c r="AC184" s="22">
        <f t="shared" si="163"/>
        <v>25.915636633674314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180.31844548479722</v>
      </c>
      <c r="AO184" s="59">
        <f t="shared" si="144"/>
        <v>273.83237400307223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7.5855819097900703</v>
      </c>
      <c r="AV184" s="21">
        <f>EXP(-LN(2)/25)*AV183+(1-EXP(-LN(2)/25))/(LN(2)/25)*Calculateur!AQ184*Calculateur!AS184*VLOOKUP('Données projet'!$B$10,Paramètres!$A$1:$I$89,3,0)*0.475*44/12</f>
        <v>5.0492238729304972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12.634805782720568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-4.5474735088646412E-13</v>
      </c>
      <c r="BE184" s="13">
        <f>BD184*VLOOKUP('Données projet'!$B$11,Paramètres!$A$1:$I$89,3,0)*VLOOKUP('Données projet'!$B$11,Paramètres!$A$1:$I$89,5,0)</f>
        <v>-4.6111381379887462E-13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264.08050363622294</v>
      </c>
      <c r="BJ184" s="59">
        <f t="shared" si="146"/>
        <v>164.48884512322883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107.19736128693741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107.19736128693741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85.1760000000004</v>
      </c>
      <c r="D185" s="11">
        <f t="shared" si="140"/>
        <v>23.398088487656537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838.11577078191328</v>
      </c>
      <c r="H185" s="67">
        <f t="shared" si="110"/>
        <v>482.43320411600246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254.6443970237226</v>
      </c>
      <c r="T185" s="59">
        <f t="shared" si="142"/>
        <v>231.81667808018062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22.903816569132026</v>
      </c>
      <c r="AA185" s="21">
        <f>EXP(-LN(2)/25)*AA184+(1-EXP(-LN(2)/25))/(LN(2)/25)*Calculateur!V185*Calculateur!X185*VLOOKUP('Données projet'!$B$9,Paramètres!$A$1:$I$89,3,0)*0.475*44/12</f>
        <v>2.4838756225831897</v>
      </c>
      <c r="AB185" s="21">
        <f>EXP(-LN(2)/2)*AB184+(1-EXP(-LN(2)/2))/(LN(2)/2)*V185*Y185*VLOOKUP('Données projet'!$B$9,Paramètres!$A$1:$I$89,3,0)*0.475*44/12</f>
        <v>5.5278504424386544E-16</v>
      </c>
      <c r="AC185" s="22">
        <f t="shared" si="163"/>
        <v>25.387692191715217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180.31844548479722</v>
      </c>
      <c r="AO185" s="59">
        <f t="shared" si="144"/>
        <v>273.83237400307223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7.4368332752871984</v>
      </c>
      <c r="AV185" s="21">
        <f>EXP(-LN(2)/25)*AV184+(1-EXP(-LN(2)/25))/(LN(2)/25)*Calculateur!AQ185*Calculateur!AS185*VLOOKUP('Données projet'!$B$10,Paramètres!$A$1:$I$89,3,0)*0.475*44/12</f>
        <v>4.9111525805980696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12.347985855885268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-4.5474735088646412E-13</v>
      </c>
      <c r="BE185" s="13">
        <f>BD185*VLOOKUP('Données projet'!$B$11,Paramètres!$A$1:$I$89,3,0)*VLOOKUP('Données projet'!$B$11,Paramètres!$A$1:$I$89,5,0)</f>
        <v>-4.6111381379887462E-13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264.08050363622294</v>
      </c>
      <c r="BJ185" s="59">
        <f t="shared" si="146"/>
        <v>164.48884512322883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105.09528641603482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105.09528641603482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85.644000000000403</v>
      </c>
      <c r="D186" s="11">
        <f t="shared" si="140"/>
        <v>23.511648669822165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842.60500727582337</v>
      </c>
      <c r="H186" s="67">
        <f t="shared" si="110"/>
        <v>483.44608809994094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254.6443970237226</v>
      </c>
      <c r="T186" s="59">
        <f t="shared" si="142"/>
        <v>231.81667808018062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22.454686696160035</v>
      </c>
      <c r="AA186" s="21">
        <f>EXP(-LN(2)/25)*AA185+(1-EXP(-LN(2)/25))/(LN(2)/25)*Calculateur!V186*Calculateur!X186*VLOOKUP('Données projet'!$B$9,Paramètres!$A$1:$I$89,3,0)*0.475*44/12</f>
        <v>2.4159539130623102</v>
      </c>
      <c r="AB186" s="21">
        <f>EXP(-LN(2)/2)*AB185+(1-EXP(-LN(2)/2))/(LN(2)/2)*V186*Y186*VLOOKUP('Données projet'!$B$9,Paramètres!$A$1:$I$89,3,0)*0.475*44/12</f>
        <v>3.9087805332334296E-16</v>
      </c>
      <c r="AC186" s="22">
        <f t="shared" si="163"/>
        <v>24.870640609222345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180.31844548479722</v>
      </c>
      <c r="AO186" s="59">
        <f t="shared" si="144"/>
        <v>273.83237400307223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7.2910015107792194</v>
      </c>
      <c r="AV186" s="21">
        <f>EXP(-LN(2)/25)*AV185+(1-EXP(-LN(2)/25))/(LN(2)/25)*Calculateur!AQ186*Calculateur!AS186*VLOOKUP('Données projet'!$B$10,Paramètres!$A$1:$I$89,3,0)*0.475*44/12</f>
        <v>4.7768568550153256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12.067858365794546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-4.5474735088646412E-13</v>
      </c>
      <c r="BE186" s="13">
        <f>BD186*VLOOKUP('Données projet'!$B$11,Paramètres!$A$1:$I$89,3,0)*VLOOKUP('Données projet'!$B$11,Paramètres!$A$1:$I$89,5,0)</f>
        <v>-4.6111381379887462E-13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264.08050363622294</v>
      </c>
      <c r="BJ186" s="59">
        <f t="shared" si="146"/>
        <v>164.48884512322883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103.03443195121157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103.03443195121157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86.112000000000407</v>
      </c>
      <c r="D187" s="11">
        <f t="shared" si="140"/>
        <v>23.625136642852389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847.09368636588124</v>
      </c>
      <c r="H187" s="67">
        <f t="shared" si="110"/>
        <v>484.4588463196352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254.6443970237226</v>
      </c>
      <c r="T187" s="59">
        <f t="shared" si="142"/>
        <v>231.81667808018062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22.014363986054853</v>
      </c>
      <c r="AA187" s="21">
        <f>EXP(-LN(2)/25)*AA186+(1-EXP(-LN(2)/25))/(LN(2)/25)*Calculateur!V187*Calculateur!X187*VLOOKUP('Données projet'!$B$9,Paramètres!$A$1:$I$89,3,0)*0.475*44/12</f>
        <v>2.3498895262601267</v>
      </c>
      <c r="AB187" s="21">
        <f>EXP(-LN(2)/2)*AB186+(1-EXP(-LN(2)/2))/(LN(2)/2)*V187*Y187*VLOOKUP('Données projet'!$B$9,Paramètres!$A$1:$I$89,3,0)*0.475*44/12</f>
        <v>2.7639252212193272E-16</v>
      </c>
      <c r="AC187" s="22">
        <f t="shared" si="163"/>
        <v>24.364253512314981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180.31844548479722</v>
      </c>
      <c r="AO187" s="59">
        <f t="shared" si="144"/>
        <v>273.83237400307223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7.1480294182246489</v>
      </c>
      <c r="AV187" s="21">
        <f>EXP(-LN(2)/25)*AV186+(1-EXP(-LN(2)/25))/(LN(2)/25)*Calculateur!AQ187*Calculateur!AS187*VLOOKUP('Données projet'!$B$10,Paramètres!$A$1:$I$89,3,0)*0.475*44/12</f>
        <v>4.6462334531109475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11.794262871335597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-4.5474735088646412E-13</v>
      </c>
      <c r="BE187" s="13">
        <f>BD187*VLOOKUP('Données projet'!$B$11,Paramètres!$A$1:$I$89,3,0)*VLOOKUP('Données projet'!$B$11,Paramètres!$A$1:$I$89,5,0)</f>
        <v>-4.6111381379887462E-13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264.08050363622294</v>
      </c>
      <c r="BJ187" s="59">
        <f t="shared" si="146"/>
        <v>164.48884512322883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101.0139895854464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101.0139895854464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86.58000000000041</v>
      </c>
      <c r="D188" s="11">
        <f t="shared" si="140"/>
        <v>23.73855284473407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851.58181143303818</v>
      </c>
      <c r="H188" s="67">
        <f t="shared" si="110"/>
        <v>485.4714795379125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254.6443970237226</v>
      </c>
      <c r="T188" s="59">
        <f t="shared" si="142"/>
        <v>231.81667808018062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21.5826757357245</v>
      </c>
      <c r="AA188" s="21">
        <f>EXP(-LN(2)/25)*AA187+(1-EXP(-LN(2)/25))/(LN(2)/25)*Calculateur!V188*Calculateur!X188*VLOOKUP('Données projet'!$B$9,Paramètres!$A$1:$I$89,3,0)*0.475*44/12</f>
        <v>2.2856316735892239</v>
      </c>
      <c r="AB188" s="21">
        <f>EXP(-LN(2)/2)*AB187+(1-EXP(-LN(2)/2))/(LN(2)/2)*V188*Y188*VLOOKUP('Données projet'!$B$9,Paramètres!$A$1:$I$89,3,0)*0.475*44/12</f>
        <v>1.9543902666167148E-16</v>
      </c>
      <c r="AC188" s="22">
        <f t="shared" si="163"/>
        <v>23.868307409313722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180.31844548479722</v>
      </c>
      <c r="AO188" s="59">
        <f t="shared" si="144"/>
        <v>273.83237400307223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7.0078609212007077</v>
      </c>
      <c r="AV188" s="21">
        <f>EXP(-LN(2)/25)*AV187+(1-EXP(-LN(2)/25))/(LN(2)/25)*Calculateur!AQ188*Calculateur!AS188*VLOOKUP('Données projet'!$B$10,Paramètres!$A$1:$I$89,3,0)*0.475*44/12</f>
        <v>4.5191819550008301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11.527042876201538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-4.5474735088646412E-13</v>
      </c>
      <c r="BE188" s="13">
        <f>BD188*VLOOKUP('Données projet'!$B$11,Paramètres!$A$1:$I$89,3,0)*VLOOKUP('Données projet'!$B$11,Paramètres!$A$1:$I$89,5,0)</f>
        <v>-4.6111381379887462E-13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264.08050363622294</v>
      </c>
      <c r="BJ188" s="59">
        <f t="shared" si="146"/>
        <v>164.48884512322883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99.033166862125711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99.033166862125711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87.048000000000414</v>
      </c>
      <c r="D189" s="11">
        <f t="shared" si="140"/>
        <v>23.851897708444977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856.06938581957854</v>
      </c>
      <c r="H189" s="67">
        <f t="shared" si="110"/>
        <v>486.48398850887571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254.6443970237226</v>
      </c>
      <c r="T189" s="59">
        <f t="shared" si="142"/>
        <v>231.81667808018062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21.15945262867929</v>
      </c>
      <c r="AA189" s="21">
        <f>EXP(-LN(2)/25)*AA188+(1-EXP(-LN(2)/25))/(LN(2)/25)*Calculateur!V189*Calculateur!X189*VLOOKUP('Données projet'!$B$9,Paramètres!$A$1:$I$89,3,0)*0.475*44/12</f>
        <v>2.2231309552787808</v>
      </c>
      <c r="AB189" s="21">
        <f>EXP(-LN(2)/2)*AB188+(1-EXP(-LN(2)/2))/(LN(2)/2)*V189*Y189*VLOOKUP('Données projet'!$B$9,Paramètres!$A$1:$I$89,3,0)*0.475*44/12</f>
        <v>1.3819626106096636E-16</v>
      </c>
      <c r="AC189" s="22">
        <f t="shared" si="163"/>
        <v>23.38258358395807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180.31844548479722</v>
      </c>
      <c r="AO189" s="59">
        <f t="shared" si="144"/>
        <v>273.83237400307223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6.8704410429090643</v>
      </c>
      <c r="AV189" s="21">
        <f>EXP(-LN(2)/25)*AV188+(1-EXP(-LN(2)/25))/(LN(2)/25)*Calculateur!AQ189*Calculateur!AS189*VLOOKUP('Données projet'!$B$10,Paramètres!$A$1:$I$89,3,0)*0.475*44/12</f>
        <v>4.3956046867878822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11.266045729696947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-4.5474735088646412E-13</v>
      </c>
      <c r="BE189" s="13">
        <f>BD189*VLOOKUP('Données projet'!$B$11,Paramètres!$A$1:$I$89,3,0)*VLOOKUP('Données projet'!$B$11,Paramètres!$A$1:$I$89,5,0)</f>
        <v>-4.6111381379887462E-13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264.08050363622294</v>
      </c>
      <c r="BJ189" s="59">
        <f t="shared" si="146"/>
        <v>164.48884512322883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97.091186864226785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97.091186864226785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87.516000000000417</v>
      </c>
      <c r="D190" s="11">
        <f t="shared" si="140"/>
        <v>23.96517166203774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860.55641282976819</v>
      </c>
      <c r="H190" s="67">
        <f t="shared" si="110"/>
        <v>487.49637397804975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254.6443970237226</v>
      </c>
      <c r="T190" s="59">
        <f t="shared" si="142"/>
        <v>231.81667808018062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20.744528668622632</v>
      </c>
      <c r="AA190" s="21">
        <f>EXP(-LN(2)/25)*AA189+(1-EXP(-LN(2)/25))/(LN(2)/25)*Calculateur!V190*Calculateur!X190*VLOOKUP('Données projet'!$B$9,Paramètres!$A$1:$I$89,3,0)*0.475*44/12</f>
        <v>2.1623393223973064</v>
      </c>
      <c r="AB190" s="21">
        <f>EXP(-LN(2)/2)*AB189+(1-EXP(-LN(2)/2))/(LN(2)/2)*V190*Y190*VLOOKUP('Données projet'!$B$9,Paramètres!$A$1:$I$89,3,0)*0.475*44/12</f>
        <v>9.771951333083574E-17</v>
      </c>
      <c r="AC190" s="22">
        <f t="shared" si="163"/>
        <v>22.906867991019936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180.31844548479722</v>
      </c>
      <c r="AO190" s="59">
        <f t="shared" si="144"/>
        <v>273.83237400307223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6.7357158846128709</v>
      </c>
      <c r="AV190" s="21">
        <f>EXP(-LN(2)/25)*AV189+(1-EXP(-LN(2)/25))/(LN(2)/25)*Calculateur!AQ190*Calculateur!AS190*VLOOKUP('Données projet'!$B$10,Paramètres!$A$1:$I$89,3,0)*0.475*44/12</f>
        <v>4.275406645472863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11.011122530085734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-4.5474735088646412E-13</v>
      </c>
      <c r="BE190" s="13">
        <f>BD190*VLOOKUP('Données projet'!$B$11,Paramètres!$A$1:$I$89,3,0)*VLOOKUP('Données projet'!$B$11,Paramètres!$A$1:$I$89,5,0)</f>
        <v>-4.6111381379887462E-13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264.08050363622294</v>
      </c>
      <c r="BJ190" s="59">
        <f t="shared" si="146"/>
        <v>164.48884512322883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95.187287909595824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95.187287909595824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87.984000000000421</v>
      </c>
      <c r="D191" s="11">
        <f t="shared" si="140"/>
        <v>24.078375128721891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865.042895730488</v>
      </c>
      <c r="H191" s="67">
        <f t="shared" si="110"/>
        <v>488.50863668252464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254.6443970237226</v>
      </c>
      <c r="T191" s="59">
        <f t="shared" si="142"/>
        <v>231.81667808018062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20.337741114344059</v>
      </c>
      <c r="AA191" s="21">
        <f>EXP(-LN(2)/25)*AA190+(1-EXP(-LN(2)/25))/(LN(2)/25)*Calculateur!V191*Calculateur!X191*VLOOKUP('Données projet'!$B$9,Paramètres!$A$1:$I$89,3,0)*0.475*44/12</f>
        <v>2.1032100399138693</v>
      </c>
      <c r="AB191" s="21">
        <f>EXP(-LN(2)/2)*AB190+(1-EXP(-LN(2)/2))/(LN(2)/2)*V191*Y191*VLOOKUP('Données projet'!$B$9,Paramètres!$A$1:$I$89,3,0)*0.475*44/12</f>
        <v>6.909813053048318E-17</v>
      </c>
      <c r="AC191" s="22">
        <f t="shared" si="163"/>
        <v>22.440951154257927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180.31844548479722</v>
      </c>
      <c r="AO191" s="59">
        <f t="shared" si="144"/>
        <v>273.83237400307223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6.6036326044966334</v>
      </c>
      <c r="AV191" s="21">
        <f>EXP(-LN(2)/25)*AV190+(1-EXP(-LN(2)/25))/(LN(2)/25)*Calculateur!AQ191*Calculateur!AS191*VLOOKUP('Données projet'!$B$10,Paramètres!$A$1:$I$89,3,0)*0.475*44/12</f>
        <v>4.1584954259185434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10.762128030415177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-4.5474735088646412E-13</v>
      </c>
      <c r="BE191" s="13">
        <f>BD191*VLOOKUP('Données projet'!$B$11,Paramètres!$A$1:$I$89,3,0)*VLOOKUP('Données projet'!$B$11,Paramètres!$A$1:$I$89,5,0)</f>
        <v>-4.6111381379887462E-13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264.08050363622294</v>
      </c>
      <c r="BJ191" s="59">
        <f t="shared" si="146"/>
        <v>164.48884512322883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93.320723252201475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93.320723252201475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88.452000000000425</v>
      </c>
      <c r="D192" s="11">
        <f t="shared" si="140"/>
        <v>24.191508526944062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869.52883775185228</v>
      </c>
      <c r="H192" s="67">
        <f t="shared" si="110"/>
        <v>489.52077735109492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254.6443970237226</v>
      </c>
      <c r="T192" s="59">
        <f t="shared" si="142"/>
        <v>231.81667808018062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19.938930415888979</v>
      </c>
      <c r="AA192" s="21">
        <f>EXP(-LN(2)/25)*AA191+(1-EXP(-LN(2)/25))/(LN(2)/25)*Calculateur!V192*Calculateur!X192*VLOOKUP('Données projet'!$B$9,Paramètres!$A$1:$I$89,3,0)*0.475*44/12</f>
        <v>2.0456976507694153</v>
      </c>
      <c r="AB192" s="21">
        <f>EXP(-LN(2)/2)*AB191+(1-EXP(-LN(2)/2))/(LN(2)/2)*V192*Y192*VLOOKUP('Données projet'!$B$9,Paramètres!$A$1:$I$89,3,0)*0.475*44/12</f>
        <v>4.885975666541787E-17</v>
      </c>
      <c r="AC192" s="22">
        <f t="shared" si="163"/>
        <v>21.984628066658395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180.31844548479722</v>
      </c>
      <c r="AO192" s="59">
        <f t="shared" si="144"/>
        <v>273.83237400307223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6.4741393969406289</v>
      </c>
      <c r="AV192" s="21">
        <f>EXP(-LN(2)/25)*AV191+(1-EXP(-LN(2)/25))/(LN(2)/25)*Calculateur!AQ192*Calculateur!AS192*VLOOKUP('Données projet'!$B$10,Paramètres!$A$1:$I$89,3,0)*0.475*44/12</f>
        <v>4.0447811498110307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10.518920546751659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-4.5474735088646412E-13</v>
      </c>
      <c r="BE192" s="13">
        <f>BD192*VLOOKUP('Données projet'!$B$11,Paramètres!$A$1:$I$89,3,0)*VLOOKUP('Données projet'!$B$11,Paramètres!$A$1:$I$89,5,0)</f>
        <v>-4.6111381379887462E-13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264.08050363622294</v>
      </c>
      <c r="BJ192" s="59">
        <f t="shared" si="146"/>
        <v>164.48884512322883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91.490760789246607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91.490760789246607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88.920000000000428</v>
      </c>
      <c r="D193" s="11">
        <f t="shared" si="140"/>
        <v>24.304572270466586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874.01424208781555</v>
      </c>
      <c r="H193" s="67">
        <f t="shared" si="110"/>
        <v>490.53279670439667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254.6443970237226</v>
      </c>
      <c r="T193" s="59">
        <f t="shared" si="142"/>
        <v>231.81667808018062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19.547940151980097</v>
      </c>
      <c r="AA193" s="21">
        <f>EXP(-LN(2)/25)*AA192+(1-EXP(-LN(2)/25))/(LN(2)/25)*Calculateur!V193*Calculateur!X193*VLOOKUP('Données projet'!$B$9,Paramètres!$A$1:$I$89,3,0)*0.475*44/12</f>
        <v>1.9897579409305617</v>
      </c>
      <c r="AB193" s="21">
        <f>EXP(-LN(2)/2)*AB192+(1-EXP(-LN(2)/2))/(LN(2)/2)*V193*Y193*VLOOKUP('Données projet'!$B$9,Paramètres!$A$1:$I$89,3,0)*0.475*44/12</f>
        <v>3.454906526524159E-17</v>
      </c>
      <c r="AC193" s="22">
        <f t="shared" si="163"/>
        <v>21.537698092910659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180.31844548479722</v>
      </c>
      <c r="AO193" s="59">
        <f t="shared" si="144"/>
        <v>273.83237400307223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6.3471854722017405</v>
      </c>
      <c r="AV193" s="21">
        <f>EXP(-LN(2)/25)*AV192+(1-EXP(-LN(2)/25))/(LN(2)/25)*Calculateur!AQ193*Calculateur!AS193*VLOOKUP('Données projet'!$B$10,Paramètres!$A$1:$I$89,3,0)*0.475*44/12</f>
        <v>3.934176396563652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10.281361868765392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-4.5474735088646412E-13</v>
      </c>
      <c r="BE193" s="13">
        <f>BD193*VLOOKUP('Données projet'!$B$11,Paramètres!$A$1:$I$89,3,0)*VLOOKUP('Données projet'!$B$11,Paramètres!$A$1:$I$89,5,0)</f>
        <v>-4.6111381379887462E-13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264.08050363622294</v>
      </c>
      <c r="BJ193" s="59">
        <f t="shared" si="146"/>
        <v>164.48884512322883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89.696682774023387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89.696682774023387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89.388000000000432</v>
      </c>
      <c r="D194" s="11">
        <f t="shared" si="140"/>
        <v>24.417566768444267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878.49911189676607</v>
      </c>
      <c r="H194" s="67">
        <f t="shared" si="110"/>
        <v>491.54469545504116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254.6443970237226</v>
      </c>
      <c r="T194" s="59">
        <f t="shared" si="142"/>
        <v>231.81667808018062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19.164616968665953</v>
      </c>
      <c r="AA194" s="21">
        <f>EXP(-LN(2)/25)*AA193+(1-EXP(-LN(2)/25))/(LN(2)/25)*Calculateur!V194*Calculateur!X194*VLOOKUP('Données projet'!$B$9,Paramètres!$A$1:$I$89,3,0)*0.475*44/12</f>
        <v>1.935347905398993</v>
      </c>
      <c r="AB194" s="21">
        <f>EXP(-LN(2)/2)*AB193+(1-EXP(-LN(2)/2))/(LN(2)/2)*V194*Y194*VLOOKUP('Données projet'!$B$9,Paramètres!$A$1:$I$89,3,0)*0.475*44/12</f>
        <v>2.4429878332708935E-17</v>
      </c>
      <c r="AC194" s="22">
        <f t="shared" si="163"/>
        <v>21.099964874064945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180.31844548479722</v>
      </c>
      <c r="AO194" s="59">
        <f t="shared" si="144"/>
        <v>273.83237400307223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6.2227210364927332</v>
      </c>
      <c r="AV194" s="21">
        <f>EXP(-LN(2)/25)*AV193+(1-EXP(-LN(2)/25))/(LN(2)/25)*Calculateur!AQ194*Calculateur!AS194*VLOOKUP('Données projet'!$B$10,Paramètres!$A$1:$I$89,3,0)*0.475*44/12</f>
        <v>3.826596136110274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10.049317172603008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-4.5474735088646412E-13</v>
      </c>
      <c r="BE194" s="13">
        <f>BD194*VLOOKUP('Données projet'!$B$11,Paramètres!$A$1:$I$89,3,0)*VLOOKUP('Données projet'!$B$11,Paramètres!$A$1:$I$89,5,0)</f>
        <v>-4.6111381379887462E-13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264.08050363622294</v>
      </c>
      <c r="BJ194" s="59">
        <f t="shared" si="146"/>
        <v>164.48884512322883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87.937785534399154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87.937785534399154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89.856000000000435</v>
      </c>
      <c r="D195" s="11">
        <f t="shared" si="140"/>
        <v>24.530492425499521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882.98345030210487</v>
      </c>
      <c r="H195" s="67">
        <f t="shared" si="110"/>
        <v>492.5564743077457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254.6443970237226</v>
      </c>
      <c r="T195" s="59">
        <f t="shared" si="142"/>
        <v>231.81667808018062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18.788810519172547</v>
      </c>
      <c r="AA195" s="21">
        <f>EXP(-LN(2)/25)*AA194+(1-EXP(-LN(2)/25))/(LN(2)/25)*Calculateur!V195*Calculateur!X195*VLOOKUP('Données projet'!$B$9,Paramètres!$A$1:$I$89,3,0)*0.475*44/12</f>
        <v>1.8824257151503345</v>
      </c>
      <c r="AB195" s="21">
        <f>EXP(-LN(2)/2)*AB194+(1-EXP(-LN(2)/2))/(LN(2)/2)*V195*Y195*VLOOKUP('Données projet'!$B$9,Paramètres!$A$1:$I$89,3,0)*0.475*44/12</f>
        <v>1.7274532632620795E-17</v>
      </c>
      <c r="AC195" s="22">
        <f t="shared" si="163"/>
        <v>20.67123623432288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180.31844548479722</v>
      </c>
      <c r="AO195" s="59">
        <f t="shared" si="144"/>
        <v>273.83237400307223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6.1006972724521695</v>
      </c>
      <c r="AV195" s="21">
        <f>EXP(-LN(2)/25)*AV194+(1-EXP(-LN(2)/25))/(LN(2)/25)*Calculateur!AQ195*Calculateur!AS195*VLOOKUP('Données projet'!$B$10,Paramètres!$A$1:$I$89,3,0)*0.475*44/12</f>
        <v>3.7219576635363936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9.8226549359885631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-4.5474735088646412E-13</v>
      </c>
      <c r="BE195" s="13">
        <f>BD195*VLOOKUP('Données projet'!$B$11,Paramètres!$A$1:$I$89,3,0)*VLOOKUP('Données projet'!$B$11,Paramètres!$A$1:$I$89,5,0)</f>
        <v>-4.6111381379887462E-13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264.08050363622294</v>
      </c>
      <c r="BJ195" s="59">
        <f t="shared" si="146"/>
        <v>164.48884512322883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86.213379196822572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86.213379196822572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90.324000000000439</v>
      </c>
      <c r="D196" s="11">
        <f t="shared" si="140"/>
        <v>24.643349641795954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887.4672603928143</v>
      </c>
      <c r="H196" s="67">
        <f t="shared" ref="H196:H203" si="192">(B196+E196+F196)*44/12+(C196+D196)*0.475*44/12</f>
        <v>493.56813395946199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254.6443970237226</v>
      </c>
      <c r="T196" s="59">
        <f t="shared" si="142"/>
        <v>231.81667808018062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18.420373404934406</v>
      </c>
      <c r="AA196" s="21">
        <f>EXP(-LN(2)/25)*AA195+(1-EXP(-LN(2)/25))/(LN(2)/25)*Calculateur!V196*Calculateur!X196*VLOOKUP('Données projet'!$B$9,Paramètres!$A$1:$I$89,3,0)*0.475*44/12</f>
        <v>1.8309506849770827</v>
      </c>
      <c r="AB196" s="21">
        <f>EXP(-LN(2)/2)*AB195+(1-EXP(-LN(2)/2))/(LN(2)/2)*V196*Y196*VLOOKUP('Données projet'!$B$9,Paramètres!$A$1:$I$89,3,0)*0.475*44/12</f>
        <v>1.2214939166354468E-17</v>
      </c>
      <c r="AC196" s="22">
        <f t="shared" si="163"/>
        <v>20.251324089911488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180.31844548479722</v>
      </c>
      <c r="AO196" s="59">
        <f t="shared" si="144"/>
        <v>273.83237400307223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5.9810663199972947</v>
      </c>
      <c r="AV196" s="21">
        <f>EXP(-LN(2)/25)*AV195+(1-EXP(-LN(2)/25))/(LN(2)/25)*Calculateur!AQ196*Calculateur!AS196*VLOOKUP('Données projet'!$B$10,Paramètres!$A$1:$I$89,3,0)*0.475*44/12</f>
        <v>3.6201805354977439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9.6012468554950381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-4.5474735088646412E-13</v>
      </c>
      <c r="BE196" s="13">
        <f>BD196*VLOOKUP('Données projet'!$B$11,Paramètres!$A$1:$I$89,3,0)*VLOOKUP('Données projet'!$B$11,Paramètres!$A$1:$I$89,5,0)</f>
        <v>-4.6111381379887462E-13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264.08050363622294</v>
      </c>
      <c r="BJ196" s="59">
        <f t="shared" si="146"/>
        <v>164.48884512322883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84.52278741574186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84.52278741574186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90.792000000000442</v>
      </c>
      <c r="D197" s="11">
        <f t="shared" ref="D197:D203" si="202">IFERROR(EXP(-1.0587+0.8836*LN(C197)+0.284),0)</f>
        <v>24.756138813110294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891.95054522401279</v>
      </c>
      <c r="H197" s="67">
        <f t="shared" si="192"/>
        <v>494.57967509950117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254.6443970237226</v>
      </c>
      <c r="T197" s="59">
        <f t="shared" ref="T197:T203" si="204">$T$3</f>
        <v>231.81667808018062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18.059161117782022</v>
      </c>
      <c r="AA197" s="21">
        <f>EXP(-LN(2)/25)*AA196+(1-EXP(-LN(2)/25))/(LN(2)/25)*Calculateur!V197*Calculateur!X197*VLOOKUP('Données projet'!$B$9,Paramètres!$A$1:$I$89,3,0)*0.475*44/12</f>
        <v>1.7808832422108725</v>
      </c>
      <c r="AB197" s="21">
        <f>EXP(-LN(2)/2)*AB196+(1-EXP(-LN(2)/2))/(LN(2)/2)*V197*Y197*VLOOKUP('Données projet'!$B$9,Paramètres!$A$1:$I$89,3,0)*0.475*44/12</f>
        <v>8.6372663163103975E-18</v>
      </c>
      <c r="AC197" s="22">
        <f t="shared" si="163"/>
        <v>19.840044359992895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180.31844548479722</v>
      </c>
      <c r="AO197" s="59">
        <f t="shared" ref="AO197:AO203" si="205">$AO$3</f>
        <v>273.83237400307223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5.8637812575523842</v>
      </c>
      <c r="AV197" s="21">
        <f>EXP(-LN(2)/25)*AV196+(1-EXP(-LN(2)/25))/(LN(2)/25)*Calculateur!AQ197*Calculateur!AS197*VLOOKUP('Données projet'!$B$10,Paramètres!$A$1:$I$89,3,0)*0.475*44/12</f>
        <v>3.5211865083775375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9.3849677659299218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-4.5474735088646412E-13</v>
      </c>
      <c r="BE197" s="13">
        <f>BD197*VLOOKUP('Données projet'!$B$11,Paramètres!$A$1:$I$89,3,0)*VLOOKUP('Données projet'!$B$11,Paramètres!$A$1:$I$89,5,0)</f>
        <v>-4.6111381379887462E-13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264.08050363622294</v>
      </c>
      <c r="BJ197" s="59">
        <f t="shared" ref="BJ197:BJ203" si="206">$BJ$3</f>
        <v>164.48884512322883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82.865347108328976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82.865347108328976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91.260000000000446</v>
      </c>
      <c r="D198" s="11">
        <f t="shared" si="202"/>
        <v>24.868860330902901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896.43330781749955</v>
      </c>
      <c r="H198" s="67">
        <f t="shared" si="192"/>
        <v>495.59109840965664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254.6443970237226</v>
      </c>
      <c r="T198" s="59">
        <f t="shared" si="204"/>
        <v>231.81667808018062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17.705031983262959</v>
      </c>
      <c r="AA198" s="21">
        <f>EXP(-LN(2)/25)*AA197+(1-EXP(-LN(2)/25))/(LN(2)/25)*Calculateur!V198*Calculateur!X198*VLOOKUP('Données projet'!$B$9,Paramètres!$A$1:$I$89,3,0)*0.475*44/12</f>
        <v>1.7321848963000368</v>
      </c>
      <c r="AB198" s="21">
        <f>EXP(-LN(2)/2)*AB197+(1-EXP(-LN(2)/2))/(LN(2)/2)*V198*Y198*VLOOKUP('Données projet'!$B$9,Paramètres!$A$1:$I$89,3,0)*0.475*44/12</f>
        <v>6.1074695831772338E-18</v>
      </c>
      <c r="AC198" s="22">
        <f t="shared" si="163"/>
        <v>19.437216879562996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180.31844548479722</v>
      </c>
      <c r="AO198" s="59">
        <f t="shared" si="205"/>
        <v>273.83237400307223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5.7487960836451935</v>
      </c>
      <c r="AV198" s="21">
        <f>EXP(-LN(2)/25)*AV197+(1-EXP(-LN(2)/25))/(LN(2)/25)*Calculateur!AQ198*Calculateur!AS198*VLOOKUP('Données projet'!$B$10,Paramètres!$A$1:$I$89,3,0)*0.475*44/12</f>
        <v>3.4248994781348032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9.1736955617799971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-4.5474735088646412E-13</v>
      </c>
      <c r="BE198" s="13">
        <f>BD198*VLOOKUP('Données projet'!$B$11,Paramètres!$A$1:$I$89,3,0)*VLOOKUP('Données projet'!$B$11,Paramètres!$A$1:$I$89,5,0)</f>
        <v>-4.6111381379887462E-13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264.08050363622294</v>
      </c>
      <c r="BJ198" s="59">
        <f t="shared" si="206"/>
        <v>164.48884512322883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81.240408194405688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81.240408194405688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91.728000000000449</v>
      </c>
      <c r="D199" s="11">
        <f t="shared" si="202"/>
        <v>24.981514582386662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900.91555116228653</v>
      </c>
      <c r="H199" s="67">
        <f t="shared" si="192"/>
        <v>496.60240456432416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254.6443970237226</v>
      </c>
      <c r="T199" s="59">
        <f t="shared" si="204"/>
        <v>231.81667808018062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17.35784710507437</v>
      </c>
      <c r="AA199" s="21">
        <f>EXP(-LN(2)/25)*AA198+(1-EXP(-LN(2)/25))/(LN(2)/25)*Calculateur!V199*Calculateur!X199*VLOOKUP('Données projet'!$B$9,Paramètres!$A$1:$I$89,3,0)*0.475*44/12</f>
        <v>1.6848182092190676</v>
      </c>
      <c r="AB199" s="21">
        <f>EXP(-LN(2)/2)*AB198+(1-EXP(-LN(2)/2))/(LN(2)/2)*V199*Y199*VLOOKUP('Données projet'!$B$9,Paramètres!$A$1:$I$89,3,0)*0.475*44/12</f>
        <v>4.3186331581551988E-18</v>
      </c>
      <c r="AC199" s="22">
        <f t="shared" si="163"/>
        <v>19.042665314293437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180.31844548479722</v>
      </c>
      <c r="AO199" s="59">
        <f t="shared" si="205"/>
        <v>273.83237400307223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5.6360656988642921</v>
      </c>
      <c r="AV199" s="21">
        <f>EXP(-LN(2)/25)*AV198+(1-EXP(-LN(2)/25))/(LN(2)/25)*Calculateur!AQ199*Calculateur!AS199*VLOOKUP('Données projet'!$B$10,Paramètres!$A$1:$I$89,3,0)*0.475*44/12</f>
        <v>3.3312454217975711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8.9673111206618632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-4.5474735088646412E-13</v>
      </c>
      <c r="BE199" s="13">
        <f>BD199*VLOOKUP('Données projet'!$B$11,Paramètres!$A$1:$I$89,3,0)*VLOOKUP('Données projet'!$B$11,Paramètres!$A$1:$I$89,5,0)</f>
        <v>-4.6111381379887462E-13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264.08050363622294</v>
      </c>
      <c r="BJ199" s="59">
        <f t="shared" si="206"/>
        <v>164.48884512322883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79.647333341469562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79.647333341469562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92.196000000000453</v>
      </c>
      <c r="D200" s="11">
        <f t="shared" si="202"/>
        <v>25.094101950594609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905.39727821511985</v>
      </c>
      <c r="H200" s="67">
        <f t="shared" si="192"/>
        <v>497.6135942306197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254.6443970237226</v>
      </c>
      <c r="T200" s="59">
        <f t="shared" si="204"/>
        <v>231.81667808018062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17.017470310585193</v>
      </c>
      <c r="AA200" s="21">
        <f>EXP(-LN(2)/25)*AA199+(1-EXP(-LN(2)/25))/(LN(2)/25)*Calculateur!V200*Calculateur!X200*VLOOKUP('Données projet'!$B$9,Paramètres!$A$1:$I$89,3,0)*0.475*44/12</f>
        <v>1.6387467666872333</v>
      </c>
      <c r="AB200" s="21">
        <f>EXP(-LN(2)/2)*AB199+(1-EXP(-LN(2)/2))/(LN(2)/2)*V200*Y200*VLOOKUP('Données projet'!$B$9,Paramètres!$A$1:$I$89,3,0)*0.475*44/12</f>
        <v>3.0537347915886169E-18</v>
      </c>
      <c r="AC200" s="22">
        <f t="shared" si="163"/>
        <v>18.656217077272427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180.31844548479722</v>
      </c>
      <c r="AO200" s="59">
        <f t="shared" si="205"/>
        <v>273.83237400307223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5.5255458881701989</v>
      </c>
      <c r="AV200" s="21">
        <f>EXP(-LN(2)/25)*AV199+(1-EXP(-LN(2)/25))/(LN(2)/25)*Calculateur!AQ200*Calculateur!AS200*VLOOKUP('Données projet'!$B$10,Paramètres!$A$1:$I$89,3,0)*0.475*44/12</f>
        <v>3.2401523405559334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8.7656982287261318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-4.5474735088646412E-13</v>
      </c>
      <c r="BE200" s="13">
        <f>BD200*VLOOKUP('Données projet'!$B$11,Paramètres!$A$1:$I$89,3,0)*VLOOKUP('Données projet'!$B$11,Paramètres!$A$1:$I$89,5,0)</f>
        <v>-4.6111381379887462E-13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264.08050363622294</v>
      </c>
      <c r="BJ200" s="59">
        <f t="shared" si="206"/>
        <v>164.48884512322883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78.085497714719793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78.085497714719793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92.664000000000456</v>
      </c>
      <c r="D201" s="11">
        <f t="shared" si="202"/>
        <v>25.206622814445883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909.87849190098939</v>
      </c>
      <c r="H201" s="67">
        <f t="shared" si="192"/>
        <v>498.62466806849403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254.6443970237226</v>
      </c>
      <c r="T201" s="59">
        <f t="shared" si="204"/>
        <v>231.81667808018062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16.683768097426604</v>
      </c>
      <c r="AA201" s="21">
        <f>EXP(-LN(2)/25)*AA200+(1-EXP(-LN(2)/25))/(LN(2)/25)*Calculateur!V201*Calculateur!X201*VLOOKUP('Données projet'!$B$9,Paramètres!$A$1:$I$89,3,0)*0.475*44/12</f>
        <v>1.5939351501742238</v>
      </c>
      <c r="AB201" s="21">
        <f>EXP(-LN(2)/2)*AB200+(1-EXP(-LN(2)/2))/(LN(2)/2)*V201*Y201*VLOOKUP('Données projet'!$B$9,Paramètres!$A$1:$I$89,3,0)*0.475*44/12</f>
        <v>2.1593165790775994E-18</v>
      </c>
      <c r="AC201" s="22">
        <f t="shared" si="163"/>
        <v>18.277703247600829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180.31844548479722</v>
      </c>
      <c r="AO201" s="59">
        <f t="shared" si="205"/>
        <v>273.83237400307223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5.4171933035533888</v>
      </c>
      <c r="AV201" s="21">
        <f>EXP(-LN(2)/25)*AV200+(1-EXP(-LN(2)/25))/(LN(2)/25)*Calculateur!AQ201*Calculateur!AS201*VLOOKUP('Données projet'!$B$10,Paramètres!$A$1:$I$89,3,0)*0.475*44/12</f>
        <v>3.1515502044112251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8.5687435079646139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-4.5474735088646412E-13</v>
      </c>
      <c r="BE201" s="13">
        <f>BD201*VLOOKUP('Données projet'!$B$11,Paramètres!$A$1:$I$89,3,0)*VLOOKUP('Données projet'!$B$11,Paramètres!$A$1:$I$89,5,0)</f>
        <v>-4.6111381379887462E-13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264.08050363622294</v>
      </c>
      <c r="BJ201" s="59">
        <f t="shared" si="206"/>
        <v>164.48884512322883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76.554288731984926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76.554288731984926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93.13200000000046</v>
      </c>
      <c r="D202" s="11">
        <f t="shared" si="202"/>
        <v>25.319077548810565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914.35919511362908</v>
      </c>
      <c r="H202" s="67">
        <f t="shared" si="192"/>
        <v>499.63562673084584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254.6443970237226</v>
      </c>
      <c r="T202" s="59">
        <f t="shared" si="204"/>
        <v>231.81667808018062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16.356609581129803</v>
      </c>
      <c r="AA202" s="21">
        <f>EXP(-LN(2)/25)*AA201+(1-EXP(-LN(2)/25))/(LN(2)/25)*Calculateur!V202*Calculateur!X202*VLOOKUP('Données projet'!$B$9,Paramètres!$A$1:$I$89,3,0)*0.475*44/12</f>
        <v>1.550348909671303</v>
      </c>
      <c r="AB202" s="21">
        <f>EXP(-LN(2)/2)*AB201+(1-EXP(-LN(2)/2))/(LN(2)/2)*V202*Y202*VLOOKUP('Données projet'!$B$9,Paramètres!$A$1:$I$89,3,0)*0.475*44/12</f>
        <v>1.5268673957943084E-18</v>
      </c>
      <c r="AC202" s="22">
        <f t="shared" si="163"/>
        <v>17.906958490801106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180.31844548479722</v>
      </c>
      <c r="AO202" s="59">
        <f t="shared" si="205"/>
        <v>273.83237400307223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5.3109654470323635</v>
      </c>
      <c r="AV202" s="21">
        <f>EXP(-LN(2)/25)*AV201+(1-EXP(-LN(2)/25))/(LN(2)/25)*Calculateur!AQ202*Calculateur!AS202*VLOOKUP('Données projet'!$B$10,Paramètres!$A$1:$I$89,3,0)*0.475*44/12</f>
        <v>3.0653708983387777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8.3763363453711417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-4.5474735088646412E-13</v>
      </c>
      <c r="BE202" s="13">
        <f>BD202*VLOOKUP('Données projet'!$B$11,Paramètres!$A$1:$I$89,3,0)*VLOOKUP('Données projet'!$B$11,Paramètres!$A$1:$I$89,5,0)</f>
        <v>-4.6111381379887462E-13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264.08050363622294</v>
      </c>
      <c r="BJ202" s="59">
        <f t="shared" si="206"/>
        <v>164.48884512322883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75.053105823456221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75.053105823456221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93.600000000000463</v>
      </c>
      <c r="D203" s="11">
        <f t="shared" si="202"/>
        <v>25.43146652457305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918.83939071600616</v>
      </c>
      <c r="H203" s="67">
        <f t="shared" si="192"/>
        <v>500.6464708636322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254.6443970237226</v>
      </c>
      <c r="T203" s="59">
        <f t="shared" si="204"/>
        <v>231.81667808018062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16.035866443790589</v>
      </c>
      <c r="AA203" s="21">
        <f>EXP(-LN(2)/25)*AA202+(1-EXP(-LN(2)/25))/(LN(2)/25)*Calculateur!V203*Calculateur!X203*VLOOKUP('Données projet'!$B$9,Paramètres!$A$1:$I$89,3,0)*0.475*44/12</f>
        <v>1.5079545372070355</v>
      </c>
      <c r="AB203" s="21">
        <f>EXP(-LN(2)/2)*AB202+(1-EXP(-LN(2)/2))/(LN(2)/2)*V203*Y203*VLOOKUP('Données projet'!$B$9,Paramètres!$A$1:$I$89,3,0)*0.475*44/12</f>
        <v>1.0796582895387997E-18</v>
      </c>
      <c r="AC203" s="22">
        <f t="shared" si="163"/>
        <v>17.543820980997623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180.31844548479722</v>
      </c>
      <c r="AO203" s="59">
        <f t="shared" si="205"/>
        <v>273.83237400307223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5.2068206539851207</v>
      </c>
      <c r="AV203" s="21">
        <f>EXP(-LN(2)/25)*AV202+(1-EXP(-LN(2)/25))/(LN(2)/25)*Calculateur!AQ203*Calculateur!AS203*VLOOKUP('Données projet'!$B$10,Paramètres!$A$1:$I$89,3,0)*0.475*44/12</f>
        <v>2.9815481699228541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8.1883688239079753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-4.5474735088646412E-13</v>
      </c>
      <c r="BE203" s="13">
        <f>BD203*VLOOKUP('Données projet'!$B$11,Paramètres!$A$1:$I$89,3,0)*VLOOKUP('Données projet'!$B$11,Paramètres!$A$1:$I$89,5,0)</f>
        <v>-4.6111381379887462E-13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264.08050363622294</v>
      </c>
      <c r="BJ203" s="59">
        <f t="shared" si="206"/>
        <v>164.48884512322883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73.581360196132607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73.581360196132607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102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102</v>
      </c>
      <c r="BA204" s="81" t="s">
        <v>102</v>
      </c>
      <c r="BV204" s="81" t="s">
        <v>102</v>
      </c>
      <c r="CQ204" s="81" t="s">
        <v>102</v>
      </c>
      <c r="DL204" s="81" t="s">
        <v>102</v>
      </c>
      <c r="EG204" s="81" t="s">
        <v>102</v>
      </c>
      <c r="FB204" s="81" t="s">
        <v>102</v>
      </c>
      <c r="FW204" s="81" t="s">
        <v>102</v>
      </c>
      <c r="GR204" s="81" t="s">
        <v>102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1.2805631431945952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1.2997069632623315</v>
      </c>
      <c r="BA205" s="82">
        <f>EXP(LN('Données projet'!B88)/'Données projet'!A88)</f>
        <v>1.1608269964373037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103</v>
      </c>
      <c r="B1" s="112" t="s">
        <v>104</v>
      </c>
      <c r="C1" s="113" t="s">
        <v>105</v>
      </c>
      <c r="D1" s="112" t="s">
        <v>106</v>
      </c>
      <c r="E1" s="113" t="s">
        <v>107</v>
      </c>
      <c r="F1" s="113" t="s">
        <v>106</v>
      </c>
      <c r="G1" s="113" t="s">
        <v>108</v>
      </c>
      <c r="H1" s="113" t="s">
        <v>106</v>
      </c>
      <c r="I1" s="114" t="s">
        <v>109</v>
      </c>
      <c r="J1" s="78"/>
      <c r="K1" s="78"/>
      <c r="L1" s="78"/>
      <c r="M1" s="78"/>
      <c r="N1" s="78"/>
    </row>
    <row r="2" spans="1:16" x14ac:dyDescent="0.35">
      <c r="A2" s="115" t="s">
        <v>110</v>
      </c>
      <c r="B2" s="116" t="s">
        <v>111</v>
      </c>
      <c r="C2" s="117">
        <v>0.62</v>
      </c>
      <c r="D2" s="117" t="s">
        <v>112</v>
      </c>
      <c r="E2" s="117">
        <v>1.56</v>
      </c>
      <c r="F2" s="117" t="s">
        <v>113</v>
      </c>
      <c r="G2" s="118">
        <v>0.43</v>
      </c>
      <c r="H2" s="119" t="s">
        <v>114</v>
      </c>
      <c r="I2" s="120">
        <v>0.25</v>
      </c>
      <c r="J2" s="78"/>
      <c r="K2" s="78"/>
      <c r="L2" s="78"/>
      <c r="M2" s="78"/>
      <c r="N2" s="78"/>
      <c r="O2" s="289" t="s">
        <v>115</v>
      </c>
      <c r="P2" s="121">
        <v>0</v>
      </c>
    </row>
    <row r="3" spans="1:16" ht="15" thickBot="1" x14ac:dyDescent="0.4">
      <c r="A3" s="122" t="s">
        <v>116</v>
      </c>
      <c r="B3" s="123" t="s">
        <v>117</v>
      </c>
      <c r="C3" s="124">
        <v>0.64</v>
      </c>
      <c r="D3" s="124" t="s">
        <v>112</v>
      </c>
      <c r="E3" s="124">
        <v>1.56</v>
      </c>
      <c r="F3" s="125" t="s">
        <v>113</v>
      </c>
      <c r="G3" s="126">
        <v>0.43</v>
      </c>
      <c r="H3" s="124" t="s">
        <v>114</v>
      </c>
      <c r="I3" s="127">
        <v>0.25</v>
      </c>
      <c r="J3" s="78"/>
      <c r="K3" s="78"/>
      <c r="L3" s="78"/>
      <c r="M3" s="78"/>
      <c r="N3" s="78"/>
      <c r="O3" s="290"/>
      <c r="P3" s="128">
        <v>0.2</v>
      </c>
    </row>
    <row r="4" spans="1:16" ht="15" thickBot="1" x14ac:dyDescent="0.4">
      <c r="A4" s="122" t="s">
        <v>118</v>
      </c>
      <c r="B4" s="123" t="s">
        <v>119</v>
      </c>
      <c r="C4" s="124">
        <v>0.42</v>
      </c>
      <c r="D4" s="124" t="s">
        <v>112</v>
      </c>
      <c r="E4" s="124">
        <v>1.56</v>
      </c>
      <c r="F4" s="125" t="s">
        <v>113</v>
      </c>
      <c r="G4" s="126">
        <v>0.43</v>
      </c>
      <c r="H4" s="124" t="s">
        <v>114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120</v>
      </c>
      <c r="B5" s="123" t="s">
        <v>121</v>
      </c>
      <c r="C5" s="124">
        <v>0.42</v>
      </c>
      <c r="D5" s="124" t="s">
        <v>112</v>
      </c>
      <c r="E5" s="124">
        <v>1.56</v>
      </c>
      <c r="F5" s="125" t="s">
        <v>113</v>
      </c>
      <c r="G5" s="126">
        <v>0.43</v>
      </c>
      <c r="H5" s="124" t="s">
        <v>114</v>
      </c>
      <c r="I5" s="127">
        <v>0.25</v>
      </c>
      <c r="J5" s="78"/>
      <c r="K5" s="78"/>
      <c r="L5" s="78"/>
      <c r="M5" s="78"/>
      <c r="N5" s="78"/>
      <c r="O5" s="289" t="s">
        <v>122</v>
      </c>
      <c r="P5" s="121">
        <v>0</v>
      </c>
    </row>
    <row r="6" spans="1:16" x14ac:dyDescent="0.35">
      <c r="A6" s="122" t="s">
        <v>123</v>
      </c>
      <c r="B6" s="123" t="s">
        <v>124</v>
      </c>
      <c r="C6" s="124">
        <v>0.42</v>
      </c>
      <c r="D6" s="124" t="s">
        <v>112</v>
      </c>
      <c r="E6" s="124">
        <v>1.56</v>
      </c>
      <c r="F6" s="125" t="s">
        <v>113</v>
      </c>
      <c r="G6" s="126">
        <v>0.43</v>
      </c>
      <c r="H6" s="124" t="s">
        <v>114</v>
      </c>
      <c r="I6" s="127">
        <v>0.25</v>
      </c>
      <c r="J6" s="78"/>
      <c r="K6" s="78"/>
      <c r="L6" s="78"/>
      <c r="M6" s="78"/>
      <c r="N6" s="78"/>
      <c r="O6" s="291"/>
      <c r="P6" s="129">
        <v>0.05</v>
      </c>
    </row>
    <row r="7" spans="1:16" x14ac:dyDescent="0.35">
      <c r="A7" s="122" t="s">
        <v>125</v>
      </c>
      <c r="B7" s="123" t="s">
        <v>126</v>
      </c>
      <c r="C7" s="124">
        <v>0.52</v>
      </c>
      <c r="D7" s="124" t="s">
        <v>112</v>
      </c>
      <c r="E7" s="124">
        <v>1.56</v>
      </c>
      <c r="F7" s="125" t="s">
        <v>113</v>
      </c>
      <c r="G7" s="126">
        <v>0.43</v>
      </c>
      <c r="H7" s="124" t="s">
        <v>114</v>
      </c>
      <c r="I7" s="127">
        <v>0.25</v>
      </c>
      <c r="J7" s="78"/>
      <c r="K7" s="78"/>
      <c r="L7" s="78"/>
      <c r="M7" s="78"/>
      <c r="N7" s="78"/>
      <c r="O7" s="291"/>
      <c r="P7" s="129">
        <v>0.1</v>
      </c>
    </row>
    <row r="8" spans="1:16" ht="15" thickBot="1" x14ac:dyDescent="0.4">
      <c r="A8" s="122" t="s">
        <v>127</v>
      </c>
      <c r="B8" s="123" t="s">
        <v>128</v>
      </c>
      <c r="C8" s="124">
        <v>0.36</v>
      </c>
      <c r="D8" s="124" t="s">
        <v>112</v>
      </c>
      <c r="E8" s="124">
        <v>1.3</v>
      </c>
      <c r="F8" s="125" t="s">
        <v>113</v>
      </c>
      <c r="G8" s="126">
        <v>0.55000000000000004</v>
      </c>
      <c r="H8" s="124" t="s">
        <v>129</v>
      </c>
      <c r="I8" s="127">
        <v>0.43</v>
      </c>
      <c r="J8" s="78"/>
      <c r="K8" s="78"/>
      <c r="L8" s="78"/>
      <c r="M8" s="78"/>
      <c r="N8" s="78"/>
      <c r="O8" s="290"/>
      <c r="P8" s="128">
        <v>0.15</v>
      </c>
    </row>
    <row r="9" spans="1:16" ht="15" thickBot="1" x14ac:dyDescent="0.4">
      <c r="A9" s="122" t="s">
        <v>130</v>
      </c>
      <c r="B9" s="123" t="s">
        <v>131</v>
      </c>
      <c r="C9" s="124">
        <v>0.61</v>
      </c>
      <c r="D9" s="124" t="s">
        <v>112</v>
      </c>
      <c r="E9" s="124">
        <v>1.56</v>
      </c>
      <c r="F9" s="125" t="s">
        <v>113</v>
      </c>
      <c r="G9" s="126">
        <v>0.43</v>
      </c>
      <c r="H9" s="124" t="s">
        <v>114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132</v>
      </c>
      <c r="B10" s="123" t="s">
        <v>133</v>
      </c>
      <c r="C10" s="124">
        <v>0.66</v>
      </c>
      <c r="D10" s="124" t="s">
        <v>112</v>
      </c>
      <c r="E10" s="124">
        <v>1.56</v>
      </c>
      <c r="F10" s="125" t="s">
        <v>113</v>
      </c>
      <c r="G10" s="126">
        <v>0.43</v>
      </c>
      <c r="H10" s="124" t="s">
        <v>114</v>
      </c>
      <c r="I10" s="127">
        <v>0.25</v>
      </c>
      <c r="J10" s="78"/>
      <c r="K10" s="78"/>
      <c r="L10" s="78"/>
      <c r="M10" s="78"/>
      <c r="N10" s="78"/>
      <c r="O10" s="289" t="s">
        <v>134</v>
      </c>
      <c r="P10" s="121">
        <v>0</v>
      </c>
    </row>
    <row r="11" spans="1:16" ht="15" thickBot="1" x14ac:dyDescent="0.4">
      <c r="A11" s="122" t="s">
        <v>135</v>
      </c>
      <c r="B11" s="123" t="s">
        <v>136</v>
      </c>
      <c r="C11" s="124">
        <v>0.47</v>
      </c>
      <c r="D11" s="124" t="s">
        <v>112</v>
      </c>
      <c r="E11" s="124">
        <v>1.56</v>
      </c>
      <c r="F11" s="125" t="s">
        <v>113</v>
      </c>
      <c r="G11" s="126">
        <v>0.43</v>
      </c>
      <c r="H11" s="124" t="s">
        <v>114</v>
      </c>
      <c r="I11" s="127">
        <v>0.25</v>
      </c>
      <c r="J11" s="78"/>
      <c r="K11" s="78"/>
      <c r="L11" s="78"/>
      <c r="M11" s="78"/>
      <c r="N11" s="78"/>
      <c r="O11" s="290"/>
      <c r="P11" s="128">
        <v>0.1</v>
      </c>
    </row>
    <row r="12" spans="1:16" x14ac:dyDescent="0.35">
      <c r="A12" s="122" t="s">
        <v>137</v>
      </c>
      <c r="B12" s="123" t="s">
        <v>138</v>
      </c>
      <c r="C12" s="124">
        <v>0.67</v>
      </c>
      <c r="D12" s="124" t="s">
        <v>112</v>
      </c>
      <c r="E12" s="124">
        <v>1.56</v>
      </c>
      <c r="F12" s="125" t="s">
        <v>113</v>
      </c>
      <c r="G12" s="126">
        <v>0.43</v>
      </c>
      <c r="H12" s="124" t="s">
        <v>139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140</v>
      </c>
      <c r="B13" s="123" t="s">
        <v>141</v>
      </c>
      <c r="C13" s="124">
        <v>0.7</v>
      </c>
      <c r="D13" s="124" t="s">
        <v>112</v>
      </c>
      <c r="E13" s="124">
        <v>1.56</v>
      </c>
      <c r="F13" s="125" t="s">
        <v>113</v>
      </c>
      <c r="G13" s="126">
        <v>0.43</v>
      </c>
      <c r="H13" s="124" t="s">
        <v>139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142</v>
      </c>
      <c r="B14" s="123" t="s">
        <v>143</v>
      </c>
      <c r="C14" s="124">
        <v>0.54</v>
      </c>
      <c r="D14" s="124" t="s">
        <v>112</v>
      </c>
      <c r="E14" s="124">
        <v>1.56</v>
      </c>
      <c r="F14" s="125" t="s">
        <v>113</v>
      </c>
      <c r="G14" s="126">
        <v>0.43</v>
      </c>
      <c r="H14" s="124" t="s">
        <v>139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21</v>
      </c>
      <c r="B15" s="123" t="s">
        <v>144</v>
      </c>
      <c r="C15" s="124">
        <v>0.65</v>
      </c>
      <c r="D15" s="124" t="s">
        <v>112</v>
      </c>
      <c r="E15" s="124">
        <v>1.56</v>
      </c>
      <c r="F15" s="125" t="s">
        <v>113</v>
      </c>
      <c r="G15" s="126">
        <v>0.43</v>
      </c>
      <c r="H15" s="124" t="s">
        <v>139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145</v>
      </c>
      <c r="B16" s="123" t="s">
        <v>146</v>
      </c>
      <c r="C16" s="124">
        <v>0.56000000000000005</v>
      </c>
      <c r="D16" s="124" t="s">
        <v>112</v>
      </c>
      <c r="E16" s="124">
        <v>1.56</v>
      </c>
      <c r="F16" s="125" t="s">
        <v>113</v>
      </c>
      <c r="G16" s="126">
        <v>0.43</v>
      </c>
      <c r="H16" s="124" t="s">
        <v>139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147</v>
      </c>
      <c r="B17" s="123" t="s">
        <v>148</v>
      </c>
      <c r="C17" s="124">
        <v>0.57999999999999996</v>
      </c>
      <c r="D17" s="124" t="s">
        <v>112</v>
      </c>
      <c r="E17" s="124">
        <v>1.56</v>
      </c>
      <c r="F17" s="125" t="s">
        <v>113</v>
      </c>
      <c r="G17" s="126">
        <v>0.43</v>
      </c>
      <c r="H17" s="124" t="s">
        <v>139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149</v>
      </c>
      <c r="B18" s="123" t="s">
        <v>150</v>
      </c>
      <c r="C18" s="124">
        <v>0.64</v>
      </c>
      <c r="D18" s="124" t="s">
        <v>112</v>
      </c>
      <c r="E18" s="124">
        <v>1.56</v>
      </c>
      <c r="F18" s="125" t="s">
        <v>113</v>
      </c>
      <c r="G18" s="126">
        <v>0.43</v>
      </c>
      <c r="H18" s="124" t="s">
        <v>139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151</v>
      </c>
      <c r="B19" s="123" t="s">
        <v>152</v>
      </c>
      <c r="C19" s="124">
        <v>0.73</v>
      </c>
      <c r="D19" s="124" t="s">
        <v>112</v>
      </c>
      <c r="E19" s="124">
        <v>1.56</v>
      </c>
      <c r="F19" s="125" t="s">
        <v>113</v>
      </c>
      <c r="G19" s="126">
        <v>0.43</v>
      </c>
      <c r="H19" s="124" t="s">
        <v>139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153</v>
      </c>
      <c r="B20" s="123" t="s">
        <v>154</v>
      </c>
      <c r="C20" s="124">
        <v>0.69</v>
      </c>
      <c r="D20" s="124" t="s">
        <v>155</v>
      </c>
      <c r="E20" s="124">
        <v>1.56</v>
      </c>
      <c r="F20" s="125" t="s">
        <v>113</v>
      </c>
      <c r="G20" s="126">
        <v>0.43</v>
      </c>
      <c r="H20" s="124" t="s">
        <v>156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157</v>
      </c>
      <c r="B21" s="123" t="s">
        <v>158</v>
      </c>
      <c r="C21" s="124">
        <v>0.36</v>
      </c>
      <c r="D21" s="124" t="s">
        <v>112</v>
      </c>
      <c r="E21" s="124">
        <v>1.3</v>
      </c>
      <c r="F21" s="125" t="s">
        <v>113</v>
      </c>
      <c r="G21" s="126">
        <v>0.55000000000000004</v>
      </c>
      <c r="H21" s="124" t="s">
        <v>129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159</v>
      </c>
      <c r="B22" s="123" t="s">
        <v>160</v>
      </c>
      <c r="C22" s="124">
        <v>0.4</v>
      </c>
      <c r="D22" s="124" t="s">
        <v>112</v>
      </c>
      <c r="E22" s="124">
        <v>1.3</v>
      </c>
      <c r="F22" s="125" t="s">
        <v>113</v>
      </c>
      <c r="G22" s="126">
        <v>0.55000000000000004</v>
      </c>
      <c r="H22" s="124" t="s">
        <v>129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16</v>
      </c>
      <c r="B23" s="123" t="s">
        <v>161</v>
      </c>
      <c r="C23" s="124">
        <v>0.43</v>
      </c>
      <c r="D23" s="124" t="s">
        <v>112</v>
      </c>
      <c r="E23" s="124">
        <v>1.3</v>
      </c>
      <c r="F23" s="125" t="s">
        <v>113</v>
      </c>
      <c r="G23" s="126">
        <v>0.55000000000000004</v>
      </c>
      <c r="H23" s="124" t="s">
        <v>129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162</v>
      </c>
      <c r="B24" s="123" t="s">
        <v>163</v>
      </c>
      <c r="C24" s="124">
        <v>0.37</v>
      </c>
      <c r="D24" s="124" t="s">
        <v>112</v>
      </c>
      <c r="E24" s="124">
        <v>1.3</v>
      </c>
      <c r="F24" s="125" t="s">
        <v>113</v>
      </c>
      <c r="G24" s="126">
        <v>0.55000000000000004</v>
      </c>
      <c r="H24" s="124" t="s">
        <v>139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72</v>
      </c>
      <c r="B25" s="123" t="s">
        <v>164</v>
      </c>
      <c r="C25" s="124">
        <v>0.36</v>
      </c>
      <c r="D25" s="124" t="s">
        <v>112</v>
      </c>
      <c r="E25" s="124">
        <v>1.3</v>
      </c>
      <c r="F25" s="125" t="s">
        <v>113</v>
      </c>
      <c r="G25" s="126">
        <v>0.55000000000000004</v>
      </c>
      <c r="H25" s="124" t="s">
        <v>139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165</v>
      </c>
      <c r="B26" s="123" t="s">
        <v>166</v>
      </c>
      <c r="C26" s="124">
        <v>0.56000000000000005</v>
      </c>
      <c r="D26" s="124" t="s">
        <v>112</v>
      </c>
      <c r="E26" s="124">
        <v>1.56</v>
      </c>
      <c r="F26" s="125" t="s">
        <v>113</v>
      </c>
      <c r="G26" s="126">
        <v>0.53</v>
      </c>
      <c r="H26" s="124" t="s">
        <v>167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168</v>
      </c>
      <c r="B27" s="123" t="s">
        <v>169</v>
      </c>
      <c r="C27" s="124">
        <v>0.51</v>
      </c>
      <c r="D27" s="124" t="s">
        <v>112</v>
      </c>
      <c r="E27" s="124">
        <v>1.56</v>
      </c>
      <c r="F27" s="125" t="s">
        <v>113</v>
      </c>
      <c r="G27" s="126">
        <v>0.53</v>
      </c>
      <c r="H27" s="124" t="s">
        <v>167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170</v>
      </c>
      <c r="B28" s="123" t="s">
        <v>171</v>
      </c>
      <c r="C28" s="124">
        <v>0.51</v>
      </c>
      <c r="D28" s="124" t="s">
        <v>112</v>
      </c>
      <c r="E28" s="124">
        <v>1.56</v>
      </c>
      <c r="F28" s="125" t="s">
        <v>113</v>
      </c>
      <c r="G28" s="126">
        <v>0.53</v>
      </c>
      <c r="H28" s="124" t="s">
        <v>167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172</v>
      </c>
      <c r="B29" s="123" t="s">
        <v>172</v>
      </c>
      <c r="C29" s="124">
        <v>0.56000000000000005</v>
      </c>
      <c r="D29" s="124" t="s">
        <v>112</v>
      </c>
      <c r="E29" s="124">
        <v>1.56</v>
      </c>
      <c r="F29" s="125" t="s">
        <v>113</v>
      </c>
      <c r="G29" s="126">
        <v>0.53</v>
      </c>
      <c r="H29" s="124" t="s">
        <v>167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173</v>
      </c>
      <c r="B30" s="123" t="s">
        <v>174</v>
      </c>
      <c r="C30" s="124">
        <v>0.55000000000000004</v>
      </c>
      <c r="D30" s="124" t="s">
        <v>112</v>
      </c>
      <c r="E30" s="124">
        <v>1.56</v>
      </c>
      <c r="F30" s="125" t="s">
        <v>113</v>
      </c>
      <c r="G30" s="126">
        <v>0.53</v>
      </c>
      <c r="H30" s="124" t="s">
        <v>139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175</v>
      </c>
      <c r="B31" s="123" t="s">
        <v>176</v>
      </c>
      <c r="C31" s="124">
        <v>0.56000000000000005</v>
      </c>
      <c r="D31" s="124" t="s">
        <v>112</v>
      </c>
      <c r="E31" s="124">
        <v>1.56</v>
      </c>
      <c r="F31" s="125" t="s">
        <v>113</v>
      </c>
      <c r="G31" s="126">
        <v>0.43</v>
      </c>
      <c r="H31" s="124" t="s">
        <v>114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19</v>
      </c>
      <c r="B32" s="123" t="s">
        <v>177</v>
      </c>
      <c r="C32" s="124">
        <v>0.48</v>
      </c>
      <c r="D32" s="124" t="s">
        <v>112</v>
      </c>
      <c r="E32" s="124">
        <v>1.3</v>
      </c>
      <c r="F32" s="125" t="s">
        <v>113</v>
      </c>
      <c r="G32" s="126">
        <v>0.6</v>
      </c>
      <c r="H32" s="124" t="s">
        <v>178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179</v>
      </c>
      <c r="B33" s="123" t="s">
        <v>180</v>
      </c>
      <c r="C33" s="124">
        <v>0.42</v>
      </c>
      <c r="D33" s="124" t="s">
        <v>112</v>
      </c>
      <c r="E33" s="124">
        <v>1.3</v>
      </c>
      <c r="F33" s="125" t="s">
        <v>113</v>
      </c>
      <c r="G33" s="126">
        <v>0.6</v>
      </c>
      <c r="H33" s="124" t="s">
        <v>178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181</v>
      </c>
      <c r="B34" s="123" t="s">
        <v>182</v>
      </c>
      <c r="C34" s="124">
        <v>0.42</v>
      </c>
      <c r="D34" s="124" t="s">
        <v>183</v>
      </c>
      <c r="E34" s="124">
        <v>1.3</v>
      </c>
      <c r="F34" s="125" t="s">
        <v>113</v>
      </c>
      <c r="G34" s="126">
        <v>0.6</v>
      </c>
      <c r="H34" s="123" t="s">
        <v>184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185</v>
      </c>
      <c r="B35" s="123" t="s">
        <v>186</v>
      </c>
      <c r="C35" s="124">
        <v>0.5</v>
      </c>
      <c r="D35" s="124" t="s">
        <v>112</v>
      </c>
      <c r="E35" s="124">
        <v>1.56</v>
      </c>
      <c r="F35" s="125" t="s">
        <v>113</v>
      </c>
      <c r="G35" s="126">
        <v>0.43</v>
      </c>
      <c r="H35" s="124" t="s">
        <v>114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187</v>
      </c>
      <c r="B36" s="123" t="s">
        <v>188</v>
      </c>
      <c r="C36" s="124">
        <v>0.55000000000000004</v>
      </c>
      <c r="D36" s="124" t="s">
        <v>112</v>
      </c>
      <c r="E36" s="124">
        <v>1.56</v>
      </c>
      <c r="F36" s="125" t="s">
        <v>113</v>
      </c>
      <c r="G36" s="126">
        <v>0.53</v>
      </c>
      <c r="H36" s="124" t="s">
        <v>167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189</v>
      </c>
      <c r="B37" s="123" t="s">
        <v>190</v>
      </c>
      <c r="C37" s="124">
        <v>0.52</v>
      </c>
      <c r="D37" s="124" t="s">
        <v>112</v>
      </c>
      <c r="E37" s="124">
        <v>1.56</v>
      </c>
      <c r="F37" s="125" t="s">
        <v>113</v>
      </c>
      <c r="G37" s="126">
        <v>0.53</v>
      </c>
      <c r="H37" s="124" t="s">
        <v>167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191</v>
      </c>
      <c r="B38" s="123" t="s">
        <v>192</v>
      </c>
      <c r="C38" s="124">
        <v>0.52</v>
      </c>
      <c r="D38" s="124" t="s">
        <v>112</v>
      </c>
      <c r="E38" s="124">
        <v>1.56</v>
      </c>
      <c r="F38" s="125" t="s">
        <v>113</v>
      </c>
      <c r="G38" s="126">
        <v>0.43</v>
      </c>
      <c r="H38" s="124" t="s">
        <v>114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193</v>
      </c>
      <c r="B39" s="123" t="s">
        <v>194</v>
      </c>
      <c r="C39" s="124">
        <v>0.313</v>
      </c>
      <c r="D39" s="124" t="s">
        <v>195</v>
      </c>
      <c r="E39" s="124">
        <v>1.56</v>
      </c>
      <c r="F39" s="125" t="s">
        <v>113</v>
      </c>
      <c r="G39" s="126">
        <v>0.6</v>
      </c>
      <c r="H39" s="124" t="s">
        <v>196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197</v>
      </c>
      <c r="B40" s="123" t="s">
        <v>194</v>
      </c>
      <c r="C40" s="124">
        <v>0.35199999999999998</v>
      </c>
      <c r="D40" s="124" t="s">
        <v>195</v>
      </c>
      <c r="E40" s="124">
        <v>1.56</v>
      </c>
      <c r="F40" s="125" t="s">
        <v>113</v>
      </c>
      <c r="G40" s="126">
        <v>0.6</v>
      </c>
      <c r="H40" s="124" t="s">
        <v>196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198</v>
      </c>
      <c r="B41" s="123" t="s">
        <v>194</v>
      </c>
      <c r="C41" s="124">
        <v>0.32200000000000001</v>
      </c>
      <c r="D41" s="124" t="s">
        <v>195</v>
      </c>
      <c r="E41" s="124">
        <v>1.56</v>
      </c>
      <c r="F41" s="125" t="s">
        <v>113</v>
      </c>
      <c r="G41" s="126">
        <v>0.6</v>
      </c>
      <c r="H41" s="124" t="s">
        <v>196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199</v>
      </c>
      <c r="B42" s="123" t="s">
        <v>194</v>
      </c>
      <c r="C42" s="124">
        <v>0.311</v>
      </c>
      <c r="D42" s="124" t="s">
        <v>195</v>
      </c>
      <c r="E42" s="124">
        <v>1.56</v>
      </c>
      <c r="F42" s="125" t="s">
        <v>113</v>
      </c>
      <c r="G42" s="126">
        <v>0.6</v>
      </c>
      <c r="H42" s="124" t="s">
        <v>196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200</v>
      </c>
      <c r="B43" s="123" t="s">
        <v>194</v>
      </c>
      <c r="C43" s="124">
        <v>0.33900000000000002</v>
      </c>
      <c r="D43" s="124" t="s">
        <v>195</v>
      </c>
      <c r="E43" s="124">
        <v>1.56</v>
      </c>
      <c r="F43" s="125" t="s">
        <v>113</v>
      </c>
      <c r="G43" s="126">
        <v>0.6</v>
      </c>
      <c r="H43" s="124" t="s">
        <v>196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201</v>
      </c>
      <c r="B44" s="123" t="s">
        <v>194</v>
      </c>
      <c r="C44" s="124">
        <v>0.33600000000000002</v>
      </c>
      <c r="D44" s="124" t="s">
        <v>195</v>
      </c>
      <c r="E44" s="124">
        <v>1.56</v>
      </c>
      <c r="F44" s="125" t="s">
        <v>113</v>
      </c>
      <c r="G44" s="126">
        <v>0.6</v>
      </c>
      <c r="H44" s="124" t="s">
        <v>196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202</v>
      </c>
      <c r="B45" s="123" t="s">
        <v>194</v>
      </c>
      <c r="C45" s="124">
        <v>0.32900000000000001</v>
      </c>
      <c r="D45" s="124" t="s">
        <v>195</v>
      </c>
      <c r="E45" s="124">
        <v>1.56</v>
      </c>
      <c r="F45" s="125" t="s">
        <v>113</v>
      </c>
      <c r="G45" s="126">
        <v>0.6</v>
      </c>
      <c r="H45" s="124" t="s">
        <v>196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203</v>
      </c>
      <c r="B46" s="123" t="s">
        <v>194</v>
      </c>
      <c r="C46" s="124">
        <v>0.34300000000000003</v>
      </c>
      <c r="D46" s="124" t="s">
        <v>195</v>
      </c>
      <c r="E46" s="124">
        <v>1.56</v>
      </c>
      <c r="F46" s="125" t="s">
        <v>113</v>
      </c>
      <c r="G46" s="126">
        <v>0.6</v>
      </c>
      <c r="H46" s="124" t="s">
        <v>196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204</v>
      </c>
      <c r="B47" s="123" t="s">
        <v>194</v>
      </c>
      <c r="C47" s="124">
        <v>0.32500000000000001</v>
      </c>
      <c r="D47" s="124" t="s">
        <v>195</v>
      </c>
      <c r="E47" s="124">
        <v>1.56</v>
      </c>
      <c r="F47" s="125" t="s">
        <v>113</v>
      </c>
      <c r="G47" s="126">
        <v>0.6</v>
      </c>
      <c r="H47" s="124" t="s">
        <v>196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205</v>
      </c>
      <c r="B48" s="123" t="s">
        <v>194</v>
      </c>
      <c r="C48" s="124">
        <v>0.32</v>
      </c>
      <c r="D48" s="124" t="s">
        <v>195</v>
      </c>
      <c r="E48" s="124">
        <v>1.56</v>
      </c>
      <c r="F48" s="125" t="s">
        <v>113</v>
      </c>
      <c r="G48" s="126">
        <v>0.6</v>
      </c>
      <c r="H48" s="124" t="s">
        <v>196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206</v>
      </c>
      <c r="B49" s="123" t="s">
        <v>194</v>
      </c>
      <c r="C49" s="124">
        <v>0.28199999999999997</v>
      </c>
      <c r="D49" s="124" t="s">
        <v>195</v>
      </c>
      <c r="E49" s="124">
        <v>1.56</v>
      </c>
      <c r="F49" s="125" t="s">
        <v>113</v>
      </c>
      <c r="G49" s="126">
        <v>0.6</v>
      </c>
      <c r="H49" s="124" t="s">
        <v>196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207</v>
      </c>
      <c r="B50" s="123" t="s">
        <v>194</v>
      </c>
      <c r="C50" s="124">
        <v>0.32800000000000001</v>
      </c>
      <c r="D50" s="124" t="s">
        <v>195</v>
      </c>
      <c r="E50" s="124">
        <v>1.56</v>
      </c>
      <c r="F50" s="125" t="s">
        <v>113</v>
      </c>
      <c r="G50" s="126">
        <v>0.6</v>
      </c>
      <c r="H50" s="124" t="s">
        <v>196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208</v>
      </c>
      <c r="B51" s="123" t="s">
        <v>194</v>
      </c>
      <c r="C51" s="124">
        <v>0.32600000000000001</v>
      </c>
      <c r="D51" s="124" t="s">
        <v>195</v>
      </c>
      <c r="E51" s="124">
        <v>1.56</v>
      </c>
      <c r="F51" s="125" t="s">
        <v>113</v>
      </c>
      <c r="G51" s="126">
        <v>0.6</v>
      </c>
      <c r="H51" s="124" t="s">
        <v>196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209</v>
      </c>
      <c r="B52" s="123" t="s">
        <v>194</v>
      </c>
      <c r="C52" s="124">
        <v>0.35899999999999999</v>
      </c>
      <c r="D52" s="124" t="s">
        <v>195</v>
      </c>
      <c r="E52" s="124">
        <v>1.56</v>
      </c>
      <c r="F52" s="125" t="s">
        <v>113</v>
      </c>
      <c r="G52" s="126">
        <v>0.6</v>
      </c>
      <c r="H52" s="124" t="s">
        <v>196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210</v>
      </c>
      <c r="B53" s="123" t="s">
        <v>194</v>
      </c>
      <c r="C53" s="124">
        <v>0.34599999999999997</v>
      </c>
      <c r="D53" s="124" t="s">
        <v>195</v>
      </c>
      <c r="E53" s="124">
        <v>1.56</v>
      </c>
      <c r="F53" s="125" t="s">
        <v>113</v>
      </c>
      <c r="G53" s="126">
        <v>0.6</v>
      </c>
      <c r="H53" s="124" t="s">
        <v>196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211</v>
      </c>
      <c r="B54" s="123" t="s">
        <v>194</v>
      </c>
      <c r="C54" s="124">
        <v>0.32600000000000001</v>
      </c>
      <c r="D54" s="124" t="s">
        <v>195</v>
      </c>
      <c r="E54" s="124">
        <v>1.56</v>
      </c>
      <c r="F54" s="125" t="s">
        <v>113</v>
      </c>
      <c r="G54" s="126">
        <v>0.6</v>
      </c>
      <c r="H54" s="124" t="s">
        <v>196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212</v>
      </c>
      <c r="B55" s="123" t="s">
        <v>194</v>
      </c>
      <c r="C55" s="124">
        <v>0.30499999999999999</v>
      </c>
      <c r="D55" s="124" t="s">
        <v>195</v>
      </c>
      <c r="E55" s="124">
        <v>1.56</v>
      </c>
      <c r="F55" s="125" t="s">
        <v>113</v>
      </c>
      <c r="G55" s="126">
        <v>0.6</v>
      </c>
      <c r="H55" s="124" t="s">
        <v>196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213</v>
      </c>
      <c r="B56" s="123" t="s">
        <v>194</v>
      </c>
      <c r="C56" s="124">
        <v>0.32300000000000001</v>
      </c>
      <c r="D56" s="124" t="s">
        <v>195</v>
      </c>
      <c r="E56" s="124">
        <v>1.56</v>
      </c>
      <c r="F56" s="125" t="s">
        <v>113</v>
      </c>
      <c r="G56" s="126">
        <v>0.6</v>
      </c>
      <c r="H56" s="124" t="s">
        <v>196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214</v>
      </c>
      <c r="B57" s="123" t="s">
        <v>194</v>
      </c>
      <c r="C57" s="124">
        <v>0.36699999999999999</v>
      </c>
      <c r="D57" s="124" t="s">
        <v>195</v>
      </c>
      <c r="E57" s="124">
        <v>1.56</v>
      </c>
      <c r="F57" s="125" t="s">
        <v>113</v>
      </c>
      <c r="G57" s="126">
        <v>0.6</v>
      </c>
      <c r="H57" s="124" t="s">
        <v>196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215</v>
      </c>
      <c r="B58" s="123" t="s">
        <v>194</v>
      </c>
      <c r="C58" s="124">
        <v>0.36</v>
      </c>
      <c r="D58" s="124" t="s">
        <v>195</v>
      </c>
      <c r="E58" s="124">
        <v>1.56</v>
      </c>
      <c r="F58" s="125" t="s">
        <v>113</v>
      </c>
      <c r="G58" s="126">
        <v>0.6</v>
      </c>
      <c r="H58" s="124" t="s">
        <v>196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216</v>
      </c>
      <c r="B59" s="123" t="s">
        <v>194</v>
      </c>
      <c r="C59" s="124">
        <v>0.36799999999999999</v>
      </c>
      <c r="D59" s="124" t="s">
        <v>195</v>
      </c>
      <c r="E59" s="124">
        <v>1.56</v>
      </c>
      <c r="F59" s="125" t="s">
        <v>113</v>
      </c>
      <c r="G59" s="126">
        <v>0.6</v>
      </c>
      <c r="H59" s="124" t="s">
        <v>196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217</v>
      </c>
      <c r="B60" s="123" t="s">
        <v>194</v>
      </c>
      <c r="C60" s="124">
        <v>0.30599999999999999</v>
      </c>
      <c r="D60" s="124" t="s">
        <v>195</v>
      </c>
      <c r="E60" s="124">
        <v>1.56</v>
      </c>
      <c r="F60" s="125" t="s">
        <v>113</v>
      </c>
      <c r="G60" s="126">
        <v>0.6</v>
      </c>
      <c r="H60" s="124" t="s">
        <v>196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218</v>
      </c>
      <c r="B61" s="123" t="s">
        <v>194</v>
      </c>
      <c r="C61" s="124">
        <v>0.313</v>
      </c>
      <c r="D61" s="124" t="s">
        <v>195</v>
      </c>
      <c r="E61" s="124">
        <v>1.56</v>
      </c>
      <c r="F61" s="125" t="s">
        <v>113</v>
      </c>
      <c r="G61" s="126">
        <v>0.6</v>
      </c>
      <c r="H61" s="124" t="s">
        <v>196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219</v>
      </c>
      <c r="B62" s="123" t="s">
        <v>220</v>
      </c>
      <c r="C62" s="124">
        <v>0.37</v>
      </c>
      <c r="D62" s="124" t="s">
        <v>112</v>
      </c>
      <c r="E62" s="124">
        <v>1.56</v>
      </c>
      <c r="F62" s="125" t="s">
        <v>113</v>
      </c>
      <c r="G62" s="126">
        <v>0.6</v>
      </c>
      <c r="H62" s="124" t="s">
        <v>196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221</v>
      </c>
      <c r="B63" s="123" t="s">
        <v>222</v>
      </c>
      <c r="C63" s="124">
        <v>0.45</v>
      </c>
      <c r="D63" s="124" t="s">
        <v>112</v>
      </c>
      <c r="E63" s="124">
        <v>1.3</v>
      </c>
      <c r="F63" s="125" t="s">
        <v>113</v>
      </c>
      <c r="G63" s="126">
        <v>0.45</v>
      </c>
      <c r="H63" s="124" t="s">
        <v>223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224</v>
      </c>
      <c r="B64" s="123" t="s">
        <v>225</v>
      </c>
      <c r="C64" s="124">
        <v>0.39</v>
      </c>
      <c r="D64" s="124" t="s">
        <v>112</v>
      </c>
      <c r="E64" s="124">
        <v>1.3</v>
      </c>
      <c r="F64" s="125" t="s">
        <v>113</v>
      </c>
      <c r="G64" s="126">
        <v>0.45</v>
      </c>
      <c r="H64" s="124" t="s">
        <v>223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226</v>
      </c>
      <c r="B65" s="123" t="s">
        <v>227</v>
      </c>
      <c r="C65" s="124">
        <v>0.44</v>
      </c>
      <c r="D65" s="124" t="s">
        <v>112</v>
      </c>
      <c r="E65" s="124">
        <v>1.3</v>
      </c>
      <c r="F65" s="125" t="s">
        <v>113</v>
      </c>
      <c r="G65" s="126">
        <v>0.45</v>
      </c>
      <c r="H65" s="124" t="s">
        <v>223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228</v>
      </c>
      <c r="B66" s="123" t="s">
        <v>229</v>
      </c>
      <c r="C66" s="124">
        <v>0.46</v>
      </c>
      <c r="D66" s="124" t="s">
        <v>112</v>
      </c>
      <c r="E66" s="124">
        <v>1.3</v>
      </c>
      <c r="F66" s="125" t="s">
        <v>113</v>
      </c>
      <c r="G66" s="126">
        <v>0.45</v>
      </c>
      <c r="H66" s="124" t="s">
        <v>223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230</v>
      </c>
      <c r="B67" s="123" t="s">
        <v>231</v>
      </c>
      <c r="C67" s="124">
        <v>0.46</v>
      </c>
      <c r="D67" s="124" t="s">
        <v>112</v>
      </c>
      <c r="E67" s="124">
        <v>1.3</v>
      </c>
      <c r="F67" s="125" t="s">
        <v>113</v>
      </c>
      <c r="G67" s="126">
        <v>0.45</v>
      </c>
      <c r="H67" s="124" t="s">
        <v>139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232</v>
      </c>
      <c r="B68" s="123" t="s">
        <v>233</v>
      </c>
      <c r="C68" s="124">
        <v>0.44</v>
      </c>
      <c r="D68" s="124" t="s">
        <v>112</v>
      </c>
      <c r="E68" s="124">
        <v>1.3</v>
      </c>
      <c r="F68" s="125" t="s">
        <v>113</v>
      </c>
      <c r="G68" s="126">
        <v>0.45</v>
      </c>
      <c r="H68" s="124" t="s">
        <v>223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234</v>
      </c>
      <c r="B69" s="123" t="s">
        <v>235</v>
      </c>
      <c r="C69" s="124">
        <v>0.46</v>
      </c>
      <c r="D69" s="124" t="s">
        <v>112</v>
      </c>
      <c r="E69" s="124">
        <v>1.3</v>
      </c>
      <c r="F69" s="125" t="s">
        <v>113</v>
      </c>
      <c r="G69" s="126">
        <v>0.45</v>
      </c>
      <c r="H69" s="124" t="s">
        <v>223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236</v>
      </c>
      <c r="B70" s="123" t="s">
        <v>237</v>
      </c>
      <c r="C70" s="124">
        <v>0.48</v>
      </c>
      <c r="D70" s="124" t="s">
        <v>112</v>
      </c>
      <c r="E70" s="124">
        <v>2.4</v>
      </c>
      <c r="F70" s="124" t="s">
        <v>238</v>
      </c>
      <c r="G70" s="126">
        <v>0.45</v>
      </c>
      <c r="H70" s="124" t="s">
        <v>223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239</v>
      </c>
      <c r="B71" s="123" t="s">
        <v>240</v>
      </c>
      <c r="C71" s="124">
        <v>0.46</v>
      </c>
      <c r="D71" s="124" t="s">
        <v>241</v>
      </c>
      <c r="E71" s="124">
        <v>1.3</v>
      </c>
      <c r="F71" s="125" t="s">
        <v>113</v>
      </c>
      <c r="G71" s="126">
        <v>0.45</v>
      </c>
      <c r="H71" s="124" t="s">
        <v>223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242</v>
      </c>
      <c r="B72" s="123" t="s">
        <v>243</v>
      </c>
      <c r="C72" s="124">
        <v>0.44</v>
      </c>
      <c r="D72" s="124" t="s">
        <v>112</v>
      </c>
      <c r="E72" s="124">
        <v>1.3</v>
      </c>
      <c r="F72" s="125" t="s">
        <v>113</v>
      </c>
      <c r="G72" s="126">
        <v>0.45</v>
      </c>
      <c r="H72" s="124" t="s">
        <v>223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244</v>
      </c>
      <c r="B73" s="123" t="s">
        <v>245</v>
      </c>
      <c r="C73" s="124">
        <v>0.46</v>
      </c>
      <c r="D73" s="124" t="s">
        <v>246</v>
      </c>
      <c r="E73" s="124">
        <v>1.3</v>
      </c>
      <c r="F73" s="125" t="s">
        <v>113</v>
      </c>
      <c r="G73" s="126">
        <v>0.45</v>
      </c>
      <c r="H73" s="124" t="s">
        <v>223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247</v>
      </c>
      <c r="B74" s="123" t="s">
        <v>248</v>
      </c>
      <c r="C74" s="124">
        <v>0.34</v>
      </c>
      <c r="D74" s="124" t="s">
        <v>112</v>
      </c>
      <c r="E74" s="124">
        <v>1.3</v>
      </c>
      <c r="F74" s="125" t="s">
        <v>113</v>
      </c>
      <c r="G74" s="126">
        <v>0.45</v>
      </c>
      <c r="H74" s="124" t="s">
        <v>223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249</v>
      </c>
      <c r="B75" s="123" t="s">
        <v>250</v>
      </c>
      <c r="C75" s="124">
        <v>0.5</v>
      </c>
      <c r="D75" s="124" t="s">
        <v>112</v>
      </c>
      <c r="E75" s="124">
        <v>1.56</v>
      </c>
      <c r="F75" s="125" t="s">
        <v>113</v>
      </c>
      <c r="G75" s="126">
        <v>0.53</v>
      </c>
      <c r="H75" s="124" t="s">
        <v>167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251</v>
      </c>
      <c r="B76" s="123" t="s">
        <v>252</v>
      </c>
      <c r="C76" s="124">
        <v>0.57999999999999996</v>
      </c>
      <c r="D76" s="124" t="s">
        <v>112</v>
      </c>
      <c r="E76" s="124">
        <v>1.56</v>
      </c>
      <c r="F76" s="125" t="s">
        <v>113</v>
      </c>
      <c r="G76" s="126">
        <v>0.3</v>
      </c>
      <c r="H76" s="124" t="s">
        <v>253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254</v>
      </c>
      <c r="B77" s="123" t="s">
        <v>255</v>
      </c>
      <c r="C77" s="124">
        <v>0.37</v>
      </c>
      <c r="D77" s="124" t="s">
        <v>112</v>
      </c>
      <c r="E77" s="124">
        <v>1.3</v>
      </c>
      <c r="F77" s="125" t="s">
        <v>113</v>
      </c>
      <c r="G77" s="126">
        <v>0.55000000000000004</v>
      </c>
      <c r="H77" s="124" t="s">
        <v>139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256</v>
      </c>
      <c r="B78" s="123" t="s">
        <v>257</v>
      </c>
      <c r="C78" s="124">
        <v>0.37</v>
      </c>
      <c r="D78" s="124" t="s">
        <v>112</v>
      </c>
      <c r="E78" s="124">
        <v>1.3</v>
      </c>
      <c r="F78" s="125" t="s">
        <v>113</v>
      </c>
      <c r="G78" s="126">
        <v>0.55000000000000004</v>
      </c>
      <c r="H78" s="124" t="s">
        <v>139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258</v>
      </c>
      <c r="B79" s="123" t="s">
        <v>259</v>
      </c>
      <c r="C79" s="124">
        <v>0.38</v>
      </c>
      <c r="D79" s="124" t="s">
        <v>112</v>
      </c>
      <c r="E79" s="124">
        <v>1.3</v>
      </c>
      <c r="F79" s="125" t="s">
        <v>113</v>
      </c>
      <c r="G79" s="126">
        <v>0.55000000000000004</v>
      </c>
      <c r="H79" s="124" t="s">
        <v>129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260</v>
      </c>
      <c r="B80" s="123" t="s">
        <v>261</v>
      </c>
      <c r="C80" s="124">
        <v>0.36</v>
      </c>
      <c r="D80" s="124" t="s">
        <v>112</v>
      </c>
      <c r="E80" s="124">
        <v>1.3</v>
      </c>
      <c r="F80" s="125" t="s">
        <v>113</v>
      </c>
      <c r="G80" s="126">
        <v>0.55000000000000004</v>
      </c>
      <c r="H80" s="124" t="s">
        <v>129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262</v>
      </c>
      <c r="B81" s="123" t="s">
        <v>263</v>
      </c>
      <c r="C81" s="124">
        <v>0.37</v>
      </c>
      <c r="D81" s="124" t="s">
        <v>112</v>
      </c>
      <c r="E81" s="124">
        <v>1.56</v>
      </c>
      <c r="F81" s="125" t="s">
        <v>113</v>
      </c>
      <c r="G81" s="126">
        <v>0.43</v>
      </c>
      <c r="H81" s="124" t="s">
        <v>114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264</v>
      </c>
      <c r="B82" s="123" t="s">
        <v>265</v>
      </c>
      <c r="C82" s="124">
        <v>0.35</v>
      </c>
      <c r="D82" s="124" t="s">
        <v>266</v>
      </c>
      <c r="E82" s="124">
        <v>1.3</v>
      </c>
      <c r="F82" s="125" t="s">
        <v>113</v>
      </c>
      <c r="G82" s="126">
        <v>0.55000000000000004</v>
      </c>
      <c r="H82" s="124" t="s">
        <v>129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267</v>
      </c>
      <c r="B83" s="123" t="s">
        <v>268</v>
      </c>
      <c r="C83" s="124">
        <v>0.34</v>
      </c>
      <c r="D83" s="124" t="s">
        <v>112</v>
      </c>
      <c r="E83" s="124">
        <v>1.3</v>
      </c>
      <c r="F83" s="125" t="s">
        <v>113</v>
      </c>
      <c r="G83" s="126">
        <v>0.55000000000000004</v>
      </c>
      <c r="H83" s="124" t="s">
        <v>129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269</v>
      </c>
      <c r="B84" s="123" t="s">
        <v>270</v>
      </c>
      <c r="C84" s="124">
        <v>0.31</v>
      </c>
      <c r="D84" s="124" t="s">
        <v>112</v>
      </c>
      <c r="E84" s="124">
        <v>1.3</v>
      </c>
      <c r="F84" s="125" t="s">
        <v>113</v>
      </c>
      <c r="G84" s="126">
        <v>0.55000000000000004</v>
      </c>
      <c r="H84" s="124" t="s">
        <v>129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271</v>
      </c>
      <c r="B85" s="123" t="s">
        <v>272</v>
      </c>
      <c r="C85" s="124">
        <v>0.43</v>
      </c>
      <c r="D85" s="124" t="s">
        <v>112</v>
      </c>
      <c r="E85" s="124">
        <v>1.56</v>
      </c>
      <c r="F85" s="125" t="s">
        <v>113</v>
      </c>
      <c r="G85" s="126">
        <v>0.53</v>
      </c>
      <c r="H85" s="124" t="s">
        <v>167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273</v>
      </c>
      <c r="B86" s="123" t="s">
        <v>274</v>
      </c>
      <c r="C86" s="124">
        <v>0.38</v>
      </c>
      <c r="D86" s="124" t="s">
        <v>112</v>
      </c>
      <c r="E86" s="124">
        <v>1.56</v>
      </c>
      <c r="F86" s="125" t="s">
        <v>113</v>
      </c>
      <c r="G86" s="126">
        <v>0.6</v>
      </c>
      <c r="H86" s="124" t="s">
        <v>275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276</v>
      </c>
      <c r="B87" s="252" t="s">
        <v>277</v>
      </c>
      <c r="C87" s="253">
        <v>0.41</v>
      </c>
      <c r="D87" s="253" t="s">
        <v>278</v>
      </c>
      <c r="E87" s="253">
        <v>1.56</v>
      </c>
      <c r="F87" s="254" t="s">
        <v>113</v>
      </c>
      <c r="G87" s="255">
        <v>0.43</v>
      </c>
      <c r="H87" s="253" t="s">
        <v>114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279</v>
      </c>
      <c r="B88" s="130"/>
      <c r="C88" s="124">
        <v>0.42</v>
      </c>
      <c r="D88" s="124" t="s">
        <v>112</v>
      </c>
      <c r="E88" s="124">
        <v>1.3</v>
      </c>
      <c r="F88" s="125" t="s">
        <v>113</v>
      </c>
      <c r="G88" s="131"/>
      <c r="H88" s="130"/>
      <c r="I88" s="132"/>
    </row>
    <row r="89" spans="1:14" ht="15" thickBot="1" x14ac:dyDescent="0.4">
      <c r="A89" s="133" t="s">
        <v>280</v>
      </c>
      <c r="B89" s="134"/>
      <c r="C89" s="135">
        <v>0.56999999999999995</v>
      </c>
      <c r="D89" s="136" t="s">
        <v>112</v>
      </c>
      <c r="E89" s="135">
        <v>1.56</v>
      </c>
      <c r="F89" s="135" t="s">
        <v>113</v>
      </c>
      <c r="G89" s="134"/>
      <c r="H89" s="134"/>
      <c r="I89" s="137"/>
    </row>
    <row r="93" spans="1:14" x14ac:dyDescent="0.35">
      <c r="A93" s="122" t="s">
        <v>73</v>
      </c>
    </row>
    <row r="94" spans="1:14" x14ac:dyDescent="0.35">
      <c r="A94" s="122" t="s">
        <v>74</v>
      </c>
    </row>
    <row r="95" spans="1:14" x14ac:dyDescent="0.35">
      <c r="A95" s="122" t="s">
        <v>75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0" t="s">
        <v>281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282</v>
      </c>
      <c r="B5" s="139" t="s">
        <v>283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284</v>
      </c>
      <c r="F5" s="140" t="s">
        <v>285</v>
      </c>
      <c r="G5" s="140" t="s">
        <v>286</v>
      </c>
      <c r="H5" s="141" t="s">
        <v>287</v>
      </c>
      <c r="I5" s="142" t="s">
        <v>288</v>
      </c>
      <c r="J5" s="143" t="s">
        <v>289</v>
      </c>
      <c r="K5" s="144" t="s">
        <v>290</v>
      </c>
      <c r="L5" s="84" t="s">
        <v>291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Douglas</v>
      </c>
      <c r="B6" s="146">
        <f>'Données projet'!D9</f>
        <v>0.98599999999999999</v>
      </c>
      <c r="C6" s="147">
        <f ca="1">IF(OR('Données projet'!B9="",'Données projet'!C9="",'Données projet'!C9=0%),0,Calculateur!S3)</f>
        <v>254.6443970237226</v>
      </c>
      <c r="D6" s="147">
        <f>IF(OR('Données projet'!B9="",'Données projet'!C9="",'Données projet'!C9=0%),0,Calculateur!T3)</f>
        <v>231.81667808018062</v>
      </c>
      <c r="E6" s="147">
        <f ca="1">MIN(C6,D6)</f>
        <v>231.81667808018062</v>
      </c>
      <c r="F6" s="147">
        <f ca="1">E6*B6</f>
        <v>228.57124458705809</v>
      </c>
      <c r="G6" s="147">
        <f ca="1">F6*(100%-'Données projet'!$C$24)*(100%-'Données projet'!$C$25)*(100%-'Données projet'!$C$26)*(100%-'Données projet'!$C$27)</f>
        <v>195.42841412193465</v>
      </c>
      <c r="H6" s="148">
        <f>IF(OR('Données projet'!B9="",'Données projet'!C9="",'Données projet'!C9=0%),0,AVERAGE(Calculateur!$AC$3:$AC$33)*B6)</f>
        <v>8.0261259388578221</v>
      </c>
      <c r="I6" s="149">
        <f>H6*(100%-'Données projet'!$C$24)*(100%-'Données projet'!$C$25)*(100%-'Données projet'!$C$26)*(100%-'Données projet'!$C$27)</f>
        <v>6.8623376777234375</v>
      </c>
      <c r="J6" s="150">
        <f>IF(OR('Données projet'!B9="",'Données projet'!C9="",'Données projet'!C9=0%),0,SUM(Calculateur!$V$3:$V$33)*VLOOKUP('Données projet'!$B$9,Paramètres!$A$1:$I$89,9,0)*B6)</f>
        <v>50.065515230769222</v>
      </c>
      <c r="K6" s="151">
        <f>J6*(100%-'Données projet'!$C$24)*(100%-'Données projet'!$C$25)*(100%-'Données projet'!$C$26)*(100%-'Données projet'!$C$27)</f>
        <v>42.806015522307682</v>
      </c>
      <c r="L6" s="152">
        <f ca="1">G6+I6+K6</f>
        <v>245.09676732196579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Mélèze d'Europe</v>
      </c>
      <c r="B7" s="154">
        <f>'Données projet'!D10</f>
        <v>0.80600000000000005</v>
      </c>
      <c r="C7" s="147">
        <f ca="1">IF(OR('Données projet'!B10="",'Données projet'!C10="",'Données projet'!C10=0%),0,Calculateur!AN3)</f>
        <v>180.31844548479722</v>
      </c>
      <c r="D7" s="147">
        <f>IF(OR('Données projet'!B10="",'Données projet'!C10="",'Données projet'!C10=0%),0,Calculateur!AO3)</f>
        <v>273.83237400307223</v>
      </c>
      <c r="E7" s="147">
        <f t="shared" ref="E7:E15" ca="1" si="0">MIN(C7,D7)</f>
        <v>180.31844548479722</v>
      </c>
      <c r="F7" s="147">
        <f t="shared" ref="F7:F15" ca="1" si="1">E7*B7</f>
        <v>145.33666706074658</v>
      </c>
      <c r="G7" s="147">
        <f ca="1">F7*(100%-'Données projet'!$C$24)*(100%-'Données projet'!$C$25)*(100%-'Données projet'!$C$26)*(100%-'Données projet'!$C$27)</f>
        <v>124.26285033693831</v>
      </c>
      <c r="H7" s="155">
        <f>IF(OR('Données projet'!B10="",'Données projet'!C10="",'Données projet'!C10=0%),0,AVERAGE(Calculateur!$AX$3:$AX$33)*B7)</f>
        <v>6.8324323183179727</v>
      </c>
      <c r="I7" s="149">
        <f>H7*(100%-'Données projet'!$C$24)*(100%-'Données projet'!$C$25)*(100%-'Données projet'!$C$26)*(100%-'Données projet'!$C$27)</f>
        <v>5.8417296321618659</v>
      </c>
      <c r="J7" s="150">
        <f>IF(OR('Données projet'!B10="",'Données projet'!C10="",'Données projet'!C10=0%),0,SUM(Calculateur!$AQ$3:$AQ$33)*VLOOKUP('Données projet'!$B$10,Paramètres!$A$1:$I$89,9,0)*B7)</f>
        <v>44.36224</v>
      </c>
      <c r="K7" s="151">
        <f>J7*(100%-'Données projet'!$C$24)*(100%-'Données projet'!$C$25)*(100%-'Données projet'!$C$26)*(100%-'Données projet'!$C$27)</f>
        <v>37.929715200000004</v>
      </c>
      <c r="L7" s="152">
        <f t="shared" ref="L7:L15" ca="1" si="2">G7+I7+K7</f>
        <v>168.03429516910018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Chêne pubescent</v>
      </c>
      <c r="B8" s="154">
        <f>'Données projet'!D11</f>
        <v>0.20599999999999999</v>
      </c>
      <c r="C8" s="147">
        <f ca="1">IF(OR('Données projet'!B11="",'Données projet'!C11="",'Données projet'!C11=0%),0,Calculateur!BI3)</f>
        <v>264.08050363622294</v>
      </c>
      <c r="D8" s="147">
        <f>IF(OR('Données projet'!B11="",'Données projet'!C11="",'Données projet'!C11=0%),0,Calculateur!BJ3)</f>
        <v>164.48884512322883</v>
      </c>
      <c r="E8" s="147">
        <f t="shared" ca="1" si="0"/>
        <v>164.48884512322883</v>
      </c>
      <c r="F8" s="147">
        <f t="shared" ca="1" si="1"/>
        <v>33.884702095385137</v>
      </c>
      <c r="G8" s="147">
        <f ca="1">F8*(100%-'Données projet'!$C$24)*(100%-'Données projet'!$C$25)*(100%-'Données projet'!$C$26)*(100%-'Données projet'!$C$27)</f>
        <v>28.971420291554288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28.971420291554288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407.7926137431898</v>
      </c>
      <c r="G16" s="166">
        <f t="shared" ca="1" si="3"/>
        <v>348.66268475042727</v>
      </c>
      <c r="H16" s="167">
        <f t="shared" si="3"/>
        <v>14.858558257175794</v>
      </c>
      <c r="I16" s="167">
        <f t="shared" si="3"/>
        <v>12.704067309885303</v>
      </c>
      <c r="J16" s="168">
        <f t="shared" si="3"/>
        <v>94.427755230769222</v>
      </c>
      <c r="K16" s="168">
        <f t="shared" si="3"/>
        <v>80.735730722307693</v>
      </c>
      <c r="L16" s="169">
        <f t="shared" ca="1" si="3"/>
        <v>442.10248278262026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92" t="s">
        <v>292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Mélèze d'Europe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8" zoomScale="80" zoomScaleNormal="80" workbookViewId="0">
      <selection activeCell="J20" sqref="J20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0" t="s">
        <v>293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6" t="s">
        <v>294</v>
      </c>
      <c r="I4" s="266"/>
      <c r="K4" s="308" t="s">
        <v>295</v>
      </c>
      <c r="L4" s="309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58</v>
      </c>
      <c r="O7" s="247"/>
      <c r="P7" s="248"/>
      <c r="Q7" s="249"/>
      <c r="R7" s="300" t="s">
        <v>296</v>
      </c>
      <c r="S7" s="301"/>
      <c r="T7" s="301"/>
      <c r="U7" s="301"/>
      <c r="V7" s="30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297</v>
      </c>
      <c r="C9" s="23"/>
      <c r="D9" s="23"/>
      <c r="E9" s="23"/>
      <c r="F9" s="230"/>
      <c r="G9" s="93" t="s">
        <v>298</v>
      </c>
      <c r="J9" s="200"/>
      <c r="K9" s="208"/>
      <c r="O9" s="23"/>
      <c r="P9" s="23"/>
      <c r="Q9" s="234"/>
      <c r="R9" s="23"/>
      <c r="S9" s="4"/>
      <c r="T9" s="36" t="s">
        <v>299</v>
      </c>
      <c r="U9" s="176" t="s">
        <v>300</v>
      </c>
      <c r="V9" s="36" t="s">
        <v>301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302</v>
      </c>
      <c r="C10" s="23"/>
      <c r="D10" s="23"/>
      <c r="E10" s="23"/>
      <c r="F10" s="230"/>
      <c r="G10" s="93" t="s">
        <v>303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2448.2397217643856</v>
      </c>
      <c r="U10" s="178">
        <f>'Données projet'!D9</f>
        <v>0.98599999999999999</v>
      </c>
      <c r="V10" s="177">
        <f>U10*T10</f>
        <v>2413.9643656596841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304</v>
      </c>
      <c r="B11" s="23"/>
      <c r="C11" s="23"/>
      <c r="D11" s="23"/>
      <c r="E11" s="23"/>
      <c r="F11" s="230"/>
      <c r="G11" s="93" t="s">
        <v>305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Mélèze d'Europe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2865.5253059528923</v>
      </c>
      <c r="U11" s="178">
        <f>'Données projet'!D10</f>
        <v>0.80600000000000005</v>
      </c>
      <c r="V11" s="177">
        <f t="shared" ref="V11" si="0">U11*T11</f>
        <v>2309.6133965980312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pubescent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268.72512155486936</v>
      </c>
      <c r="U12" s="178">
        <f>'Données projet'!D11</f>
        <v>0.20599999999999999</v>
      </c>
      <c r="V12" s="177">
        <f t="shared" ref="V12:V19" si="1">U12*T12</f>
        <v>55.357375040303083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306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77</v>
      </c>
      <c r="I14" s="36" t="s">
        <v>307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11" t="s">
        <v>308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47</v>
      </c>
      <c r="B16" s="48" t="s">
        <v>309</v>
      </c>
      <c r="C16" s="48" t="s">
        <v>310</v>
      </c>
      <c r="D16" s="36" t="s">
        <v>311</v>
      </c>
      <c r="E16" s="36" t="s">
        <v>312</v>
      </c>
      <c r="F16" s="230"/>
      <c r="G16" s="311"/>
      <c r="H16" s="190"/>
      <c r="I16" s="191"/>
      <c r="J16" s="202"/>
      <c r="K16" s="208"/>
      <c r="L16" s="308" t="s">
        <v>313</v>
      </c>
      <c r="M16" s="309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194</v>
      </c>
      <c r="C17" s="198" t="s">
        <v>194</v>
      </c>
      <c r="D17" s="197" t="s">
        <v>194</v>
      </c>
      <c r="E17" s="193"/>
      <c r="G17" s="311"/>
      <c r="J17" s="202"/>
      <c r="K17" s="208"/>
      <c r="L17" s="268" t="s">
        <v>314</v>
      </c>
      <c r="M17" s="270"/>
      <c r="N17" s="175">
        <f>VLOOKUP(N16,Calculateur!$A$2:$H$153,3,0)/VLOOKUP('Scénario référence'!$G$15,Paramètres!A1:I89,3,0)/VLOOKUP('Scénario référence'!$G$15,Paramètres!A1:I89,5,0)</f>
        <v>50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194</v>
      </c>
      <c r="C18" s="198" t="s">
        <v>194</v>
      </c>
      <c r="D18" s="197" t="s">
        <v>194</v>
      </c>
      <c r="E18" s="193"/>
      <c r="G18" s="311"/>
      <c r="J18" s="202"/>
      <c r="K18" s="208"/>
      <c r="L18" s="268" t="s">
        <v>310</v>
      </c>
      <c r="M18" s="270"/>
      <c r="N18" s="192">
        <v>100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194</v>
      </c>
      <c r="C19" s="198" t="s">
        <v>194</v>
      </c>
      <c r="D19" s="197" t="s">
        <v>194</v>
      </c>
      <c r="E19" s="193"/>
      <c r="F19" s="230"/>
      <c r="G19" s="311"/>
      <c r="H19" s="212" t="s">
        <v>77</v>
      </c>
      <c r="I19" s="212" t="s">
        <v>315</v>
      </c>
      <c r="J19" s="93"/>
      <c r="K19" s="173"/>
      <c r="L19" s="308" t="s">
        <v>316</v>
      </c>
      <c r="M19" s="309"/>
      <c r="N19" s="179">
        <f>N17*N18</f>
        <v>5000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194</v>
      </c>
      <c r="C20" s="198" t="s">
        <v>194</v>
      </c>
      <c r="D20" s="197" t="s">
        <v>194</v>
      </c>
      <c r="E20" s="193"/>
      <c r="F20" s="230"/>
      <c r="G20" s="311"/>
      <c r="H20" s="190">
        <v>1</v>
      </c>
      <c r="I20" s="191">
        <v>8752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194</v>
      </c>
      <c r="C21" s="198" t="s">
        <v>194</v>
      </c>
      <c r="D21" s="197" t="s">
        <v>194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194</v>
      </c>
      <c r="C22" s="198" t="s">
        <v>194</v>
      </c>
      <c r="D22" s="197" t="s">
        <v>194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21</v>
      </c>
      <c r="B23" s="181">
        <f>'Données projet'!D36</f>
        <v>61.169230769230765</v>
      </c>
      <c r="C23" s="193">
        <v>10</v>
      </c>
      <c r="D23" s="182">
        <f>B23*C23</f>
        <v>611.69230769230762</v>
      </c>
      <c r="E23" s="193">
        <v>150</v>
      </c>
      <c r="F23" s="230"/>
      <c r="H23" s="190"/>
      <c r="I23" s="191"/>
      <c r="K23" s="208"/>
      <c r="L23" s="310" t="s">
        <v>317</v>
      </c>
      <c r="M23" s="310"/>
      <c r="N23" s="310"/>
      <c r="O23" s="23"/>
      <c r="P23" s="23"/>
      <c r="Q23" s="234"/>
      <c r="R23" s="23"/>
      <c r="S23" s="36" t="s">
        <v>318</v>
      </c>
      <c r="T23" s="30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-11971.304097151742</v>
      </c>
      <c r="U23" s="305"/>
      <c r="V23" s="30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28</v>
      </c>
      <c r="B24" s="181">
        <f>'Données projet'!D37</f>
        <v>56.91538461538461</v>
      </c>
      <c r="C24" s="193">
        <v>10</v>
      </c>
      <c r="D24" s="182">
        <f t="shared" ref="D24:D42" si="2">B24*C24</f>
        <v>569.15384615384608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319</v>
      </c>
      <c r="T24" s="306">
        <f ca="1">'Scénario référence'!$B$8*$M$30*'Données projet'!$C$5+('Scénario référence'!B9+'Scénario référence'!B10+'Scénario référence'!F8+'Scénario référence'!F9)*$N$19/(1+M4)^N16*'Données projet'!$C$5</f>
        <v>1107.0964996565215</v>
      </c>
      <c r="U24" s="306"/>
      <c r="V24" s="30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30</v>
      </c>
      <c r="B25" s="181">
        <f>'Données projet'!D38</f>
        <v>0</v>
      </c>
      <c r="C25" s="193"/>
      <c r="D25" s="182">
        <f t="shared" si="2"/>
        <v>0</v>
      </c>
      <c r="E25" s="193">
        <v>0</v>
      </c>
      <c r="F25" s="233"/>
      <c r="H25" s="190"/>
      <c r="I25" s="191"/>
      <c r="K25" s="208"/>
      <c r="L25" s="130" t="s">
        <v>320</v>
      </c>
      <c r="M25" s="130"/>
      <c r="N25" s="130"/>
      <c r="O25" s="130"/>
      <c r="P25" s="192"/>
      <c r="Q25" s="234"/>
      <c r="R25" s="23"/>
      <c r="S25" s="186" t="s">
        <v>321</v>
      </c>
      <c r="T25" s="307">
        <f ca="1">T23-T24</f>
        <v>-13078.400596808264</v>
      </c>
      <c r="U25" s="307"/>
      <c r="V25" s="307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35</v>
      </c>
      <c r="B26" s="181">
        <f>'Données projet'!D39</f>
        <v>70.5</v>
      </c>
      <c r="C26" s="193">
        <v>18</v>
      </c>
      <c r="D26" s="182">
        <f t="shared" si="2"/>
        <v>1269</v>
      </c>
      <c r="E26" s="193">
        <v>150</v>
      </c>
      <c r="F26" s="233"/>
      <c r="G26" s="229"/>
      <c r="H26" s="190"/>
      <c r="I26" s="191"/>
      <c r="K26" s="208"/>
      <c r="L26" s="294" t="s">
        <v>322</v>
      </c>
      <c r="M26" s="295"/>
      <c r="N26" s="295"/>
      <c r="O26" s="295"/>
      <c r="P26" s="296"/>
      <c r="Q26" s="234"/>
      <c r="R26" s="23"/>
      <c r="S26" s="186" t="s">
        <v>323</v>
      </c>
      <c r="T26" s="304" t="str">
        <f ca="1">IF(T25&lt;0,"Votre projet est additionnel","Votre projet n'est pas additionnel")</f>
        <v>Votre projet est additionnel</v>
      </c>
      <c r="U26" s="304"/>
      <c r="V26" s="30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42</v>
      </c>
      <c r="B27" s="181">
        <f>'Données projet'!D40</f>
        <v>80.669230769230765</v>
      </c>
      <c r="C27" s="193">
        <v>25</v>
      </c>
      <c r="D27" s="182">
        <f t="shared" si="2"/>
        <v>2016.7307692307691</v>
      </c>
      <c r="E27" s="193">
        <v>150</v>
      </c>
      <c r="F27" s="233"/>
      <c r="G27" s="229"/>
      <c r="H27" s="190"/>
      <c r="I27" s="191"/>
      <c r="K27" s="208"/>
      <c r="L27" s="297"/>
      <c r="M27" s="298"/>
      <c r="N27" s="298"/>
      <c r="O27" s="298"/>
      <c r="P27" s="299"/>
      <c r="Q27" s="234"/>
      <c r="R27" s="23"/>
      <c r="S27" s="303" t="s">
        <v>324</v>
      </c>
      <c r="T27" s="303"/>
      <c r="U27" s="303"/>
      <c r="V27" s="30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49</v>
      </c>
      <c r="B28" s="181">
        <f>'Données projet'!D41</f>
        <v>90.453846153846158</v>
      </c>
      <c r="C28" s="193">
        <v>25</v>
      </c>
      <c r="D28" s="182">
        <f t="shared" si="2"/>
        <v>2261.3461538461538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56</v>
      </c>
      <c r="B29" s="181">
        <f>'Données projet'!D42</f>
        <v>75.869230769230768</v>
      </c>
      <c r="C29" s="193">
        <v>35</v>
      </c>
      <c r="D29" s="182">
        <f t="shared" si="2"/>
        <v>2655.4230769230767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63</v>
      </c>
      <c r="B30" s="181">
        <f>'Données projet'!D43</f>
        <v>79.723076923076917</v>
      </c>
      <c r="C30" s="193">
        <v>40</v>
      </c>
      <c r="D30" s="182">
        <f t="shared" si="2"/>
        <v>3188.9230769230767</v>
      </c>
      <c r="E30" s="193">
        <v>150</v>
      </c>
      <c r="F30" s="233"/>
      <c r="G30" s="203"/>
      <c r="H30" s="190"/>
      <c r="I30" s="191"/>
      <c r="K30" s="183"/>
      <c r="L30" s="36" t="s">
        <v>325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70</v>
      </c>
      <c r="B31" s="181">
        <f>'Données projet'!D44</f>
        <v>469.06923076923073</v>
      </c>
      <c r="C31" s="193">
        <v>45</v>
      </c>
      <c r="D31" s="182">
        <f t="shared" si="2"/>
        <v>21108.115384615383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77</v>
      </c>
      <c r="P32" s="85" t="s">
        <v>311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>Mélèze d'Europe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47</v>
      </c>
      <c r="B47" s="48" t="s">
        <v>309</v>
      </c>
      <c r="C47" s="48" t="s">
        <v>310</v>
      </c>
      <c r="D47" s="36" t="s">
        <v>311</v>
      </c>
      <c r="E47" s="36" t="s">
        <v>312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194</v>
      </c>
      <c r="C48" s="198" t="s">
        <v>194</v>
      </c>
      <c r="D48" s="197" t="s">
        <v>194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194</v>
      </c>
      <c r="C49" s="198" t="s">
        <v>194</v>
      </c>
      <c r="D49" s="197" t="s">
        <v>194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194</v>
      </c>
      <c r="C50" s="198" t="s">
        <v>194</v>
      </c>
      <c r="D50" s="197" t="s">
        <v>194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194</v>
      </c>
      <c r="C51" s="198" t="s">
        <v>194</v>
      </c>
      <c r="D51" s="197" t="s">
        <v>194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194</v>
      </c>
      <c r="C52" s="198" t="s">
        <v>194</v>
      </c>
      <c r="D52" s="197" t="s">
        <v>194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194</v>
      </c>
      <c r="C53" s="198" t="s">
        <v>194</v>
      </c>
      <c r="D53" s="197" t="s">
        <v>194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18</v>
      </c>
      <c r="B54" s="181">
        <f>'Données projet'!D62</f>
        <v>20</v>
      </c>
      <c r="C54" s="191">
        <v>10</v>
      </c>
      <c r="D54" s="179">
        <f>B54*C54</f>
        <v>200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21</v>
      </c>
      <c r="B55" s="181">
        <f>'Données projet'!D63</f>
        <v>26</v>
      </c>
      <c r="C55" s="191">
        <v>18</v>
      </c>
      <c r="D55" s="179">
        <f t="shared" ref="D55:D73" si="4">B55*C55</f>
        <v>468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24</v>
      </c>
      <c r="B56" s="181">
        <f>'Données projet'!D64</f>
        <v>29</v>
      </c>
      <c r="C56" s="191">
        <v>25</v>
      </c>
      <c r="D56" s="179">
        <f t="shared" si="4"/>
        <v>725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30</v>
      </c>
      <c r="B57" s="181">
        <f>'Données projet'!D65</f>
        <v>53</v>
      </c>
      <c r="C57" s="191">
        <v>25</v>
      </c>
      <c r="D57" s="179">
        <f t="shared" si="4"/>
        <v>1325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36</v>
      </c>
      <c r="B58" s="181">
        <f>'Données projet'!D66</f>
        <v>62</v>
      </c>
      <c r="C58" s="191">
        <v>35</v>
      </c>
      <c r="D58" s="179">
        <f t="shared" si="4"/>
        <v>2170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42</v>
      </c>
      <c r="B59" s="181">
        <f>'Données projet'!D67</f>
        <v>67</v>
      </c>
      <c r="C59" s="191">
        <v>40</v>
      </c>
      <c r="D59" s="179">
        <f t="shared" si="4"/>
        <v>2680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48</v>
      </c>
      <c r="B60" s="181">
        <f>'Données projet'!D68</f>
        <v>65</v>
      </c>
      <c r="C60" s="191">
        <v>45</v>
      </c>
      <c r="D60" s="179">
        <f t="shared" si="4"/>
        <v>2925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60</v>
      </c>
      <c r="B61" s="181">
        <f>'Données projet'!D69</f>
        <v>304</v>
      </c>
      <c r="C61" s="191">
        <v>55</v>
      </c>
      <c r="D61" s="179">
        <f t="shared" si="4"/>
        <v>16720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4" t="str">
        <f>IF('Données projet'!B11="","",'Données projet'!B11)</f>
        <v>Chêne pubescent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47</v>
      </c>
      <c r="B78" s="48" t="s">
        <v>309</v>
      </c>
      <c r="C78" s="48" t="s">
        <v>310</v>
      </c>
      <c r="D78" s="36" t="s">
        <v>311</v>
      </c>
      <c r="E78" s="36" t="s">
        <v>312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194</v>
      </c>
      <c r="C79" s="198" t="s">
        <v>194</v>
      </c>
      <c r="D79" s="197" t="s">
        <v>194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194</v>
      </c>
      <c r="C80" s="198" t="s">
        <v>194</v>
      </c>
      <c r="D80" s="197" t="s">
        <v>194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194</v>
      </c>
      <c r="C81" s="198" t="s">
        <v>194</v>
      </c>
      <c r="D81" s="197" t="s">
        <v>194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194</v>
      </c>
      <c r="C82" s="198" t="s">
        <v>194</v>
      </c>
      <c r="D82" s="197" t="s">
        <v>194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194</v>
      </c>
      <c r="C83" s="198" t="s">
        <v>194</v>
      </c>
      <c r="D83" s="197" t="s">
        <v>194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194</v>
      </c>
      <c r="C84" s="198"/>
      <c r="D84" s="197" t="s">
        <v>194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30</v>
      </c>
      <c r="B85" s="181">
        <f>'Données projet'!D88</f>
        <v>0</v>
      </c>
      <c r="C85" s="191"/>
      <c r="D85" s="179">
        <f>B85*C85</f>
        <v>0</v>
      </c>
      <c r="E85" s="193">
        <v>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44</v>
      </c>
      <c r="B86" s="181">
        <f>'Données projet'!D89</f>
        <v>64.416666666666657</v>
      </c>
      <c r="C86" s="191">
        <v>10</v>
      </c>
      <c r="D86" s="179">
        <f t="shared" ref="D86:D104" si="6">B86*C86</f>
        <v>644.16666666666652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51</v>
      </c>
      <c r="B87" s="181">
        <f>'Données projet'!D90</f>
        <v>37.685897435897431</v>
      </c>
      <c r="C87" s="191">
        <v>10</v>
      </c>
      <c r="D87" s="179">
        <f t="shared" si="6"/>
        <v>376.85897435897431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59</v>
      </c>
      <c r="B88" s="181">
        <f>'Données projet'!D91</f>
        <v>38.942307692307693</v>
      </c>
      <c r="C88" s="191">
        <v>50</v>
      </c>
      <c r="D88" s="179">
        <f t="shared" si="6"/>
        <v>1947.1153846153848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67</v>
      </c>
      <c r="B89" s="181">
        <f>'Données projet'!D92</f>
        <v>31.993589743589741</v>
      </c>
      <c r="C89" s="191">
        <v>50</v>
      </c>
      <c r="D89" s="179">
        <f t="shared" si="6"/>
        <v>1599.6794871794871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75</v>
      </c>
      <c r="B90" s="181">
        <f>'Données projet'!D93</f>
        <v>30.916666666666664</v>
      </c>
      <c r="C90" s="191">
        <v>50</v>
      </c>
      <c r="D90" s="179">
        <f t="shared" si="6"/>
        <v>1545.8333333333333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84</v>
      </c>
      <c r="B91" s="181">
        <f>'Données projet'!D94</f>
        <v>35.083333333333329</v>
      </c>
      <c r="C91" s="191">
        <v>100</v>
      </c>
      <c r="D91" s="179">
        <f t="shared" si="6"/>
        <v>3508.333333333333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93</v>
      </c>
      <c r="B92" s="181">
        <f>'Données projet'!D95</f>
        <v>30.083333333333332</v>
      </c>
      <c r="C92" s="191">
        <v>100</v>
      </c>
      <c r="D92" s="179">
        <f t="shared" si="6"/>
        <v>3008.333333333333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103</v>
      </c>
      <c r="B93" s="181">
        <f>'Données projet'!D96</f>
        <v>39.512820512820511</v>
      </c>
      <c r="C93" s="191">
        <v>150</v>
      </c>
      <c r="D93" s="179">
        <f t="shared" si="6"/>
        <v>5926.9230769230762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113</v>
      </c>
      <c r="B94" s="181">
        <f>'Données projet'!D97</f>
        <v>31.602564102564099</v>
      </c>
      <c r="C94" s="191">
        <v>150</v>
      </c>
      <c r="D94" s="179">
        <f t="shared" si="6"/>
        <v>4740.3846153846152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125</v>
      </c>
      <c r="B95" s="181">
        <f>'Données projet'!D98</f>
        <v>48.160256410256409</v>
      </c>
      <c r="C95" s="191">
        <v>200</v>
      </c>
      <c r="D95" s="179">
        <f t="shared" si="6"/>
        <v>9632.0512820512813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137</v>
      </c>
      <c r="B96" s="181">
        <f>'Données projet'!D99</f>
        <v>51.160256410256409</v>
      </c>
      <c r="C96" s="191">
        <v>200</v>
      </c>
      <c r="D96" s="179">
        <f t="shared" si="6"/>
        <v>10232.051282051281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149</v>
      </c>
      <c r="B97" s="181">
        <f>'Données projet'!D100</f>
        <v>120.50641025641026</v>
      </c>
      <c r="C97" s="191">
        <v>200</v>
      </c>
      <c r="D97" s="179">
        <f t="shared" si="6"/>
        <v>24101.282051282051</v>
      </c>
      <c r="E97" s="193">
        <v>150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153</v>
      </c>
      <c r="B98" s="181">
        <f>'Données projet'!D101</f>
        <v>70.115384615384613</v>
      </c>
      <c r="C98" s="191">
        <v>200</v>
      </c>
      <c r="D98" s="179">
        <f t="shared" si="6"/>
        <v>14023.076923076922</v>
      </c>
      <c r="E98" s="193">
        <v>150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157</v>
      </c>
      <c r="B99" s="181">
        <f>'Données projet'!D102</f>
        <v>45.71153846153846</v>
      </c>
      <c r="C99" s="191">
        <v>200</v>
      </c>
      <c r="D99" s="179">
        <f t="shared" si="6"/>
        <v>9142.3076923076915</v>
      </c>
      <c r="E99" s="193">
        <v>150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161</v>
      </c>
      <c r="B100" s="181">
        <f>'Données projet'!D103</f>
        <v>91.365384615384613</v>
      </c>
      <c r="C100" s="191">
        <v>200</v>
      </c>
      <c r="D100" s="179">
        <f t="shared" si="6"/>
        <v>18273.076923076922</v>
      </c>
      <c r="E100" s="193">
        <v>150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>
        <v>150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>
        <v>150</v>
      </c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>
        <v>150</v>
      </c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>
        <v>0</v>
      </c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22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47</v>
      </c>
      <c r="B109" s="48" t="s">
        <v>309</v>
      </c>
      <c r="C109" s="48" t="s">
        <v>310</v>
      </c>
      <c r="D109" s="36" t="s">
        <v>311</v>
      </c>
      <c r="E109" s="36" t="s">
        <v>312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194</v>
      </c>
      <c r="C110" s="198" t="s">
        <v>194</v>
      </c>
      <c r="D110" s="197" t="s">
        <v>194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194</v>
      </c>
      <c r="C111" s="198" t="s">
        <v>194</v>
      </c>
      <c r="D111" s="197" t="s">
        <v>194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194</v>
      </c>
      <c r="C112" s="198" t="s">
        <v>194</v>
      </c>
      <c r="D112" s="197" t="s">
        <v>194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194</v>
      </c>
      <c r="C113" s="198" t="s">
        <v>194</v>
      </c>
      <c r="D113" s="197" t="s">
        <v>194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194</v>
      </c>
      <c r="C114" s="198" t="s">
        <v>194</v>
      </c>
      <c r="D114" s="197" t="s">
        <v>194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194</v>
      </c>
      <c r="C115" s="198" t="s">
        <v>194</v>
      </c>
      <c r="D115" s="197" t="s">
        <v>194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23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47</v>
      </c>
      <c r="B140" s="48" t="s">
        <v>309</v>
      </c>
      <c r="C140" s="48" t="s">
        <v>310</v>
      </c>
      <c r="D140" s="36" t="s">
        <v>311</v>
      </c>
      <c r="E140" s="36" t="s">
        <v>312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194</v>
      </c>
      <c r="C141" s="198" t="s">
        <v>194</v>
      </c>
      <c r="D141" s="197" t="s">
        <v>194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194</v>
      </c>
      <c r="C142" s="198" t="s">
        <v>194</v>
      </c>
      <c r="D142" s="197" t="s">
        <v>194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194</v>
      </c>
      <c r="C143" s="198" t="s">
        <v>194</v>
      </c>
      <c r="D143" s="197" t="s">
        <v>194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194</v>
      </c>
      <c r="C144" s="198" t="s">
        <v>194</v>
      </c>
      <c r="D144" s="197" t="s">
        <v>194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194</v>
      </c>
      <c r="C145" s="198" t="s">
        <v>194</v>
      </c>
      <c r="D145" s="197" t="s">
        <v>194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194</v>
      </c>
      <c r="C146" s="198" t="s">
        <v>194</v>
      </c>
      <c r="D146" s="197" t="s">
        <v>194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24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47</v>
      </c>
      <c r="B171" s="48" t="s">
        <v>309</v>
      </c>
      <c r="C171" s="48" t="s">
        <v>310</v>
      </c>
      <c r="D171" s="36" t="s">
        <v>311</v>
      </c>
      <c r="E171" s="36" t="s">
        <v>312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194</v>
      </c>
      <c r="C172" s="198" t="s">
        <v>194</v>
      </c>
      <c r="D172" s="197" t="s">
        <v>194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194</v>
      </c>
      <c r="C173" s="198" t="s">
        <v>194</v>
      </c>
      <c r="D173" s="197" t="s">
        <v>194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194</v>
      </c>
      <c r="C174" s="198" t="s">
        <v>194</v>
      </c>
      <c r="D174" s="197" t="s">
        <v>194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194</v>
      </c>
      <c r="C175" s="198" t="s">
        <v>194</v>
      </c>
      <c r="D175" s="197" t="s">
        <v>194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194</v>
      </c>
      <c r="C176" s="198" t="s">
        <v>194</v>
      </c>
      <c r="D176" s="197" t="s">
        <v>194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194</v>
      </c>
      <c r="C177" s="198" t="s">
        <v>194</v>
      </c>
      <c r="D177" s="197" t="s">
        <v>194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25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47</v>
      </c>
      <c r="B202" s="48" t="s">
        <v>309</v>
      </c>
      <c r="C202" s="48" t="s">
        <v>310</v>
      </c>
      <c r="D202" s="36" t="s">
        <v>311</v>
      </c>
      <c r="E202" s="36" t="s">
        <v>312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194</v>
      </c>
      <c r="C203" s="198" t="s">
        <v>194</v>
      </c>
      <c r="D203" s="197" t="s">
        <v>194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194</v>
      </c>
      <c r="C204" s="198" t="s">
        <v>194</v>
      </c>
      <c r="D204" s="197" t="s">
        <v>194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194</v>
      </c>
      <c r="C205" s="198" t="s">
        <v>194</v>
      </c>
      <c r="D205" s="197" t="s">
        <v>194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194</v>
      </c>
      <c r="C206" s="198" t="s">
        <v>194</v>
      </c>
      <c r="D206" s="197" t="s">
        <v>194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194</v>
      </c>
      <c r="C207" s="198" t="s">
        <v>194</v>
      </c>
      <c r="D207" s="197" t="s">
        <v>194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194</v>
      </c>
      <c r="C208" s="198" t="s">
        <v>194</v>
      </c>
      <c r="D208" s="197" t="s">
        <v>194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26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47</v>
      </c>
      <c r="B233" s="48" t="s">
        <v>309</v>
      </c>
      <c r="C233" s="48" t="s">
        <v>310</v>
      </c>
      <c r="D233" s="36" t="s">
        <v>311</v>
      </c>
      <c r="E233" s="36" t="s">
        <v>312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194</v>
      </c>
      <c r="C234" s="198" t="s">
        <v>194</v>
      </c>
      <c r="D234" s="197" t="s">
        <v>194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194</v>
      </c>
      <c r="C235" s="198" t="s">
        <v>194</v>
      </c>
      <c r="D235" s="197" t="s">
        <v>194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194</v>
      </c>
      <c r="C236" s="198" t="s">
        <v>194</v>
      </c>
      <c r="D236" s="197" t="s">
        <v>194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194</v>
      </c>
      <c r="C237" s="198" t="s">
        <v>194</v>
      </c>
      <c r="D237" s="197" t="s">
        <v>194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194</v>
      </c>
      <c r="C238" s="198" t="s">
        <v>194</v>
      </c>
      <c r="D238" s="197" t="s">
        <v>194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194</v>
      </c>
      <c r="C239" s="198" t="s">
        <v>194</v>
      </c>
      <c r="D239" s="197" t="s">
        <v>194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27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47</v>
      </c>
      <c r="B264" s="48" t="s">
        <v>309</v>
      </c>
      <c r="C264" s="48" t="s">
        <v>310</v>
      </c>
      <c r="D264" s="36" t="s">
        <v>311</v>
      </c>
      <c r="E264" s="36" t="s">
        <v>312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194</v>
      </c>
      <c r="C265" s="198" t="s">
        <v>194</v>
      </c>
      <c r="D265" s="197" t="s">
        <v>194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194</v>
      </c>
      <c r="C266" s="198" t="s">
        <v>194</v>
      </c>
      <c r="D266" s="197" t="s">
        <v>194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194</v>
      </c>
      <c r="C267" s="198" t="s">
        <v>194</v>
      </c>
      <c r="D267" s="197" t="s">
        <v>194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194</v>
      </c>
      <c r="C268" s="198" t="s">
        <v>194</v>
      </c>
      <c r="D268" s="197" t="s">
        <v>194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194</v>
      </c>
      <c r="C269" s="198" t="s">
        <v>194</v>
      </c>
      <c r="D269" s="197" t="s">
        <v>194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194</v>
      </c>
      <c r="C270" s="198" t="s">
        <v>194</v>
      </c>
      <c r="D270" s="197" t="s">
        <v>194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28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47</v>
      </c>
      <c r="B295" s="48" t="s">
        <v>309</v>
      </c>
      <c r="C295" s="48" t="s">
        <v>310</v>
      </c>
      <c r="D295" s="36" t="s">
        <v>311</v>
      </c>
      <c r="E295" s="36" t="s">
        <v>312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194</v>
      </c>
      <c r="C296" s="198" t="s">
        <v>194</v>
      </c>
      <c r="D296" s="197" t="s">
        <v>194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194</v>
      </c>
      <c r="C297" s="198" t="s">
        <v>194</v>
      </c>
      <c r="D297" s="197" t="s">
        <v>194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194</v>
      </c>
      <c r="C298" s="198" t="s">
        <v>194</v>
      </c>
      <c r="D298" s="197" t="s">
        <v>194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194</v>
      </c>
      <c r="C299" s="198" t="s">
        <v>194</v>
      </c>
      <c r="D299" s="197" t="s">
        <v>194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194</v>
      </c>
      <c r="C300" s="198" t="s">
        <v>194</v>
      </c>
      <c r="D300" s="197" t="s">
        <v>194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194</v>
      </c>
      <c r="C301" s="198" t="s">
        <v>194</v>
      </c>
      <c r="D301" s="197" t="s">
        <v>194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ée un document." ma:contentTypeScope="" ma:versionID="1f5efd74e6064ee3f625336d6e590db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a1bf04212b68656168e2b27f1439148b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9360AE-2DF9-4A91-8AD6-7D879C061761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9E0386D0-DDDC-40D1-A3B3-A75065CAB1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6D2263-FD4D-4AA5-B492-41DBE447D9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Mazeau guillaume</cp:lastModifiedBy>
  <cp:revision/>
  <dcterms:created xsi:type="dcterms:W3CDTF">2021-02-01T08:22:39Z</dcterms:created>
  <dcterms:modified xsi:type="dcterms:W3CDTF">2024-07-02T13:08:50Z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0x010100B17917BD1DD3FD43A53AD9CE171726C7</vt:lpwstr>
  </property>
</Properties>
</file>