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Milhe &amp; Avons\34 - Les Rives\Dossier labellisation\"/>
    </mc:Choice>
  </mc:AlternateContent>
  <bookViews>
    <workbookView xWindow="0" yWindow="0" windowWidth="20490" windowHeight="715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  <c r="B53" i="1"/>
  <c r="B52" i="1"/>
  <c r="B54" i="1"/>
  <c r="D52" i="1"/>
  <c r="B51" i="1"/>
  <c r="B50" i="1"/>
  <c r="D49" i="1"/>
  <c r="B49" i="1"/>
  <c r="B48" i="1"/>
  <c r="D47" i="1"/>
  <c r="B47" i="1"/>
  <c r="B46" i="1"/>
  <c r="D44" i="1"/>
  <c r="B45" i="1"/>
  <c r="B44" i="1"/>
  <c r="B43" i="1"/>
  <c r="D41" i="1"/>
  <c r="B42" i="1"/>
  <c r="B41" i="1"/>
  <c r="B40" i="1"/>
  <c r="B39" i="1"/>
  <c r="B38" i="1"/>
  <c r="B37" i="1"/>
  <c r="B36" i="1"/>
  <c r="D102" i="1"/>
  <c r="B101" i="1"/>
  <c r="D100" i="1"/>
  <c r="B100" i="1"/>
  <c r="B99" i="1"/>
  <c r="D98" i="1"/>
  <c r="B98" i="1"/>
  <c r="B97" i="1"/>
  <c r="D96" i="1"/>
  <c r="B96" i="1"/>
  <c r="B95" i="1"/>
  <c r="D94" i="1"/>
  <c r="B94" i="1"/>
  <c r="B93" i="1"/>
  <c r="D92" i="1"/>
  <c r="B92" i="1"/>
  <c r="B91" i="1"/>
  <c r="B90" i="1"/>
  <c r="B89" i="1"/>
  <c r="B88" i="1"/>
  <c r="B153" i="1"/>
  <c r="D152" i="1"/>
  <c r="B152" i="1"/>
  <c r="B151" i="1"/>
  <c r="D146" i="1"/>
  <c r="B146" i="1"/>
  <c r="B145" i="1"/>
  <c r="D144" i="1"/>
  <c r="B144" i="1"/>
  <c r="B143" i="1"/>
  <c r="D142" i="1"/>
  <c r="B142" i="1"/>
  <c r="B141" i="1"/>
  <c r="B140" i="1"/>
  <c r="D133" i="1"/>
  <c r="B133" i="1"/>
  <c r="D132" i="1"/>
  <c r="B132" i="1"/>
  <c r="D131" i="1"/>
  <c r="B131" i="1"/>
  <c r="D130" i="1"/>
  <c r="B130" i="1"/>
  <c r="B129" i="1"/>
  <c r="D128" i="1"/>
  <c r="B128" i="1"/>
  <c r="B127" i="1"/>
  <c r="D126" i="1"/>
  <c r="B126" i="1"/>
  <c r="B125" i="1"/>
  <c r="D124" i="1"/>
  <c r="B124" i="1"/>
  <c r="B123" i="1"/>
  <c r="D122" i="1"/>
  <c r="B122" i="1"/>
  <c r="B121" i="1"/>
  <c r="D120" i="1"/>
  <c r="B120" i="1"/>
  <c r="B119" i="1"/>
  <c r="D118" i="1"/>
  <c r="B118" i="1"/>
  <c r="B117" i="1"/>
  <c r="D116" i="1"/>
  <c r="B116" i="1"/>
  <c r="B115" i="1"/>
  <c r="B114" i="1"/>
  <c r="D6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EA4" i="2"/>
  <c r="FR4" i="2"/>
  <c r="FQ4" i="2"/>
  <c r="B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V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W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FS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EB35" i="2"/>
  <c r="CM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C113" i="2"/>
  <c r="FS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Q118" i="2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C140" i="2"/>
  <c r="FS140" i="2"/>
  <c r="FR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FR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FR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AC154" i="2"/>
  <c r="DI154" i="2"/>
  <c r="EY154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B156" i="2" l="1"/>
  <c r="EY155" i="2"/>
  <c r="FS156" i="2"/>
  <c r="EX156" i="2"/>
  <c r="ED155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CN156" i="2"/>
  <c r="EX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DG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D160" i="2"/>
  <c r="FS161" i="2"/>
  <c r="EX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DI161" i="2"/>
  <c r="EW162" i="2"/>
  <c r="EY161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Y162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A164" i="2"/>
  <c r="EY163" i="2"/>
  <c r="EV164" i="2"/>
  <c r="EX164" i="2"/>
  <c r="FR164" i="2"/>
  <c r="FS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Y166" i="2"/>
  <c r="FR167" i="2"/>
  <c r="EX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I167" i="2"/>
  <c r="EB168" i="2"/>
  <c r="EV168" i="2"/>
  <c r="EW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EA172" i="2"/>
  <c r="EV172" i="2"/>
  <c r="EY171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W178" i="2"/>
  <c r="FQ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A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FS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B183" i="2"/>
  <c r="EY182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V185" i="2"/>
  <c r="ED184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ED185" i="2"/>
  <c r="EW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EY186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B190" i="2"/>
  <c r="EY189" i="2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A192" i="2"/>
  <c r="EY191" i="2"/>
  <c r="EV192" i="2"/>
  <c r="EW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EA193" i="2"/>
  <c r="EY192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D193" i="2"/>
  <c r="EB194" i="2"/>
  <c r="EA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B195" i="2"/>
  <c r="EA195" i="2"/>
  <c r="EY194" i="2"/>
  <c r="FQ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W197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Y198" i="2"/>
  <c r="EV199" i="2"/>
  <c r="EW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Y200" i="2"/>
  <c r="FS201" i="2"/>
  <c r="ED200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D201" i="2"/>
  <c r="EY201" i="2"/>
  <c r="EW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4" i="2" a="1"/>
  <c r="FD64" i="2" s="1"/>
  <c r="FD167" i="2" a="1"/>
  <c r="FD167" i="2" s="1"/>
  <c r="FD160" i="2" a="1"/>
  <c r="FD160" i="2" s="1"/>
  <c r="FD19" i="2" a="1"/>
  <c r="FD19" i="2" s="1"/>
  <c r="FD187" i="2" a="1"/>
  <c r="FD187" i="2" s="1"/>
  <c r="BC55" i="2" a="1"/>
  <c r="BC55" i="2" s="1"/>
  <c r="BC32" i="2" a="1"/>
  <c r="BC32" i="2" s="1"/>
  <c r="BC31" i="2" a="1"/>
  <c r="BC31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CS56" i="2" a="1"/>
  <c r="CS56" i="2" s="1"/>
  <c r="DN6" i="2" a="1"/>
  <c r="DN6" i="2" s="1"/>
  <c r="DO6" i="2" s="1"/>
  <c r="FD82" i="2" a="1"/>
  <c r="FD82" i="2" s="1"/>
  <c r="HJ202" i="2"/>
  <c r="AX200" i="2"/>
  <c r="DN30" i="2" l="1" a="1"/>
  <c r="DN30" i="2" s="1"/>
  <c r="DN55" i="2" a="1"/>
  <c r="DN55" i="2" s="1"/>
  <c r="DN135" i="2" a="1"/>
  <c r="DN135" i="2" s="1"/>
  <c r="DN150" i="2" a="1"/>
  <c r="DN150" i="2" s="1"/>
  <c r="DN170" i="2" a="1"/>
  <c r="DN170" i="2" s="1"/>
  <c r="DN41" i="2" a="1"/>
  <c r="DN41" i="2" s="1"/>
  <c r="DN38" i="2" a="1"/>
  <c r="DN38" i="2" s="1"/>
  <c r="DN132" i="2" a="1"/>
  <c r="DN132" i="2" s="1"/>
  <c r="DN70" i="2" a="1"/>
  <c r="DN70" i="2" s="1"/>
  <c r="DN164" i="2" a="1"/>
  <c r="DN164" i="2" s="1"/>
  <c r="DN123" i="2" a="1"/>
  <c r="DN123" i="2" s="1"/>
  <c r="DN153" i="2" a="1"/>
  <c r="DN153" i="2" s="1"/>
  <c r="DN29" i="2" a="1"/>
  <c r="DN29" i="2" s="1"/>
  <c r="DN110" i="2" a="1"/>
  <c r="DN110" i="2" s="1"/>
  <c r="DN43" i="2" a="1"/>
  <c r="DN43" i="2" s="1"/>
  <c r="DN31" i="2" a="1"/>
  <c r="DN31" i="2" s="1"/>
  <c r="DN66" i="2" a="1"/>
  <c r="DN66" i="2" s="1"/>
  <c r="DN50" i="2" a="1"/>
  <c r="DN50" i="2" s="1"/>
  <c r="DN186" i="2" a="1"/>
  <c r="DN186" i="2" s="1"/>
  <c r="DN129" i="2" a="1"/>
  <c r="DN129" i="2" s="1"/>
  <c r="DN80" i="2" a="1"/>
  <c r="DN80" i="2" s="1"/>
  <c r="DN63" i="2" a="1"/>
  <c r="DN63" i="2" s="1"/>
  <c r="DN188" i="2" a="1"/>
  <c r="DN188" i="2" s="1"/>
  <c r="DN113" i="2" a="1"/>
  <c r="DN113" i="2" s="1"/>
  <c r="DN137" i="2" a="1"/>
  <c r="DN137" i="2" s="1"/>
  <c r="DN56" i="2" a="1"/>
  <c r="DN56" i="2" s="1"/>
  <c r="DN167" i="2" a="1"/>
  <c r="DN167" i="2" s="1"/>
  <c r="DN190" i="2" a="1"/>
  <c r="DN190" i="2" s="1"/>
  <c r="DN16" i="2" a="1"/>
  <c r="DN16" i="2" s="1"/>
  <c r="DN168" i="2" a="1"/>
  <c r="DN168" i="2" s="1"/>
  <c r="DN86" i="2" a="1"/>
  <c r="DN86" i="2" s="1"/>
  <c r="DN25" i="2" a="1"/>
  <c r="DN25" i="2" s="1"/>
  <c r="DN124" i="2" a="1"/>
  <c r="DN124" i="2" s="1"/>
  <c r="DN192" i="2" a="1"/>
  <c r="DN192" i="2" s="1"/>
  <c r="DN187" i="2" a="1"/>
  <c r="DN187" i="2" s="1"/>
  <c r="DN133" i="2" a="1"/>
  <c r="DN133" i="2" s="1"/>
  <c r="DN162" i="2" a="1"/>
  <c r="DN162" i="2" s="1"/>
  <c r="DN114" i="2" a="1"/>
  <c r="DN114" i="2" s="1"/>
  <c r="DN177" i="2" a="1"/>
  <c r="DN177" i="2" s="1"/>
  <c r="DN184" i="2" a="1"/>
  <c r="DN184" i="2" s="1"/>
  <c r="DN155" i="2" a="1"/>
  <c r="DN155" i="2" s="1"/>
  <c r="DN46" i="2" a="1"/>
  <c r="DN46" i="2" s="1"/>
  <c r="DN176" i="2" a="1"/>
  <c r="DN176" i="2" s="1"/>
  <c r="DN45" i="2" a="1"/>
  <c r="DN45" i="2" s="1"/>
  <c r="DN65" i="2" a="1"/>
  <c r="DN65" i="2" s="1"/>
  <c r="DN49" i="2" a="1"/>
  <c r="DN49" i="2" s="1"/>
  <c r="DN103" i="2" a="1"/>
  <c r="DN103" i="2" s="1"/>
  <c r="DN115" i="2" a="1"/>
  <c r="DN115" i="2" s="1"/>
  <c r="DN152" i="2" a="1"/>
  <c r="DN152" i="2" s="1"/>
  <c r="BX107" i="2" a="1"/>
  <c r="BX107" i="2" s="1"/>
  <c r="AH62" i="2" a="1"/>
  <c r="AH62" i="2" s="1"/>
  <c r="AH19" i="2" a="1"/>
  <c r="AH19" i="2" s="1"/>
  <c r="AH166" i="2" a="1"/>
  <c r="AH166" i="2" s="1"/>
  <c r="AH90" i="2" a="1"/>
  <c r="AH90" i="2" s="1"/>
  <c r="FD159" i="2" a="1"/>
  <c r="FD159" i="2" s="1"/>
  <c r="FD107" i="2" a="1"/>
  <c r="FD107" i="2" s="1"/>
  <c r="FD194" i="2" a="1"/>
  <c r="FD194" i="2" s="1"/>
  <c r="FD14" i="2" a="1"/>
  <c r="FD14" i="2" s="1"/>
  <c r="FD44" i="2" a="1"/>
  <c r="FD44" i="2" s="1"/>
  <c r="FD137" i="2" a="1"/>
  <c r="FD137" i="2" s="1"/>
  <c r="FD131" i="2" a="1"/>
  <c r="FD131" i="2" s="1"/>
  <c r="FD188" i="2" a="1"/>
  <c r="FD188" i="2" s="1"/>
  <c r="FD189" i="2" a="1"/>
  <c r="FD189" i="2" s="1"/>
  <c r="FD60" i="2" a="1"/>
  <c r="FD60" i="2" s="1"/>
  <c r="FD43" i="2" a="1"/>
  <c r="FD43" i="2" s="1"/>
  <c r="FD48" i="2" a="1"/>
  <c r="FD48" i="2" s="1"/>
  <c r="FD59" i="2" a="1"/>
  <c r="FD59" i="2" s="1"/>
  <c r="FD21" i="2" a="1"/>
  <c r="FD21" i="2" s="1"/>
  <c r="FD144" i="2" a="1"/>
  <c r="FD144" i="2" s="1"/>
  <c r="FS203" i="2"/>
  <c r="FR203" i="2"/>
  <c r="BC181" i="2" a="1"/>
  <c r="BC181" i="2" s="1"/>
  <c r="BC185" i="2" a="1"/>
  <c r="BC185" i="2" s="1"/>
  <c r="BC143" i="2" a="1"/>
  <c r="BC143" i="2" s="1"/>
  <c r="BC84" i="2" a="1"/>
  <c r="BC84" i="2" s="1"/>
  <c r="BC114" i="2" a="1"/>
  <c r="BC114" i="2" s="1"/>
  <c r="BC47" i="2" a="1"/>
  <c r="BC47" i="2" s="1"/>
  <c r="BC164" i="2" a="1"/>
  <c r="BC164" i="2" s="1"/>
  <c r="BC192" i="2" a="1"/>
  <c r="BC192" i="2" s="1"/>
  <c r="BC130" i="2" a="1"/>
  <c r="BC130" i="2" s="1"/>
  <c r="CS72" i="2" a="1"/>
  <c r="CS72" i="2" s="1"/>
  <c r="CS161" i="2" a="1"/>
  <c r="CS161" i="2" s="1"/>
  <c r="CS114" i="2" a="1"/>
  <c r="CS114" i="2" s="1"/>
  <c r="CS134" i="2" a="1"/>
  <c r="CS134" i="2" s="1"/>
  <c r="CS105" i="2" a="1"/>
  <c r="CS105" i="2" s="1"/>
  <c r="CS137" i="2" a="1"/>
  <c r="CS137" i="2" s="1"/>
  <c r="CS120" i="2" a="1"/>
  <c r="CS120" i="2" s="1"/>
  <c r="CS24" i="2" a="1"/>
  <c r="CS24" i="2" s="1"/>
  <c r="CS185" i="2" a="1"/>
  <c r="CS185" i="2" s="1"/>
  <c r="CS66" i="2" a="1"/>
  <c r="CS66" i="2" s="1"/>
  <c r="CS116" i="2" a="1"/>
  <c r="CS116" i="2" s="1"/>
  <c r="CS77" i="2" a="1"/>
  <c r="CS77" i="2" s="1"/>
  <c r="CS38" i="2" a="1"/>
  <c r="CS38" i="2" s="1"/>
  <c r="CS52" i="2" a="1"/>
  <c r="CS52" i="2" s="1"/>
  <c r="CS129" i="2" a="1"/>
  <c r="CS129" i="2" s="1"/>
  <c r="BC126" i="2" a="1"/>
  <c r="BC126" i="2" s="1"/>
  <c r="BC68" i="2" a="1"/>
  <c r="BC68" i="2" s="1"/>
  <c r="BC82" i="2" a="1"/>
  <c r="BC82" i="2" s="1"/>
  <c r="BC58" i="2" a="1"/>
  <c r="BC58" i="2" s="1"/>
  <c r="BC34" i="2" a="1"/>
  <c r="BC34" i="2" s="1"/>
  <c r="BC65" i="2" a="1"/>
  <c r="BC65" i="2" s="1"/>
  <c r="EI165" i="2" a="1"/>
  <c r="EI165" i="2" s="1"/>
  <c r="EI34" i="2" a="1"/>
  <c r="EI34" i="2" s="1"/>
  <c r="EI106" i="2" a="1"/>
  <c r="EI106" i="2" s="1"/>
  <c r="EI153" i="2" a="1"/>
  <c r="EI153" i="2" s="1"/>
  <c r="EI35" i="2" a="1"/>
  <c r="EI35" i="2" s="1"/>
  <c r="EI139" i="2" a="1"/>
  <c r="EI139" i="2" s="1"/>
  <c r="EI170" i="2" a="1"/>
  <c r="EI170" i="2" s="1"/>
  <c r="EI37" i="2" a="1"/>
  <c r="EI37" i="2" s="1"/>
  <c r="EI20" i="2" a="1"/>
  <c r="EI20" i="2" s="1"/>
  <c r="EI38" i="2" a="1"/>
  <c r="EI38" i="2" s="1"/>
  <c r="EI195" i="2" a="1"/>
  <c r="EI195" i="2" s="1"/>
  <c r="EI29" i="2" a="1"/>
  <c r="EI29" i="2" s="1"/>
  <c r="EI67" i="2" a="1"/>
  <c r="EI67" i="2" s="1"/>
  <c r="EI71" i="2" a="1"/>
  <c r="EI71" i="2" s="1"/>
  <c r="EI142" i="2" a="1"/>
  <c r="EI142" i="2" s="1"/>
  <c r="EI166" i="2" a="1"/>
  <c r="EI166" i="2" s="1"/>
  <c r="EI178" i="2" a="1"/>
  <c r="EI178" i="2" s="1"/>
  <c r="EI16" i="2" a="1"/>
  <c r="EI16" i="2" s="1"/>
  <c r="EI36" i="2" a="1"/>
  <c r="EI36" i="2" s="1"/>
  <c r="EI145" i="2" a="1"/>
  <c r="EI145" i="2" s="1"/>
  <c r="EI57" i="2" a="1"/>
  <c r="EI57" i="2" s="1"/>
  <c r="EI113" i="2" a="1"/>
  <c r="EI113" i="2" s="1"/>
  <c r="EI87" i="2" a="1"/>
  <c r="EI87" i="2" s="1"/>
  <c r="EI162" i="2" a="1"/>
  <c r="EI162" i="2" s="1"/>
  <c r="EI198" i="2" a="1"/>
  <c r="EI198" i="2" s="1"/>
  <c r="EI128" i="2" a="1"/>
  <c r="EI128" i="2" s="1"/>
  <c r="EI109" i="2" a="1"/>
  <c r="EI109" i="2" s="1"/>
  <c r="EI150" i="2" a="1"/>
  <c r="EI150" i="2" s="1"/>
  <c r="EY202" i="2"/>
  <c r="AH151" i="2" a="1"/>
  <c r="AH151" i="2" s="1"/>
  <c r="AH199" i="2" a="1"/>
  <c r="AH199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T203" i="2"/>
  <c r="DI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J66" i="2" l="1"/>
  <c r="FJ115" i="2"/>
  <c r="FJ50" i="2"/>
  <c r="FJ7" i="2"/>
  <c r="FJ16" i="2"/>
  <c r="FJ178" i="2"/>
  <c r="FJ133" i="2"/>
  <c r="FJ94" i="2"/>
  <c r="FJ167" i="2"/>
  <c r="FJ51" i="2"/>
  <c r="FJ168" i="2"/>
  <c r="FJ22" i="2"/>
  <c r="FJ54" i="2"/>
  <c r="FJ11" i="2"/>
  <c r="FJ162" i="2"/>
  <c r="FJ68" i="2"/>
  <c r="FJ125" i="2"/>
  <c r="FJ95" i="2"/>
  <c r="FJ63" i="2"/>
  <c r="FJ79" i="2"/>
  <c r="FJ77" i="2"/>
  <c r="FJ32" i="2"/>
  <c r="FJ189" i="2"/>
  <c r="FJ197" i="2"/>
  <c r="FJ155" i="2"/>
  <c r="FJ102" i="2"/>
  <c r="FJ136" i="2"/>
  <c r="FJ141" i="2"/>
  <c r="FJ91" i="2"/>
  <c r="FJ9" i="2"/>
  <c r="FJ58" i="2"/>
  <c r="FJ185" i="2"/>
  <c r="FJ93" i="2"/>
  <c r="FJ52" i="2"/>
  <c r="FJ166" i="2"/>
  <c r="FJ44" i="2"/>
  <c r="FJ176" i="2"/>
  <c r="FJ145" i="2"/>
  <c r="FJ123" i="2"/>
  <c r="FJ72" i="2"/>
  <c r="FJ114" i="2"/>
  <c r="FJ101" i="2"/>
  <c r="FJ202" i="2"/>
  <c r="FJ42" i="2"/>
  <c r="FJ35" i="2"/>
  <c r="FJ111" i="2"/>
  <c r="FJ118" i="2"/>
  <c r="FJ193" i="2"/>
  <c r="FJ139" i="2"/>
  <c r="FJ192" i="2"/>
  <c r="FJ149" i="2"/>
  <c r="FJ172" i="2"/>
  <c r="FJ100" i="2"/>
  <c r="FJ161" i="2"/>
  <c r="FJ55" i="2"/>
  <c r="FJ119" i="2"/>
  <c r="FJ49" i="2"/>
  <c r="FJ199" i="2"/>
  <c r="FJ34" i="2"/>
  <c r="FJ76" i="2"/>
  <c r="FJ156" i="2"/>
  <c r="FJ46" i="2"/>
  <c r="FJ41" i="2"/>
  <c r="FJ144" i="2"/>
  <c r="FJ180" i="2"/>
  <c r="FJ86" i="2"/>
  <c r="FJ110" i="2"/>
  <c r="FJ40" i="2"/>
  <c r="FJ124" i="2"/>
  <c r="FJ61" i="2"/>
  <c r="FJ85" i="2"/>
  <c r="FJ18" i="2"/>
  <c r="FJ122" i="2"/>
  <c r="FJ137" i="2"/>
  <c r="FJ78" i="2"/>
  <c r="FJ92" i="2"/>
  <c r="FJ25" i="2"/>
  <c r="FJ135" i="2"/>
  <c r="FJ83" i="2"/>
  <c r="FJ98" i="2"/>
  <c r="FJ108" i="2"/>
  <c r="FJ200" i="2"/>
  <c r="FJ109" i="2"/>
  <c r="FJ158" i="2"/>
  <c r="FJ116" i="2"/>
  <c r="FJ36" i="2"/>
  <c r="FJ73" i="2"/>
  <c r="FJ164" i="2"/>
  <c r="FJ90" i="2"/>
  <c r="FJ89" i="2"/>
  <c r="FJ151" i="2"/>
  <c r="FJ198" i="2"/>
  <c r="FJ175" i="2"/>
  <c r="FJ59" i="2"/>
  <c r="FJ104" i="2"/>
  <c r="FJ126" i="2"/>
  <c r="FJ4" i="2"/>
  <c r="FJ5" i="2"/>
  <c r="FJ27" i="2"/>
  <c r="FJ30" i="2"/>
  <c r="FJ39" i="2"/>
  <c r="FJ153" i="2"/>
  <c r="FJ177" i="2"/>
  <c r="FJ47" i="2"/>
  <c r="FJ62" i="2"/>
  <c r="FJ184" i="2"/>
  <c r="FJ88" i="2"/>
  <c r="FJ134" i="2"/>
  <c r="FJ82" i="2"/>
  <c r="FJ10" i="2"/>
  <c r="FJ106" i="2"/>
  <c r="FJ179" i="2"/>
  <c r="FJ23" i="2"/>
  <c r="FJ24" i="2"/>
  <c r="FJ154" i="2"/>
  <c r="FJ70" i="2"/>
  <c r="FJ38" i="2"/>
  <c r="FJ21" i="2"/>
  <c r="FJ150" i="2"/>
  <c r="FJ64" i="2"/>
  <c r="FJ190" i="2"/>
  <c r="FJ99" i="2"/>
  <c r="FJ187" i="2"/>
  <c r="FJ31" i="2"/>
  <c r="FJ128" i="2"/>
  <c r="FJ8" i="2"/>
  <c r="FJ147" i="2"/>
  <c r="FJ146" i="2"/>
  <c r="FJ28" i="2"/>
  <c r="FJ152" i="2"/>
  <c r="FJ173" i="2"/>
  <c r="FJ15" i="2"/>
  <c r="FJ131" i="2"/>
  <c r="FJ182" i="2"/>
  <c r="FJ159" i="2"/>
  <c r="FJ105" i="2"/>
  <c r="FJ186" i="2"/>
  <c r="FJ129" i="2"/>
  <c r="FJ6" i="2"/>
  <c r="FJ71" i="2"/>
  <c r="FJ112" i="2"/>
  <c r="FJ20" i="2"/>
  <c r="FJ12" i="2"/>
  <c r="FJ138" i="2"/>
  <c r="FJ188" i="2"/>
  <c r="FJ157" i="2"/>
  <c r="FJ57" i="2"/>
  <c r="FJ142" i="2"/>
  <c r="FJ120" i="2"/>
  <c r="FJ160" i="2"/>
  <c r="FJ148" i="2"/>
  <c r="FJ69" i="2"/>
  <c r="FJ127" i="2"/>
  <c r="FJ33" i="2"/>
  <c r="FJ97" i="2"/>
  <c r="FJ132" i="2"/>
  <c r="FJ48" i="2"/>
  <c r="FJ80" i="2"/>
  <c r="FJ17" i="2"/>
  <c r="FJ194" i="2"/>
  <c r="FJ3" i="2"/>
  <c r="C13" i="4" s="1"/>
  <c r="E13" i="4" s="1"/>
  <c r="F13" i="4" s="1"/>
  <c r="G13" i="4" s="1"/>
  <c r="L13" i="4" s="1"/>
  <c r="FJ107" i="2"/>
  <c r="FJ84" i="2"/>
  <c r="FJ203" i="2"/>
  <c r="FJ96" i="2"/>
  <c r="FJ53" i="2"/>
  <c r="FJ196" i="2"/>
  <c r="FJ174" i="2"/>
  <c r="FJ113" i="2"/>
  <c r="FJ181" i="2"/>
  <c r="FJ191" i="2"/>
  <c r="FJ14" i="2"/>
  <c r="FJ75" i="2"/>
  <c r="FJ130" i="2"/>
  <c r="FJ201" i="2"/>
  <c r="FJ163" i="2"/>
  <c r="FJ81" i="2"/>
  <c r="FJ165" i="2"/>
  <c r="FJ140" i="2"/>
  <c r="FJ45" i="2"/>
  <c r="FJ26" i="2"/>
  <c r="FJ169" i="2"/>
  <c r="FJ67" i="2"/>
  <c r="FJ117" i="2"/>
  <c r="FJ60" i="2"/>
  <c r="FJ43" i="2"/>
  <c r="FJ29" i="2"/>
  <c r="FJ143" i="2"/>
  <c r="FJ37" i="2"/>
  <c r="FJ195" i="2"/>
  <c r="FJ170" i="2"/>
  <c r="FJ103" i="2"/>
  <c r="FJ19" i="2"/>
  <c r="FJ56" i="2"/>
  <c r="FJ74" i="2"/>
  <c r="FJ13" i="2"/>
  <c r="FJ87" i="2"/>
  <c r="FJ121" i="2"/>
  <c r="FJ183" i="2"/>
  <c r="FJ65" i="2"/>
  <c r="FJ171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D98" i="2" l="1"/>
  <c r="CD33" i="2"/>
  <c r="CD41" i="2"/>
  <c r="CD186" i="2"/>
  <c r="CD61" i="2"/>
  <c r="CD50" i="2"/>
  <c r="CD86" i="2"/>
  <c r="CD63" i="2"/>
  <c r="CD96" i="2"/>
  <c r="CD107" i="2"/>
  <c r="CD102" i="2"/>
  <c r="CD148" i="2"/>
  <c r="CD112" i="2"/>
  <c r="CD119" i="2"/>
  <c r="CD25" i="2"/>
  <c r="CD31" i="2"/>
  <c r="CD3" i="2"/>
  <c r="C9" i="4" s="1"/>
  <c r="E9" i="4" s="1"/>
  <c r="F9" i="4" s="1"/>
  <c r="G9" i="4" s="1"/>
  <c r="L9" i="4" s="1"/>
  <c r="CD37" i="2"/>
  <c r="CD23" i="2"/>
  <c r="CD95" i="2"/>
  <c r="CD109" i="2"/>
  <c r="CD132" i="2"/>
  <c r="CD55" i="2"/>
  <c r="CD20" i="2"/>
  <c r="CD87" i="2"/>
  <c r="CD115" i="2"/>
  <c r="CD118" i="2"/>
  <c r="CD201" i="2"/>
  <c r="CD28" i="2"/>
  <c r="CD60" i="2"/>
  <c r="CD26" i="2"/>
  <c r="CD175" i="2"/>
  <c r="CD89" i="2"/>
  <c r="CD163" i="2"/>
  <c r="CD19" i="2"/>
  <c r="CD138" i="2"/>
  <c r="CD67" i="2"/>
  <c r="CD198" i="2"/>
  <c r="CD104" i="2"/>
  <c r="CD101" i="2"/>
  <c r="CD17" i="2"/>
  <c r="CD191" i="2"/>
  <c r="CD184" i="2"/>
  <c r="CD169" i="2"/>
  <c r="CD125" i="2"/>
  <c r="CD110" i="2"/>
  <c r="CD181" i="2"/>
  <c r="CD32" i="2"/>
  <c r="CD129" i="2"/>
  <c r="CD160" i="2"/>
  <c r="CD7" i="2"/>
  <c r="CD120" i="2"/>
  <c r="CD9" i="2"/>
  <c r="CD114" i="2"/>
  <c r="CD6" i="2"/>
  <c r="CD94" i="2"/>
  <c r="CD68" i="2"/>
  <c r="CD85" i="2"/>
  <c r="CD65" i="2"/>
  <c r="CD152" i="2"/>
  <c r="CD117" i="2"/>
  <c r="CD34" i="2"/>
  <c r="CD194" i="2"/>
  <c r="CD35" i="2"/>
  <c r="CD72" i="2"/>
  <c r="CD197" i="2"/>
  <c r="CD22" i="2"/>
  <c r="CD21" i="2"/>
  <c r="CD183" i="2"/>
  <c r="CD135" i="2"/>
  <c r="CD58" i="2"/>
  <c r="CD126" i="2"/>
  <c r="CD159" i="2"/>
  <c r="CD18" i="2"/>
  <c r="CD39" i="2"/>
  <c r="CD77" i="2"/>
  <c r="CD133" i="2"/>
  <c r="CD167" i="2"/>
  <c r="CD127" i="2"/>
  <c r="CD29" i="2"/>
  <c r="CD69" i="2"/>
  <c r="CD203" i="2"/>
  <c r="CD141" i="2"/>
  <c r="CD121" i="2"/>
  <c r="CD158" i="2"/>
  <c r="CD157" i="2"/>
  <c r="CD11" i="2"/>
  <c r="CD196" i="2"/>
  <c r="CD143" i="2"/>
  <c r="CD16" i="2"/>
  <c r="CD10" i="2"/>
  <c r="CD15" i="2"/>
  <c r="CD193" i="2"/>
  <c r="CD145" i="2"/>
  <c r="CD139" i="2"/>
  <c r="CD84" i="2"/>
  <c r="CD172" i="2"/>
  <c r="CD165" i="2"/>
  <c r="CD195" i="2"/>
  <c r="CD149" i="2"/>
  <c r="CD54" i="2"/>
  <c r="CD188" i="2"/>
  <c r="CD180" i="2"/>
  <c r="CD123" i="2"/>
  <c r="CD122" i="2"/>
  <c r="CD59" i="2"/>
  <c r="CD5" i="2"/>
  <c r="CD105" i="2"/>
  <c r="CD170" i="2"/>
  <c r="CD71" i="2"/>
  <c r="CD154" i="2"/>
  <c r="CD12" i="2"/>
  <c r="CD161" i="2"/>
  <c r="CD90" i="2"/>
  <c r="CD202" i="2"/>
  <c r="CD88" i="2"/>
  <c r="CD179" i="2"/>
  <c r="CD113" i="2"/>
  <c r="CD168" i="2"/>
  <c r="CD42" i="2"/>
  <c r="CD99" i="2"/>
  <c r="CD130" i="2"/>
  <c r="CD83" i="2"/>
  <c r="CD171" i="2"/>
  <c r="CD97" i="2"/>
  <c r="CD176" i="2"/>
  <c r="CD155" i="2"/>
  <c r="CD178" i="2"/>
  <c r="CD57" i="2"/>
  <c r="CD100" i="2"/>
  <c r="CD46" i="2"/>
  <c r="CD156" i="2"/>
  <c r="CD199" i="2"/>
  <c r="CD177" i="2"/>
  <c r="CD45" i="2"/>
  <c r="CD200" i="2"/>
  <c r="CD134" i="2"/>
  <c r="CD52" i="2"/>
  <c r="CD162" i="2"/>
  <c r="CD136" i="2"/>
  <c r="CD103" i="2"/>
  <c r="CD116" i="2"/>
  <c r="CD8" i="2"/>
  <c r="CD75" i="2"/>
  <c r="CD91" i="2"/>
  <c r="CD44" i="2"/>
  <c r="CD82" i="2"/>
  <c r="CD153" i="2"/>
  <c r="CD140" i="2"/>
  <c r="CD27" i="2"/>
  <c r="CD146" i="2"/>
  <c r="CD76" i="2"/>
  <c r="CD49" i="2"/>
  <c r="CD164" i="2"/>
  <c r="CD66" i="2"/>
  <c r="CD151" i="2"/>
  <c r="CD174" i="2"/>
  <c r="CD64" i="2"/>
  <c r="CD4" i="2"/>
  <c r="CD43" i="2"/>
  <c r="CD93" i="2"/>
  <c r="CD173" i="2"/>
  <c r="CD62" i="2"/>
  <c r="CD189" i="2"/>
  <c r="CD185" i="2"/>
  <c r="CD166" i="2"/>
  <c r="CD192" i="2"/>
  <c r="CD36" i="2"/>
  <c r="CD53" i="2"/>
  <c r="CD187" i="2"/>
  <c r="CD56" i="2"/>
  <c r="CD48" i="2"/>
  <c r="CD142" i="2"/>
  <c r="CD80" i="2"/>
  <c r="CD73" i="2"/>
  <c r="CD30" i="2"/>
  <c r="CD92" i="2"/>
  <c r="CD137" i="2"/>
  <c r="CD38" i="2"/>
  <c r="CD131" i="2"/>
  <c r="CD13" i="2"/>
  <c r="CD150" i="2"/>
  <c r="CD24" i="2"/>
  <c r="CD147" i="2"/>
  <c r="CD81" i="2"/>
  <c r="CD79" i="2"/>
  <c r="CD124" i="2"/>
  <c r="CD47" i="2"/>
  <c r="CD14" i="2"/>
  <c r="CD51" i="2"/>
  <c r="CD182" i="2"/>
  <c r="CD74" i="2"/>
  <c r="CD106" i="2"/>
  <c r="CD108" i="2"/>
  <c r="CD190" i="2"/>
  <c r="CD144" i="2"/>
  <c r="CD78" i="2"/>
  <c r="CD128" i="2"/>
  <c r="CD70" i="2"/>
  <c r="CD40" i="2"/>
  <c r="CD111" i="2"/>
  <c r="CY17" i="2"/>
  <c r="CY116" i="2"/>
  <c r="CY82" i="2"/>
  <c r="CY24" i="2"/>
  <c r="CY64" i="2"/>
  <c r="CY57" i="2"/>
  <c r="CY30" i="2"/>
  <c r="CY147" i="2"/>
  <c r="CY42" i="2"/>
  <c r="CY155" i="2"/>
  <c r="CY40" i="2"/>
  <c r="CY148" i="2"/>
  <c r="CY127" i="2"/>
  <c r="CY190" i="2"/>
  <c r="CY140" i="2"/>
  <c r="CY149" i="2"/>
  <c r="CY19" i="2"/>
  <c r="CY79" i="2"/>
  <c r="CY185" i="2"/>
  <c r="CY194" i="2"/>
  <c r="CY83" i="2"/>
  <c r="CY43" i="2"/>
  <c r="CY105" i="2"/>
  <c r="CY203" i="2"/>
  <c r="CY98" i="2"/>
  <c r="CY7" i="2"/>
  <c r="CY176" i="2"/>
  <c r="CY106" i="2"/>
  <c r="CY197" i="2"/>
  <c r="CY48" i="2"/>
  <c r="CY187" i="2"/>
  <c r="CY62" i="2"/>
  <c r="CY182" i="2"/>
  <c r="CY22" i="2"/>
  <c r="CY115" i="2"/>
  <c r="CY85" i="2"/>
  <c r="CY92" i="2"/>
  <c r="CY71" i="2"/>
  <c r="CY134" i="2"/>
  <c r="CY27" i="2"/>
  <c r="CY124" i="2"/>
  <c r="CY145" i="2"/>
  <c r="CY114" i="2"/>
  <c r="CY110" i="2"/>
  <c r="CY50" i="2"/>
  <c r="CY58" i="2"/>
  <c r="CY111" i="2"/>
  <c r="CY168" i="2"/>
  <c r="CY195" i="2"/>
  <c r="CY11" i="2"/>
  <c r="CY200" i="2"/>
  <c r="CY123" i="2"/>
  <c r="CY141" i="2"/>
  <c r="CY172" i="2"/>
  <c r="CY101" i="2"/>
  <c r="CY97" i="2"/>
  <c r="CY38" i="2"/>
  <c r="CY33" i="2"/>
  <c r="CY183" i="2"/>
  <c r="CY93" i="2"/>
  <c r="CY113" i="2"/>
  <c r="CY138" i="2"/>
  <c r="CY6" i="2"/>
  <c r="CY59" i="2"/>
  <c r="CY87" i="2"/>
  <c r="CY107" i="2"/>
  <c r="CY193" i="2"/>
  <c r="CY80" i="2"/>
  <c r="CY169" i="2"/>
  <c r="CY177" i="2"/>
  <c r="CY202" i="2"/>
  <c r="CY67" i="2"/>
  <c r="CY167" i="2"/>
  <c r="CY159" i="2"/>
  <c r="CY49" i="2"/>
  <c r="CY180" i="2"/>
  <c r="CY63" i="2"/>
  <c r="CY3" i="2"/>
  <c r="C10" i="4" s="1"/>
  <c r="E10" i="4" s="1"/>
  <c r="F10" i="4" s="1"/>
  <c r="G10" i="4" s="1"/>
  <c r="L10" i="4" s="1"/>
  <c r="CY191" i="2"/>
  <c r="CY199" i="2"/>
  <c r="CY20" i="2"/>
  <c r="CY130" i="2"/>
  <c r="CY29" i="2"/>
  <c r="CY94" i="2"/>
  <c r="CY152" i="2"/>
  <c r="CY95" i="2"/>
  <c r="CY126" i="2"/>
  <c r="CY84" i="2"/>
  <c r="CY125" i="2"/>
  <c r="CY56" i="2"/>
  <c r="CY129" i="2"/>
  <c r="CY133" i="2"/>
  <c r="CY10" i="2"/>
  <c r="CY173" i="2"/>
  <c r="CY12" i="2"/>
  <c r="CY160" i="2"/>
  <c r="CY72" i="2"/>
  <c r="CY47" i="2"/>
  <c r="CY157" i="2"/>
  <c r="CY4" i="2"/>
  <c r="CY53" i="2"/>
  <c r="CY88" i="2"/>
  <c r="CY46" i="2"/>
  <c r="CY166" i="2"/>
  <c r="CY55" i="2"/>
  <c r="CY78" i="2"/>
  <c r="CY144" i="2"/>
  <c r="CY5" i="2"/>
  <c r="CY201" i="2"/>
  <c r="CY122" i="2"/>
  <c r="CY170" i="2"/>
  <c r="CY121" i="2"/>
  <c r="CY151" i="2"/>
  <c r="CY74" i="2"/>
  <c r="CY39" i="2"/>
  <c r="CY28" i="2"/>
  <c r="CY165" i="2"/>
  <c r="CY65" i="2"/>
  <c r="CY44" i="2"/>
  <c r="CY137" i="2"/>
  <c r="CY89" i="2"/>
  <c r="CY146" i="2"/>
  <c r="CY161" i="2"/>
  <c r="CY66" i="2"/>
  <c r="CY158" i="2"/>
  <c r="CY99" i="2"/>
  <c r="CY103" i="2"/>
  <c r="CY69" i="2"/>
  <c r="CY162" i="2"/>
  <c r="CY186" i="2"/>
  <c r="CY23" i="2"/>
  <c r="CY76" i="2"/>
  <c r="CY60" i="2"/>
  <c r="CY102" i="2"/>
  <c r="CY184" i="2"/>
  <c r="CY81" i="2"/>
  <c r="CY135" i="2"/>
  <c r="CY52" i="2"/>
  <c r="CY108" i="2"/>
  <c r="CY26" i="2"/>
  <c r="CY18" i="2"/>
  <c r="CY96" i="2"/>
  <c r="CY9" i="2"/>
  <c r="CY131" i="2"/>
  <c r="CY198" i="2"/>
  <c r="CY15" i="2"/>
  <c r="CY13" i="2"/>
  <c r="CY86" i="2"/>
  <c r="CY14" i="2"/>
  <c r="CY25" i="2"/>
  <c r="CY181" i="2"/>
  <c r="CY178" i="2"/>
  <c r="CY31" i="2"/>
  <c r="CY61" i="2"/>
  <c r="CY91" i="2"/>
  <c r="CY109" i="2"/>
  <c r="CY192" i="2"/>
  <c r="CY154" i="2"/>
  <c r="CY119" i="2"/>
  <c r="CY41" i="2"/>
  <c r="CY104" i="2"/>
  <c r="CY163" i="2"/>
  <c r="CY118" i="2"/>
  <c r="CY174" i="2"/>
  <c r="CY21" i="2"/>
  <c r="CY16" i="2"/>
  <c r="CY73" i="2"/>
  <c r="CY175" i="2"/>
  <c r="CY142" i="2"/>
  <c r="CY45" i="2"/>
  <c r="CY117" i="2"/>
  <c r="CY32" i="2"/>
  <c r="CY139" i="2"/>
  <c r="CY196" i="2"/>
  <c r="CY37" i="2"/>
  <c r="CY68" i="2"/>
  <c r="CY90" i="2"/>
  <c r="CY112" i="2"/>
  <c r="CY35" i="2"/>
  <c r="CY77" i="2"/>
  <c r="CY136" i="2"/>
  <c r="CY132" i="2"/>
  <c r="CY70" i="2"/>
  <c r="CY143" i="2"/>
  <c r="CY150" i="2"/>
  <c r="CY120" i="2"/>
  <c r="CY54" i="2"/>
  <c r="CY8" i="2"/>
  <c r="CY36" i="2"/>
  <c r="CY128" i="2"/>
  <c r="CY179" i="2"/>
  <c r="CY156" i="2"/>
  <c r="CY188" i="2"/>
  <c r="CY189" i="2"/>
  <c r="CY34" i="2"/>
  <c r="CY153" i="2"/>
  <c r="CY75" i="2"/>
  <c r="CY164" i="2"/>
  <c r="CY100" i="2"/>
  <c r="CY171" i="2"/>
  <c r="CY51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86" i="2" l="1"/>
  <c r="DT158" i="2"/>
  <c r="DT30" i="2"/>
  <c r="DT157" i="2"/>
  <c r="DT57" i="2"/>
  <c r="DT168" i="2"/>
  <c r="DT179" i="2"/>
  <c r="DT185" i="2"/>
  <c r="DT99" i="2"/>
  <c r="DT118" i="2"/>
  <c r="DT15" i="2"/>
  <c r="DT91" i="2"/>
  <c r="DT42" i="2"/>
  <c r="DT34" i="2"/>
  <c r="DT41" i="2"/>
  <c r="DT3" i="2"/>
  <c r="C11" i="4" s="1"/>
  <c r="E11" i="4" s="1"/>
  <c r="F11" i="4" s="1"/>
  <c r="G11" i="4" s="1"/>
  <c r="L11" i="4" s="1"/>
  <c r="DT169" i="2"/>
  <c r="DT101" i="2"/>
  <c r="DT161" i="2"/>
  <c r="DT27" i="2"/>
  <c r="DT167" i="2"/>
  <c r="DT43" i="2"/>
  <c r="DT160" i="2"/>
  <c r="DT184" i="2"/>
  <c r="DT31" i="2"/>
  <c r="DT142" i="2"/>
  <c r="DT199" i="2"/>
  <c r="DT166" i="2"/>
  <c r="DT61" i="2"/>
  <c r="DT150" i="2"/>
  <c r="DT96" i="2"/>
  <c r="DT32" i="2"/>
  <c r="DT60" i="2"/>
  <c r="DT94" i="2"/>
  <c r="DT180" i="2"/>
  <c r="DT74" i="2"/>
  <c r="DT125" i="2"/>
  <c r="DT49" i="2"/>
  <c r="DT7" i="2"/>
  <c r="DT159" i="2"/>
  <c r="DT192" i="2"/>
  <c r="DT59" i="2"/>
  <c r="DT162" i="2"/>
  <c r="DT177" i="2"/>
  <c r="DT147" i="2"/>
  <c r="DT163" i="2"/>
  <c r="DT146" i="2"/>
  <c r="DT120" i="2"/>
  <c r="DT65" i="2"/>
  <c r="DT106" i="2"/>
  <c r="DT10" i="2"/>
  <c r="DT8" i="2"/>
  <c r="DT113" i="2"/>
  <c r="DT55" i="2"/>
  <c r="DT89" i="2"/>
  <c r="DT97" i="2"/>
  <c r="DT68" i="2"/>
  <c r="DT11" i="2"/>
  <c r="DT71" i="2"/>
  <c r="DT174" i="2"/>
  <c r="DT33" i="2"/>
  <c r="DT47" i="2"/>
  <c r="DT54" i="2"/>
  <c r="DT128" i="2"/>
  <c r="DT5" i="2"/>
  <c r="DT79" i="2"/>
  <c r="DT116" i="2"/>
  <c r="DT36" i="2"/>
  <c r="DT88" i="2"/>
  <c r="DT181" i="2"/>
  <c r="DT20" i="2"/>
  <c r="DT77" i="2"/>
  <c r="DT130" i="2"/>
  <c r="DT140" i="2"/>
  <c r="DT122" i="2"/>
  <c r="DT173" i="2"/>
  <c r="DT107" i="2"/>
  <c r="DT87" i="2"/>
  <c r="DT12" i="2"/>
  <c r="DT84" i="2"/>
  <c r="DT134" i="2"/>
  <c r="DT93" i="2"/>
  <c r="DT170" i="2"/>
  <c r="DT17" i="2"/>
  <c r="DT75" i="2"/>
  <c r="DT133" i="2"/>
  <c r="DT135" i="2"/>
  <c r="DT123" i="2"/>
  <c r="DT69" i="2"/>
  <c r="DT196" i="2"/>
  <c r="DT138" i="2"/>
  <c r="DT18" i="2"/>
  <c r="DT136" i="2"/>
  <c r="DT9" i="2"/>
  <c r="DT46" i="2"/>
  <c r="DT115" i="2"/>
  <c r="DT45" i="2"/>
  <c r="DT37" i="2"/>
  <c r="DT104" i="2"/>
  <c r="DT72" i="2"/>
  <c r="DT183" i="2"/>
  <c r="DT98" i="2"/>
  <c r="DT44" i="2"/>
  <c r="DT126" i="2"/>
  <c r="DT117" i="2"/>
  <c r="DT81" i="2"/>
  <c r="DT21" i="2"/>
  <c r="DT16" i="2"/>
  <c r="DT24" i="2"/>
  <c r="DT13" i="2"/>
  <c r="DT58" i="2"/>
  <c r="DT193" i="2"/>
  <c r="DT119" i="2"/>
  <c r="DT164" i="2"/>
  <c r="DT90" i="2"/>
  <c r="DT26" i="2"/>
  <c r="DT25" i="2"/>
  <c r="DT4" i="2"/>
  <c r="DT198" i="2"/>
  <c r="DT83" i="2"/>
  <c r="DT6" i="2"/>
  <c r="DT155" i="2"/>
  <c r="DT35" i="2"/>
  <c r="DT80" i="2"/>
  <c r="DT203" i="2"/>
  <c r="DT85" i="2"/>
  <c r="DT66" i="2"/>
  <c r="DT112" i="2"/>
  <c r="DT188" i="2"/>
  <c r="DT149" i="2"/>
  <c r="DT182" i="2"/>
  <c r="DT154" i="2"/>
  <c r="DT103" i="2"/>
  <c r="DT67" i="2"/>
  <c r="DT23" i="2"/>
  <c r="DT202" i="2"/>
  <c r="DT50" i="2"/>
  <c r="DT48" i="2"/>
  <c r="DT105" i="2"/>
  <c r="DT137" i="2"/>
  <c r="DT176" i="2"/>
  <c r="DT129" i="2"/>
  <c r="DT38" i="2"/>
  <c r="DT63" i="2"/>
  <c r="DT194" i="2"/>
  <c r="DT76" i="2"/>
  <c r="DT78" i="2"/>
  <c r="DT171" i="2"/>
  <c r="DT62" i="2"/>
  <c r="DT187" i="2"/>
  <c r="DT19" i="2"/>
  <c r="DT144" i="2"/>
  <c r="DT51" i="2"/>
  <c r="DT108" i="2"/>
  <c r="DT14" i="2"/>
  <c r="DT195" i="2"/>
  <c r="DT64" i="2"/>
  <c r="DT40" i="2"/>
  <c r="DT114" i="2"/>
  <c r="DT124" i="2"/>
  <c r="DT73" i="2"/>
  <c r="DT56" i="2"/>
  <c r="DT100" i="2"/>
  <c r="DT139" i="2"/>
  <c r="DT200" i="2"/>
  <c r="DT153" i="2"/>
  <c r="DT92" i="2"/>
  <c r="DT95" i="2"/>
  <c r="DT156" i="2"/>
  <c r="DT189" i="2"/>
  <c r="DT28" i="2"/>
  <c r="DT53" i="2"/>
  <c r="DT39" i="2"/>
  <c r="DT178" i="2"/>
  <c r="DT70" i="2"/>
  <c r="DT190" i="2"/>
  <c r="DT197" i="2"/>
  <c r="DT201" i="2"/>
  <c r="DT145" i="2"/>
  <c r="DT172" i="2"/>
  <c r="DT52" i="2"/>
  <c r="DT143" i="2"/>
  <c r="DT131" i="2"/>
  <c r="DT102" i="2"/>
  <c r="DT175" i="2"/>
  <c r="DT111" i="2"/>
  <c r="DT151" i="2"/>
  <c r="DT132" i="2"/>
  <c r="DT110" i="2"/>
  <c r="DT191" i="2"/>
  <c r="DT148" i="2"/>
  <c r="DT86" i="2"/>
  <c r="DT127" i="2"/>
  <c r="DT141" i="2"/>
  <c r="DT82" i="2"/>
  <c r="DT152" i="2"/>
  <c r="DT109" i="2"/>
  <c r="DT121" i="2"/>
  <c r="DT165" i="2"/>
  <c r="DT29" i="2"/>
  <c r="DT22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BI80" i="2" l="1"/>
  <c r="FE200" i="2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I46" i="2" s="1"/>
  <c r="BE113" i="2"/>
  <c r="BS111" i="2"/>
  <c r="BI42" i="2" l="1"/>
  <c r="BI160" i="2"/>
  <c r="BI92" i="2"/>
  <c r="BI129" i="2"/>
  <c r="BI173" i="2"/>
  <c r="BI63" i="2"/>
  <c r="BI133" i="2"/>
  <c r="BI108" i="2"/>
  <c r="BI40" i="2"/>
  <c r="BI135" i="2"/>
  <c r="BI139" i="2"/>
  <c r="BI146" i="2"/>
  <c r="BI12" i="2"/>
  <c r="BI41" i="2"/>
  <c r="BI79" i="2"/>
  <c r="BI15" i="2"/>
  <c r="BI119" i="2"/>
  <c r="BI151" i="2"/>
  <c r="BI36" i="2"/>
  <c r="BI26" i="2"/>
  <c r="BI184" i="2"/>
  <c r="BI134" i="2"/>
  <c r="BI73" i="2"/>
  <c r="BI35" i="2"/>
  <c r="BI29" i="2"/>
  <c r="BI145" i="2"/>
  <c r="BI161" i="2"/>
  <c r="BI47" i="2"/>
  <c r="BI186" i="2"/>
  <c r="BI118" i="2"/>
  <c r="BI33" i="2"/>
  <c r="BI97" i="2"/>
  <c r="BI115" i="2"/>
  <c r="BI50" i="2"/>
  <c r="BI75" i="2"/>
  <c r="BI103" i="2"/>
  <c r="BI179" i="2"/>
  <c r="BI196" i="2"/>
  <c r="BI34" i="2"/>
  <c r="BI13" i="2"/>
  <c r="BI194" i="2"/>
  <c r="BI38" i="2"/>
  <c r="BI55" i="2"/>
  <c r="BI9" i="2"/>
  <c r="BI113" i="2"/>
  <c r="BI28" i="2"/>
  <c r="BI69" i="2"/>
  <c r="BI112" i="2"/>
  <c r="BI127" i="2"/>
  <c r="BI4" i="2"/>
  <c r="BI178" i="2"/>
  <c r="BI190" i="2"/>
  <c r="BI116" i="2"/>
  <c r="BI166" i="2"/>
  <c r="BI197" i="2"/>
  <c r="BI171" i="2"/>
  <c r="BI37" i="2"/>
  <c r="BI142" i="2"/>
  <c r="BI101" i="2"/>
  <c r="BI154" i="2"/>
  <c r="BI90" i="2"/>
  <c r="BI149" i="2"/>
  <c r="BI54" i="2"/>
  <c r="BI96" i="2"/>
  <c r="BI141" i="2"/>
  <c r="BI106" i="2"/>
  <c r="BI86" i="2"/>
  <c r="BI14" i="2"/>
  <c r="BI8" i="2"/>
  <c r="BI7" i="2"/>
  <c r="BI102" i="2"/>
  <c r="BI20" i="2"/>
  <c r="BI16" i="2"/>
  <c r="BI59" i="2"/>
  <c r="BI177" i="2"/>
  <c r="BI180" i="2"/>
  <c r="BI84" i="2"/>
  <c r="BI104" i="2"/>
  <c r="BI158" i="2"/>
  <c r="BI24" i="2"/>
  <c r="BI175" i="2"/>
  <c r="BI117" i="2"/>
  <c r="BI105" i="2"/>
  <c r="BI53" i="2"/>
  <c r="BI100" i="2"/>
  <c r="BI165" i="2"/>
  <c r="BI172" i="2"/>
  <c r="BI99" i="2"/>
  <c r="BI58" i="2"/>
  <c r="BI199" i="2"/>
  <c r="BI87" i="2"/>
  <c r="BI121" i="2"/>
  <c r="BI82" i="2"/>
  <c r="BI64" i="2"/>
  <c r="BI201" i="2"/>
  <c r="BI153" i="2"/>
  <c r="BI170" i="2"/>
  <c r="BI81" i="2"/>
  <c r="BI159" i="2"/>
  <c r="BI192" i="2"/>
  <c r="BI123" i="2"/>
  <c r="BI162" i="2"/>
  <c r="BI71" i="2"/>
  <c r="BI72" i="2"/>
  <c r="BI60" i="2"/>
  <c r="BI91" i="2"/>
  <c r="BI167" i="2"/>
  <c r="BI45" i="2"/>
  <c r="BI51" i="2"/>
  <c r="BI107" i="2"/>
  <c r="BI202" i="2"/>
  <c r="BI70" i="2"/>
  <c r="BI164" i="2"/>
  <c r="BI65" i="2"/>
  <c r="BI66" i="2"/>
  <c r="BI3" i="2"/>
  <c r="C8" i="4" s="1"/>
  <c r="E8" i="4" s="1"/>
  <c r="F8" i="4" s="1"/>
  <c r="G8" i="4" s="1"/>
  <c r="L8" i="4" s="1"/>
  <c r="BI185" i="2"/>
  <c r="BI89" i="2"/>
  <c r="BI191" i="2"/>
  <c r="BI93" i="2"/>
  <c r="BI176" i="2"/>
  <c r="BI48" i="2"/>
  <c r="BI150" i="2"/>
  <c r="BI49" i="2"/>
  <c r="BI131" i="2"/>
  <c r="BI32" i="2"/>
  <c r="BI155" i="2"/>
  <c r="BI156" i="2"/>
  <c r="BI168" i="2"/>
  <c r="BI128" i="2"/>
  <c r="BI85" i="2"/>
  <c r="BI124" i="2"/>
  <c r="BI77" i="2"/>
  <c r="BI62" i="2"/>
  <c r="BI126" i="2"/>
  <c r="BI174" i="2"/>
  <c r="BI83" i="2"/>
  <c r="BI27" i="2"/>
  <c r="BI132" i="2"/>
  <c r="BI5" i="2"/>
  <c r="BI147" i="2"/>
  <c r="BI94" i="2"/>
  <c r="BI95" i="2"/>
  <c r="BI140" i="2"/>
  <c r="BI17" i="2"/>
  <c r="BI144" i="2"/>
  <c r="BI30" i="2"/>
  <c r="BI57" i="2"/>
  <c r="BI22" i="2"/>
  <c r="BI61" i="2"/>
  <c r="BI203" i="2"/>
  <c r="BI182" i="2"/>
  <c r="BI122" i="2"/>
  <c r="BI43" i="2"/>
  <c r="BI88" i="2"/>
  <c r="BI200" i="2"/>
  <c r="BI188" i="2"/>
  <c r="BI169" i="2"/>
  <c r="BI31" i="2"/>
  <c r="BI189" i="2"/>
  <c r="BI183" i="2"/>
  <c r="BI130" i="2"/>
  <c r="BI18" i="2"/>
  <c r="BI76" i="2"/>
  <c r="BI11" i="2"/>
  <c r="BI74" i="2"/>
  <c r="BI19" i="2"/>
  <c r="BI163" i="2"/>
  <c r="BI25" i="2"/>
  <c r="BI120" i="2"/>
  <c r="BI125" i="2"/>
  <c r="BI198" i="2"/>
  <c r="BI44" i="2"/>
  <c r="BI152" i="2"/>
  <c r="BI21" i="2"/>
  <c r="BI52" i="2"/>
  <c r="BI137" i="2"/>
  <c r="BI6" i="2"/>
  <c r="BI111" i="2"/>
  <c r="BI157" i="2"/>
  <c r="BI68" i="2"/>
  <c r="BI148" i="2"/>
  <c r="BI193" i="2"/>
  <c r="BI78" i="2"/>
  <c r="BI10" i="2"/>
  <c r="BI195" i="2"/>
  <c r="BI138" i="2"/>
  <c r="BI181" i="2"/>
  <c r="BI39" i="2"/>
  <c r="BI110" i="2"/>
  <c r="BI109" i="2"/>
  <c r="BI114" i="2"/>
  <c r="BI143" i="2"/>
  <c r="BI23" i="2"/>
  <c r="BI187" i="2"/>
  <c r="BI56" i="2"/>
  <c r="BI98" i="2"/>
  <c r="BI67" i="2"/>
  <c r="BI136" i="2"/>
  <c r="FE201" i="2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<sst xmlns="http://schemas.openxmlformats.org/spreadsheetml/2006/main" count="1174" uniqueCount="324">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</sst>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1.8625843557207256</c:v>
                </c:pt>
                <c:pt idx="2">
                  <c:v>2.2368679024412863</c:v>
                </c:pt>
                <c:pt idx="3">
                  <c:v>2.6866492179798711</c:v>
                </c:pt>
                <c:pt idx="4">
                  <c:v>3.2272117563296319</c:v>
                </c:pt>
                <c:pt idx="5">
                  <c:v>3.8769432689866288</c:v>
                </c:pt>
                <c:pt idx="6">
                  <c:v>4.6579683002322065</c:v>
                </c:pt>
                <c:pt idx="7">
                  <c:v>5.5969099234659838</c:v>
                </c:pt>
                <c:pt idx="8">
                  <c:v>6.7258071969574091</c:v>
                </c:pt>
                <c:pt idx="9">
                  <c:v>8.0832202552750019</c:v>
                </c:pt>
                <c:pt idx="10">
                  <c:v>9.7155615097839831</c:v>
                </c:pt>
                <c:pt idx="11">
                  <c:v>11.678699338797957</c:v>
                </c:pt>
                <c:pt idx="12">
                  <c:v>14.039890183740511</c:v>
                </c:pt>
                <c:pt idx="13">
                  <c:v>16.880106468086609</c:v>
                </c:pt>
                <c:pt idx="14">
                  <c:v>20.29684162645091</c:v>
                </c:pt>
                <c:pt idx="15">
                  <c:v>24.407490261362529</c:v>
                </c:pt>
                <c:pt idx="16">
                  <c:v>32.907635773197036</c:v>
                </c:pt>
                <c:pt idx="17">
                  <c:v>41.346755741368533</c:v>
                </c:pt>
                <c:pt idx="18">
                  <c:v>49.739192528990579</c:v>
                </c:pt>
                <c:pt idx="19">
                  <c:v>58.09398456443639</c:v>
                </c:pt>
                <c:pt idx="20">
                  <c:v>66.417333418994247</c:v>
                </c:pt>
                <c:pt idx="21">
                  <c:v>77.441967614465526</c:v>
                </c:pt>
                <c:pt idx="22">
                  <c:v>88.426651906407798</c:v>
                </c:pt>
                <c:pt idx="23">
                  <c:v>99.377061600787158</c:v>
                </c:pt>
                <c:pt idx="24">
                  <c:v>110.29751340843019</c:v>
                </c:pt>
                <c:pt idx="25">
                  <c:v>121.19139637760985</c:v>
                </c:pt>
                <c:pt idx="26">
                  <c:v>133.22010811070734</c:v>
                </c:pt>
                <c:pt idx="27">
                  <c:v>145.22262077530925</c:v>
                </c:pt>
                <c:pt idx="28">
                  <c:v>157.2014069988642</c:v>
                </c:pt>
                <c:pt idx="29">
                  <c:v>169.15853110924755</c:v>
                </c:pt>
                <c:pt idx="30">
                  <c:v>181.09574130339482</c:v>
                </c:pt>
                <c:pt idx="31">
                  <c:v>193.61160868417244</c:v>
                </c:pt>
                <c:pt idx="32">
                  <c:v>206.10866481795074</c:v>
                </c:pt>
                <c:pt idx="33">
                  <c:v>218.58821163438859</c:v>
                </c:pt>
                <c:pt idx="34">
                  <c:v>231.05139012994758</c:v>
                </c:pt>
                <c:pt idx="35">
                  <c:v>243.49920805733234</c:v>
                </c:pt>
                <c:pt idx="36">
                  <c:v>255.72097081473225</c:v>
                </c:pt>
                <c:pt idx="37">
                  <c:v>267.92952023808192</c:v>
                </c:pt>
                <c:pt idx="38">
                  <c:v>280.12554349916218</c:v>
                </c:pt>
                <c:pt idx="39">
                  <c:v>292.30966301714238</c:v>
                </c:pt>
                <c:pt idx="40">
                  <c:v>304.48244506277183</c:v>
                </c:pt>
                <c:pt idx="41">
                  <c:v>230.28033468735839</c:v>
                </c:pt>
                <c:pt idx="42">
                  <c:v>240.82429571231623</c:v>
                </c:pt>
                <c:pt idx="43">
                  <c:v>251.35775155630714</c:v>
                </c:pt>
                <c:pt idx="44">
                  <c:v>261.88120481450557</c:v>
                </c:pt>
                <c:pt idx="45">
                  <c:v>272.39511435983792</c:v>
                </c:pt>
                <c:pt idx="46">
                  <c:v>282.94330685717</c:v>
                </c:pt>
                <c:pt idx="47">
                  <c:v>293.48269205008432</c:v>
                </c:pt>
                <c:pt idx="48">
                  <c:v>304.01363099033426</c:v>
                </c:pt>
                <c:pt idx="49">
                  <c:v>314.53645765908169</c:v>
                </c:pt>
                <c:pt idx="50">
                  <c:v>325.0514818538644</c:v>
                </c:pt>
                <c:pt idx="51">
                  <c:v>335.52164638380555</c:v>
                </c:pt>
                <c:pt idx="52">
                  <c:v>345.98461565572052</c:v>
                </c:pt>
                <c:pt idx="53">
                  <c:v>356.44063803525324</c:v>
                </c:pt>
                <c:pt idx="54">
                  <c:v>366.88994612096343</c:v>
                </c:pt>
                <c:pt idx="55">
                  <c:v>377.33275817548969</c:v>
                </c:pt>
                <c:pt idx="56">
                  <c:v>303.62162704485723</c:v>
                </c:pt>
                <c:pt idx="57">
                  <c:v>313.02074512103746</c:v>
                </c:pt>
                <c:pt idx="58">
                  <c:v>322.41360481297227</c:v>
                </c:pt>
                <c:pt idx="59">
                  <c:v>331.80041427586929</c:v>
                </c:pt>
                <c:pt idx="60">
                  <c:v>341.18136891823957</c:v>
                </c:pt>
                <c:pt idx="61">
                  <c:v>350.25424738959208</c:v>
                </c:pt>
                <c:pt idx="62">
                  <c:v>359.32197197804288</c:v>
                </c:pt>
                <c:pt idx="63">
                  <c:v>368.38469116414734</c:v>
                </c:pt>
                <c:pt idx="64">
                  <c:v>377.44254552239113</c:v>
                </c:pt>
                <c:pt idx="65">
                  <c:v>386.49566832591569</c:v>
                </c:pt>
                <c:pt idx="66">
                  <c:v>395.87908445864872</c:v>
                </c:pt>
                <c:pt idx="67">
                  <c:v>405.25768222321955</c:v>
                </c:pt>
                <c:pt idx="68">
                  <c:v>414.63158889889593</c:v>
                </c:pt>
                <c:pt idx="69">
                  <c:v>424.00092553802301</c:v>
                </c:pt>
                <c:pt idx="70">
                  <c:v>433.36580740450927</c:v>
                </c:pt>
                <c:pt idx="71">
                  <c:v>361.47871576743745</c:v>
                </c:pt>
                <c:pt idx="72">
                  <c:v>369.77142937831314</c:v>
                </c:pt>
                <c:pt idx="73">
                  <c:v>378.06008639815968</c:v>
                </c:pt>
                <c:pt idx="74">
                  <c:v>386.34478836589864</c:v>
                </c:pt>
                <c:pt idx="75">
                  <c:v>394.62563210758782</c:v>
                </c:pt>
                <c:pt idx="76">
                  <c:v>402.90075234516326</c:v>
                </c:pt>
                <c:pt idx="77">
                  <c:v>411.17219682331756</c:v>
                </c:pt>
                <c:pt idx="78">
                  <c:v>419.4400499559701</c:v>
                </c:pt>
                <c:pt idx="79">
                  <c:v>427.70439255587036</c:v>
                </c:pt>
                <c:pt idx="80">
                  <c:v>435.96530205636054</c:v>
                </c:pt>
                <c:pt idx="81">
                  <c:v>371.46988201085668</c:v>
                </c:pt>
                <c:pt idx="82">
                  <c:v>379.50877077071749</c:v>
                </c:pt>
                <c:pt idx="83">
                  <c:v>387.54395482565002</c:v>
                </c:pt>
                <c:pt idx="84">
                  <c:v>395.57552187186116</c:v>
                </c:pt>
                <c:pt idx="85">
                  <c:v>403.60355575163453</c:v>
                </c:pt>
                <c:pt idx="86">
                  <c:v>411.51072833078229</c:v>
                </c:pt>
                <c:pt idx="87">
                  <c:v>419.41462185111681</c:v>
                </c:pt>
                <c:pt idx="88">
                  <c:v>427.31530685792421</c:v>
                </c:pt>
                <c:pt idx="89">
                  <c:v>435.21285107356476</c:v>
                </c:pt>
                <c:pt idx="90">
                  <c:v>443.1073195607309</c:v>
                </c:pt>
                <c:pt idx="91">
                  <c:v>451.20383495126947</c:v>
                </c:pt>
                <c:pt idx="92">
                  <c:v>459.29724346525336</c:v>
                </c:pt>
                <c:pt idx="93">
                  <c:v>467.38760759476827</c:v>
                </c:pt>
                <c:pt idx="94">
                  <c:v>475.4749874910687</c:v>
                </c:pt>
                <c:pt idx="95">
                  <c:v>483.55944109145031</c:v>
                </c:pt>
                <c:pt idx="96">
                  <c:v>229.35062889324948</c:v>
                </c:pt>
                <c:pt idx="97">
                  <c:v>235.28223388039854</c:v>
                </c:pt>
                <c:pt idx="98">
                  <c:v>241.21042753302376</c:v>
                </c:pt>
                <c:pt idx="99">
                  <c:v>247.13530565539068</c:v>
                </c:pt>
                <c:pt idx="100">
                  <c:v>253.05695907583291</c:v>
                </c:pt>
                <c:pt idx="101">
                  <c:v>258.66113667178968</c:v>
                </c:pt>
                <c:pt idx="102">
                  <c:v>264.26257008695558</c:v>
                </c:pt>
                <c:pt idx="103">
                  <c:v>269.86132578718241</c:v>
                </c:pt>
                <c:pt idx="104">
                  <c:v>275.45746725107102</c:v>
                </c:pt>
                <c:pt idx="105">
                  <c:v>281.05105516357071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74966816"/>
        <c:axId val="-1474964096"/>
      </c:scatterChart>
      <c:valAx>
        <c:axId val="-1474966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74964096"/>
        <c:crosses val="autoZero"/>
        <c:crossBetween val="midCat"/>
      </c:valAx>
      <c:valAx>
        <c:axId val="-147496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74966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9555472"/>
        <c:axId val="-1229558192"/>
      </c:scatterChart>
      <c:valAx>
        <c:axId val="-1229555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9558192"/>
        <c:crosses val="autoZero"/>
        <c:crossBetween val="midCat"/>
      </c:valAx>
      <c:valAx>
        <c:axId val="-122955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9555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1.8295197539767536</c:v>
                </c:pt>
                <c:pt idx="2">
                  <c:v>2.1581120817815935</c:v>
                </c:pt>
                <c:pt idx="3">
                  <c:v>2.5459424560119226</c:v>
                </c:pt>
                <c:pt idx="4">
                  <c:v>3.0037279203968943</c:v>
                </c:pt>
                <c:pt idx="5">
                  <c:v>3.5441308039333044</c:v>
                </c:pt>
                <c:pt idx="6">
                  <c:v>4.1821129024632766</c:v>
                </c:pt>
                <c:pt idx="7">
                  <c:v>4.9353543302261746</c:v>
                </c:pt>
                <c:pt idx="8">
                  <c:v>5.8247488803625238</c:v>
                </c:pt>
                <c:pt idx="9">
                  <c:v>6.8749899058677952</c:v>
                </c:pt>
                <c:pt idx="10">
                  <c:v>8.1152633045524833</c:v>
                </c:pt>
                <c:pt idx="11">
                  <c:v>9.5800672367840658</c:v>
                </c:pt>
                <c:pt idx="12">
                  <c:v>11.310181810379349</c:v>
                </c:pt>
                <c:pt idx="13">
                  <c:v>13.353816236298281</c:v>
                </c:pt>
                <c:pt idx="14">
                  <c:v>15.767966014159951</c:v>
                </c:pt>
                <c:pt idx="15">
                  <c:v>18.620018693066893</c:v>
                </c:pt>
                <c:pt idx="16">
                  <c:v>21.98965384258679</c:v>
                </c:pt>
                <c:pt idx="17">
                  <c:v>25.971091264557455</c:v>
                </c:pt>
                <c:pt idx="18">
                  <c:v>30.675751419835521</c:v>
                </c:pt>
                <c:pt idx="19">
                  <c:v>36.235403820984438</c:v>
                </c:pt>
                <c:pt idx="20">
                  <c:v>42.805893090827503</c:v>
                </c:pt>
                <c:pt idx="21">
                  <c:v>50.571548909057121</c:v>
                </c:pt>
                <c:pt idx="22">
                  <c:v>59.750405640218126</c:v>
                </c:pt>
                <c:pt idx="23">
                  <c:v>70.600380619902097</c:v>
                </c:pt>
                <c:pt idx="24">
                  <c:v>83.426587539743181</c:v>
                </c:pt>
                <c:pt idx="25">
                  <c:v>98.589993907285461</c:v>
                </c:pt>
                <c:pt idx="26">
                  <c:v>116.51767010205441</c:v>
                </c:pt>
                <c:pt idx="27">
                  <c:v>137.71492321601389</c:v>
                </c:pt>
                <c:pt idx="28">
                  <c:v>162.77966297279517</c:v>
                </c:pt>
                <c:pt idx="29">
                  <c:v>192.41941112758346</c:v>
                </c:pt>
                <c:pt idx="30">
                  <c:v>141.49966497096375</c:v>
                </c:pt>
                <c:pt idx="31">
                  <c:v>158.12953637422072</c:v>
                </c:pt>
                <c:pt idx="32">
                  <c:v>174.71791234101428</c:v>
                </c:pt>
                <c:pt idx="33">
                  <c:v>191.26928949616084</c:v>
                </c:pt>
                <c:pt idx="34">
                  <c:v>207.78732141695943</c:v>
                </c:pt>
                <c:pt idx="35">
                  <c:v>224.27503265620331</c:v>
                </c:pt>
                <c:pt idx="36">
                  <c:v>240.73496634396329</c:v>
                </c:pt>
                <c:pt idx="37">
                  <c:v>257.1692892113989</c:v>
                </c:pt>
                <c:pt idx="38">
                  <c:v>273.57986831240407</c:v>
                </c:pt>
                <c:pt idx="39">
                  <c:v>196.06476677586264</c:v>
                </c:pt>
                <c:pt idx="40">
                  <c:v>212.62586829656445</c:v>
                </c:pt>
                <c:pt idx="41">
                  <c:v>229.157252243241</c:v>
                </c:pt>
                <c:pt idx="42">
                  <c:v>245.66136445665168</c:v>
                </c:pt>
                <c:pt idx="43">
                  <c:v>262.14029510473932</c:v>
                </c:pt>
                <c:pt idx="44">
                  <c:v>278.5958499925427</c:v>
                </c:pt>
                <c:pt idx="45">
                  <c:v>295.02960411862381</c:v>
                </c:pt>
                <c:pt idx="46">
                  <c:v>311.44294266102321</c:v>
                </c:pt>
                <c:pt idx="47">
                  <c:v>327.83709286372851</c:v>
                </c:pt>
                <c:pt idx="48">
                  <c:v>344.21314920713166</c:v>
                </c:pt>
                <c:pt idx="49">
                  <c:v>360.57209353569016</c:v>
                </c:pt>
                <c:pt idx="50">
                  <c:v>260.41755919686585</c:v>
                </c:pt>
                <c:pt idx="51">
                  <c:v>280.63665542007806</c:v>
                </c:pt>
                <c:pt idx="52">
                  <c:v>300.82309989235995</c:v>
                </c:pt>
                <c:pt idx="53">
                  <c:v>320.97939105673277</c:v>
                </c:pt>
                <c:pt idx="54">
                  <c:v>341.10768796533574</c:v>
                </c:pt>
                <c:pt idx="55">
                  <c:v>361.20987410826933</c:v>
                </c:pt>
                <c:pt idx="56">
                  <c:v>381.28760628111837</c:v>
                </c:pt>
                <c:pt idx="57">
                  <c:v>401.34235261702315</c:v>
                </c:pt>
                <c:pt idx="58">
                  <c:v>292.56004945354147</c:v>
                </c:pt>
                <c:pt idx="59">
                  <c:v>308.95310405195488</c:v>
                </c:pt>
                <c:pt idx="60">
                  <c:v>325.32684808209274</c:v>
                </c:pt>
                <c:pt idx="61">
                  <c:v>341.68239012027084</c:v>
                </c:pt>
                <c:pt idx="62">
                  <c:v>358.020723953877</c:v>
                </c:pt>
                <c:pt idx="63">
                  <c:v>374.34274527279496</c:v>
                </c:pt>
                <c:pt idx="64">
                  <c:v>390.64926529688188</c:v>
                </c:pt>
                <c:pt idx="65">
                  <c:v>406.94102200891183</c:v>
                </c:pt>
                <c:pt idx="66">
                  <c:v>423.21868949467256</c:v>
                </c:pt>
                <c:pt idx="67">
                  <c:v>439.48288577116256</c:v>
                </c:pt>
                <c:pt idx="68">
                  <c:v>325.74525184325216</c:v>
                </c:pt>
                <c:pt idx="69">
                  <c:v>340.73034668701627</c:v>
                </c:pt>
                <c:pt idx="70">
                  <c:v>355.70095169890595</c:v>
                </c:pt>
                <c:pt idx="71">
                  <c:v>370.6577625546318</c:v>
                </c:pt>
                <c:pt idx="72">
                  <c:v>385.60141420629412</c:v>
                </c:pt>
                <c:pt idx="73">
                  <c:v>400.53248837991811</c:v>
                </c:pt>
                <c:pt idx="74">
                  <c:v>415.45151989655164</c:v>
                </c:pt>
                <c:pt idx="75">
                  <c:v>430.35900203798877</c:v>
                </c:pt>
                <c:pt idx="76">
                  <c:v>445.25539113026753</c:v>
                </c:pt>
                <c:pt idx="77">
                  <c:v>460.1411104818597</c:v>
                </c:pt>
                <c:pt idx="78">
                  <c:v>475.01655378575714</c:v>
                </c:pt>
                <c:pt idx="79">
                  <c:v>360.37584839681546</c:v>
                </c:pt>
                <c:pt idx="80">
                  <c:v>372.93088642583785</c:v>
                </c:pt>
                <c:pt idx="81">
                  <c:v>385.47671383914604</c:v>
                </c:pt>
                <c:pt idx="82">
                  <c:v>398.01367268114768</c:v>
                </c:pt>
                <c:pt idx="83">
                  <c:v>410.54208168778837</c:v>
                </c:pt>
                <c:pt idx="84">
                  <c:v>423.06223855277807</c:v>
                </c:pt>
                <c:pt idx="85">
                  <c:v>435.5744219115395</c:v>
                </c:pt>
                <c:pt idx="86">
                  <c:v>448.07889308530258</c:v>
                </c:pt>
                <c:pt idx="87">
                  <c:v>460.5758976203619</c:v>
                </c:pt>
                <c:pt idx="88">
                  <c:v>473.06566665157521</c:v>
                </c:pt>
                <c:pt idx="89">
                  <c:v>485.54841811437319</c:v>
                </c:pt>
                <c:pt idx="90">
                  <c:v>498.02435782565607</c:v>
                </c:pt>
                <c:pt idx="91">
                  <c:v>510.49368045075397</c:v>
                </c:pt>
                <c:pt idx="92">
                  <c:v>7.5605490043076185E-12</c:v>
                </c:pt>
                <c:pt idx="93">
                  <c:v>7.5605490043076185E-12</c:v>
                </c:pt>
                <c:pt idx="94">
                  <c:v>7.5605490043076185E-12</c:v>
                </c:pt>
                <c:pt idx="95">
                  <c:v>7.5605490043076185E-12</c:v>
                </c:pt>
                <c:pt idx="96">
                  <c:v>7.5605490043076185E-12</c:v>
                </c:pt>
                <c:pt idx="97">
                  <c:v>7.5605490043076185E-12</c:v>
                </c:pt>
                <c:pt idx="98">
                  <c:v>7.5605490043076185E-12</c:v>
                </c:pt>
                <c:pt idx="99">
                  <c:v>7.5605490043076185E-12</c:v>
                </c:pt>
                <c:pt idx="100">
                  <c:v>7.5605490043076185E-12</c:v>
                </c:pt>
                <c:pt idx="101">
                  <c:v>7.5605490043076185E-12</c:v>
                </c:pt>
                <c:pt idx="102">
                  <c:v>7.5605490043076185E-12</c:v>
                </c:pt>
                <c:pt idx="103">
                  <c:v>7.5605490043076185E-12</c:v>
                </c:pt>
                <c:pt idx="104">
                  <c:v>7.5605490043076185E-12</c:v>
                </c:pt>
                <c:pt idx="105">
                  <c:v>7.5605490043076185E-12</c:v>
                </c:pt>
                <c:pt idx="106">
                  <c:v>7.5605490043076185E-12</c:v>
                </c:pt>
                <c:pt idx="107">
                  <c:v>7.5605490043076185E-12</c:v>
                </c:pt>
                <c:pt idx="108">
                  <c:v>7.5605490043076185E-12</c:v>
                </c:pt>
                <c:pt idx="109">
                  <c:v>7.5605490043076185E-12</c:v>
                </c:pt>
                <c:pt idx="110">
                  <c:v>7.5605490043076185E-12</c:v>
                </c:pt>
                <c:pt idx="111">
                  <c:v>7.5605490043076185E-12</c:v>
                </c:pt>
                <c:pt idx="112">
                  <c:v>7.5605490043076185E-12</c:v>
                </c:pt>
                <c:pt idx="113">
                  <c:v>7.5605490043076185E-12</c:v>
                </c:pt>
                <c:pt idx="114">
                  <c:v>7.5605490043076185E-12</c:v>
                </c:pt>
                <c:pt idx="115">
                  <c:v>7.5605490043076185E-12</c:v>
                </c:pt>
                <c:pt idx="116">
                  <c:v>7.5605490043076185E-12</c:v>
                </c:pt>
                <c:pt idx="117">
                  <c:v>7.5605490043076185E-12</c:v>
                </c:pt>
                <c:pt idx="118">
                  <c:v>7.5605490043076185E-12</c:v>
                </c:pt>
                <c:pt idx="119">
                  <c:v>7.5605490043076185E-12</c:v>
                </c:pt>
                <c:pt idx="120">
                  <c:v>7.5605490043076185E-12</c:v>
                </c:pt>
                <c:pt idx="121">
                  <c:v>7.5605490043076185E-12</c:v>
                </c:pt>
                <c:pt idx="122">
                  <c:v>7.5605490043076185E-12</c:v>
                </c:pt>
                <c:pt idx="123">
                  <c:v>7.5605490043076185E-12</c:v>
                </c:pt>
                <c:pt idx="124">
                  <c:v>7.5605490043076185E-12</c:v>
                </c:pt>
                <c:pt idx="125">
                  <c:v>7.5605490043076185E-12</c:v>
                </c:pt>
                <c:pt idx="126">
                  <c:v>7.5605490043076185E-12</c:v>
                </c:pt>
                <c:pt idx="127">
                  <c:v>7.5605490043076185E-12</c:v>
                </c:pt>
                <c:pt idx="128">
                  <c:v>7.5605490043076185E-12</c:v>
                </c:pt>
                <c:pt idx="129">
                  <c:v>7.5605490043076185E-12</c:v>
                </c:pt>
                <c:pt idx="130">
                  <c:v>7.5605490043076185E-12</c:v>
                </c:pt>
                <c:pt idx="131">
                  <c:v>7.5605490043076185E-12</c:v>
                </c:pt>
                <c:pt idx="132">
                  <c:v>7.5605490043076185E-12</c:v>
                </c:pt>
                <c:pt idx="133">
                  <c:v>7.5605490043076185E-12</c:v>
                </c:pt>
                <c:pt idx="134">
                  <c:v>7.5605490043076185E-12</c:v>
                </c:pt>
                <c:pt idx="135">
                  <c:v>7.5605490043076185E-12</c:v>
                </c:pt>
                <c:pt idx="136">
                  <c:v>7.5605490043076185E-12</c:v>
                </c:pt>
                <c:pt idx="137">
                  <c:v>7.5605490043076185E-12</c:v>
                </c:pt>
                <c:pt idx="138">
                  <c:v>7.5605490043076185E-12</c:v>
                </c:pt>
                <c:pt idx="139">
                  <c:v>7.5605490043076185E-12</c:v>
                </c:pt>
                <c:pt idx="140">
                  <c:v>7.5605490043076185E-12</c:v>
                </c:pt>
                <c:pt idx="141">
                  <c:v>7.5605490043076185E-12</c:v>
                </c:pt>
                <c:pt idx="142">
                  <c:v>7.5605490043076185E-12</c:v>
                </c:pt>
                <c:pt idx="143">
                  <c:v>7.5605490043076185E-12</c:v>
                </c:pt>
                <c:pt idx="144">
                  <c:v>7.5605490043076185E-12</c:v>
                </c:pt>
                <c:pt idx="145">
                  <c:v>7.5605490043076185E-12</c:v>
                </c:pt>
                <c:pt idx="146">
                  <c:v>7.5605490043076185E-12</c:v>
                </c:pt>
                <c:pt idx="147">
                  <c:v>7.5605490043076185E-12</c:v>
                </c:pt>
                <c:pt idx="148">
                  <c:v>7.5605490043076185E-12</c:v>
                </c:pt>
                <c:pt idx="149">
                  <c:v>7.5605490043076185E-12</c:v>
                </c:pt>
                <c:pt idx="150">
                  <c:v>7.5605490043076185E-12</c:v>
                </c:pt>
                <c:pt idx="151">
                  <c:v>7.5605490043076185E-12</c:v>
                </c:pt>
                <c:pt idx="152">
                  <c:v>7.5605490043076185E-12</c:v>
                </c:pt>
                <c:pt idx="153">
                  <c:v>7.5605490043076185E-12</c:v>
                </c:pt>
                <c:pt idx="154">
                  <c:v>7.5605490043076185E-12</c:v>
                </c:pt>
                <c:pt idx="155">
                  <c:v>7.5605490043076185E-12</c:v>
                </c:pt>
                <c:pt idx="156">
                  <c:v>7.5605490043076185E-12</c:v>
                </c:pt>
                <c:pt idx="157">
                  <c:v>7.5605490043076185E-12</c:v>
                </c:pt>
                <c:pt idx="158">
                  <c:v>7.5605490043076185E-12</c:v>
                </c:pt>
                <c:pt idx="159">
                  <c:v>7.5605490043076185E-12</c:v>
                </c:pt>
                <c:pt idx="160">
                  <c:v>7.5605490043076185E-12</c:v>
                </c:pt>
                <c:pt idx="161">
                  <c:v>7.5605490043076185E-12</c:v>
                </c:pt>
                <c:pt idx="162">
                  <c:v>7.5605490043076185E-12</c:v>
                </c:pt>
                <c:pt idx="163">
                  <c:v>7.5605490043076185E-12</c:v>
                </c:pt>
                <c:pt idx="164">
                  <c:v>7.5605490043076185E-12</c:v>
                </c:pt>
                <c:pt idx="165">
                  <c:v>7.5605490043076185E-12</c:v>
                </c:pt>
                <c:pt idx="166">
                  <c:v>7.5605490043076185E-12</c:v>
                </c:pt>
                <c:pt idx="167">
                  <c:v>7.5605490043076185E-12</c:v>
                </c:pt>
                <c:pt idx="168">
                  <c:v>7.5605490043076185E-12</c:v>
                </c:pt>
                <c:pt idx="169">
                  <c:v>7.5605490043076185E-12</c:v>
                </c:pt>
                <c:pt idx="170">
                  <c:v>7.5605490043076185E-12</c:v>
                </c:pt>
                <c:pt idx="171">
                  <c:v>7.5605490043076185E-12</c:v>
                </c:pt>
                <c:pt idx="172">
                  <c:v>7.5605490043076185E-12</c:v>
                </c:pt>
                <c:pt idx="173">
                  <c:v>7.5605490043076185E-12</c:v>
                </c:pt>
                <c:pt idx="174">
                  <c:v>7.5605490043076185E-12</c:v>
                </c:pt>
                <c:pt idx="175">
                  <c:v>7.5605490043076185E-12</c:v>
                </c:pt>
                <c:pt idx="176">
                  <c:v>7.5605490043076185E-12</c:v>
                </c:pt>
                <c:pt idx="177">
                  <c:v>7.5605490043076185E-12</c:v>
                </c:pt>
                <c:pt idx="178">
                  <c:v>7.5605490043076185E-12</c:v>
                </c:pt>
                <c:pt idx="179">
                  <c:v>7.5605490043076185E-12</c:v>
                </c:pt>
                <c:pt idx="180">
                  <c:v>7.5605490043076185E-12</c:v>
                </c:pt>
                <c:pt idx="181">
                  <c:v>7.5605490043076185E-12</c:v>
                </c:pt>
                <c:pt idx="182">
                  <c:v>7.5605490043076185E-12</c:v>
                </c:pt>
                <c:pt idx="183">
                  <c:v>7.5605490043076185E-12</c:v>
                </c:pt>
                <c:pt idx="184">
                  <c:v>7.5605490043076185E-12</c:v>
                </c:pt>
                <c:pt idx="185">
                  <c:v>7.5605490043076185E-12</c:v>
                </c:pt>
                <c:pt idx="186">
                  <c:v>7.5605490043076185E-12</c:v>
                </c:pt>
                <c:pt idx="187">
                  <c:v>7.5605490043076185E-12</c:v>
                </c:pt>
                <c:pt idx="188">
                  <c:v>7.5605490043076185E-12</c:v>
                </c:pt>
                <c:pt idx="189">
                  <c:v>7.5605490043076185E-12</c:v>
                </c:pt>
                <c:pt idx="190">
                  <c:v>7.5605490043076185E-12</c:v>
                </c:pt>
                <c:pt idx="191">
                  <c:v>7.5605490043076185E-12</c:v>
                </c:pt>
                <c:pt idx="192">
                  <c:v>7.5605490043076185E-12</c:v>
                </c:pt>
                <c:pt idx="193">
                  <c:v>7.5605490043076185E-12</c:v>
                </c:pt>
                <c:pt idx="194">
                  <c:v>7.5605490043076185E-12</c:v>
                </c:pt>
                <c:pt idx="195">
                  <c:v>7.5605490043076185E-12</c:v>
                </c:pt>
                <c:pt idx="196">
                  <c:v>7.5605490043076185E-12</c:v>
                </c:pt>
                <c:pt idx="197">
                  <c:v>7.5605490043076185E-12</c:v>
                </c:pt>
                <c:pt idx="198">
                  <c:v>7.5605490043076185E-12</c:v>
                </c:pt>
                <c:pt idx="199">
                  <c:v>7.5605490043076185E-12</c:v>
                </c:pt>
                <c:pt idx="200">
                  <c:v>7.5605490043076185E-12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74973888"/>
        <c:axId val="-1783600992"/>
      </c:scatterChart>
      <c:valAx>
        <c:axId val="-1474973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83600992"/>
        <c:crosses val="autoZero"/>
        <c:crossBetween val="midCat"/>
      </c:valAx>
      <c:valAx>
        <c:axId val="-178360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74973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118.03208120289025</c:v>
                </c:pt>
                <c:pt idx="32">
                  <c:v>127.16454093707324</c:v>
                </c:pt>
                <c:pt idx="33">
                  <c:v>136.28111027557466</c:v>
                </c:pt>
                <c:pt idx="34">
                  <c:v>145.38300356865543</c:v>
                </c:pt>
                <c:pt idx="35">
                  <c:v>154.47127040505103</c:v>
                </c:pt>
                <c:pt idx="36">
                  <c:v>164.62257075242445</c:v>
                </c:pt>
                <c:pt idx="37">
                  <c:v>174.75908346315285</c:v>
                </c:pt>
                <c:pt idx="38">
                  <c:v>184.88178804027584</c:v>
                </c:pt>
                <c:pt idx="39">
                  <c:v>194.99154782254652</c:v>
                </c:pt>
                <c:pt idx="40">
                  <c:v>205.08912920241869</c:v>
                </c:pt>
                <c:pt idx="41">
                  <c:v>216.07167176294379</c:v>
                </c:pt>
                <c:pt idx="42">
                  <c:v>227.04137501930674</c:v>
                </c:pt>
                <c:pt idx="43">
                  <c:v>237.99894718169116</c:v>
                </c:pt>
                <c:pt idx="44">
                  <c:v>248.9450258663492</c:v>
                </c:pt>
                <c:pt idx="45">
                  <c:v>259.88018799430489</c:v>
                </c:pt>
                <c:pt idx="46">
                  <c:v>271.55455561199773</c:v>
                </c:pt>
                <c:pt idx="47">
                  <c:v>283.21763703149043</c:v>
                </c:pt>
                <c:pt idx="48">
                  <c:v>294.86996273477894</c:v>
                </c:pt>
                <c:pt idx="49">
                  <c:v>306.51201783346147</c:v>
                </c:pt>
                <c:pt idx="50">
                  <c:v>318.14424756196712</c:v>
                </c:pt>
                <c:pt idx="51">
                  <c:v>329.76706192494237</c:v>
                </c:pt>
                <c:pt idx="52">
                  <c:v>239.67683700392948</c:v>
                </c:pt>
                <c:pt idx="53">
                  <c:v>250.29218464838678</c:v>
                </c:pt>
                <c:pt idx="54">
                  <c:v>260.8973260680587</c:v>
                </c:pt>
                <c:pt idx="55">
                  <c:v>271.49273488667239</c:v>
                </c:pt>
                <c:pt idx="56">
                  <c:v>282.07884471495868</c:v>
                </c:pt>
                <c:pt idx="57">
                  <c:v>292.65605393833511</c:v>
                </c:pt>
                <c:pt idx="58">
                  <c:v>303.66796237794057</c:v>
                </c:pt>
                <c:pt idx="59">
                  <c:v>314.67098963455902</c:v>
                </c:pt>
                <c:pt idx="60">
                  <c:v>325.66549017002541</c:v>
                </c:pt>
                <c:pt idx="61">
                  <c:v>336.65179254781509</c:v>
                </c:pt>
                <c:pt idx="62">
                  <c:v>347.63020212685018</c:v>
                </c:pt>
                <c:pt idx="63">
                  <c:v>358.60100339709601</c:v>
                </c:pt>
                <c:pt idx="64">
                  <c:v>260.03231321547509</c:v>
                </c:pt>
                <c:pt idx="65">
                  <c:v>269.77193063297682</c:v>
                </c:pt>
                <c:pt idx="66">
                  <c:v>279.50363527600848</c:v>
                </c:pt>
                <c:pt idx="67">
                  <c:v>289.22774169786436</c:v>
                </c:pt>
                <c:pt idx="68">
                  <c:v>298.94454155777515</c:v>
                </c:pt>
                <c:pt idx="69">
                  <c:v>308.65430599336338</c:v>
                </c:pt>
                <c:pt idx="70">
                  <c:v>318.62294171430648</c:v>
                </c:pt>
                <c:pt idx="71">
                  <c:v>328.58467368958503</c:v>
                </c:pt>
                <c:pt idx="72">
                  <c:v>338.53974084807078</c:v>
                </c:pt>
                <c:pt idx="73">
                  <c:v>348.48836691199364</c:v>
                </c:pt>
                <c:pt idx="74">
                  <c:v>358.43076178064831</c:v>
                </c:pt>
                <c:pt idx="75">
                  <c:v>368.36712275248732</c:v>
                </c:pt>
                <c:pt idx="76">
                  <c:v>291.91671551884872</c:v>
                </c:pt>
                <c:pt idx="77">
                  <c:v>300.87214322749122</c:v>
                </c:pt>
                <c:pt idx="78">
                  <c:v>309.82163676754641</c:v>
                </c:pt>
                <c:pt idx="79">
                  <c:v>318.76539185761334</c:v>
                </c:pt>
                <c:pt idx="80">
                  <c:v>327.70359232869743</c:v>
                </c:pt>
                <c:pt idx="81">
                  <c:v>336.63641115786692</c:v>
                </c:pt>
                <c:pt idx="82">
                  <c:v>345.70364470995446</c:v>
                </c:pt>
                <c:pt idx="83">
                  <c:v>354.76565626068276</c:v>
                </c:pt>
                <c:pt idx="84">
                  <c:v>363.82259809116505</c:v>
                </c:pt>
                <c:pt idx="85">
                  <c:v>372.87461427751396</c:v>
                </c:pt>
                <c:pt idx="86">
                  <c:v>381.92184132571924</c:v>
                </c:pt>
                <c:pt idx="87">
                  <c:v>390.96440874320393</c:v>
                </c:pt>
                <c:pt idx="88">
                  <c:v>316.23957957327008</c:v>
                </c:pt>
                <c:pt idx="89">
                  <c:v>324.36731982730089</c:v>
                </c:pt>
                <c:pt idx="90">
                  <c:v>332.49055967837018</c:v>
                </c:pt>
                <c:pt idx="91">
                  <c:v>340.60942467657702</c:v>
                </c:pt>
                <c:pt idx="92">
                  <c:v>348.72403389340735</c:v>
                </c:pt>
                <c:pt idx="93">
                  <c:v>356.8345004023297</c:v>
                </c:pt>
                <c:pt idx="94">
                  <c:v>364.97803760821688</c:v>
                </c:pt>
                <c:pt idx="95">
                  <c:v>373.11760631918406</c:v>
                </c:pt>
                <c:pt idx="96">
                  <c:v>381.25330537802529</c:v>
                </c:pt>
                <c:pt idx="97">
                  <c:v>389.38522906199631</c:v>
                </c:pt>
                <c:pt idx="98">
                  <c:v>397.51346738672737</c:v>
                </c:pt>
                <c:pt idx="99">
                  <c:v>405.63810638397126</c:v>
                </c:pt>
                <c:pt idx="100">
                  <c:v>212.76508133047199</c:v>
                </c:pt>
                <c:pt idx="101">
                  <c:v>218.67199561794735</c:v>
                </c:pt>
                <c:pt idx="102">
                  <c:v>224.57524361030281</c:v>
                </c:pt>
                <c:pt idx="103">
                  <c:v>230.47493544221061</c:v>
                </c:pt>
                <c:pt idx="104">
                  <c:v>236.37117514013221</c:v>
                </c:pt>
                <c:pt idx="105">
                  <c:v>241.87202761852049</c:v>
                </c:pt>
                <c:pt idx="106">
                  <c:v>247.37003385573931</c:v>
                </c:pt>
                <c:pt idx="107">
                  <c:v>252.86526614443781</c:v>
                </c:pt>
                <c:pt idx="108">
                  <c:v>258.35779337351011</c:v>
                </c:pt>
                <c:pt idx="109">
                  <c:v>263.84768125895852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83594464"/>
        <c:axId val="-1783600448"/>
      </c:scatterChart>
      <c:valAx>
        <c:axId val="-178359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83600448"/>
        <c:crosses val="autoZero"/>
        <c:crossBetween val="midCat"/>
      </c:valAx>
      <c:valAx>
        <c:axId val="-178360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8359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3.1576414327245192</c:v>
                </c:pt>
                <c:pt idx="2">
                  <c:v>3.7557997112480344</c:v>
                </c:pt>
                <c:pt idx="3">
                  <c:v>4.4676839367713423</c:v>
                </c:pt>
                <c:pt idx="4">
                  <c:v>5.3149909897624239</c:v>
                </c:pt>
                <c:pt idx="5">
                  <c:v>6.3235704417866758</c:v>
                </c:pt>
                <c:pt idx="6">
                  <c:v>7.5242217332785373</c:v>
                </c:pt>
                <c:pt idx="7">
                  <c:v>8.9536448034116152</c:v>
                </c:pt>
                <c:pt idx="8">
                  <c:v>10.655573785131358</c:v>
                </c:pt>
                <c:pt idx="9">
                  <c:v>12.682129106252026</c:v>
                </c:pt>
                <c:pt idx="10">
                  <c:v>15.095430175562756</c:v>
                </c:pt>
                <c:pt idx="11">
                  <c:v>17.969518996727786</c:v>
                </c:pt>
                <c:pt idx="12">
                  <c:v>21.3926547999347</c:v>
                </c:pt>
                <c:pt idx="13">
                  <c:v>25.470051419378432</c:v>
                </c:pt>
                <c:pt idx="14">
                  <c:v>30.327143041278173</c:v>
                </c:pt>
                <c:pt idx="15">
                  <c:v>36.113480541259463</c:v>
                </c:pt>
                <c:pt idx="16">
                  <c:v>43.007380446132458</c:v>
                </c:pt>
                <c:pt idx="17">
                  <c:v>51.221472220053933</c:v>
                </c:pt>
                <c:pt idx="18">
                  <c:v>61.009317837551897</c:v>
                </c:pt>
                <c:pt idx="19">
                  <c:v>72.673311360581707</c:v>
                </c:pt>
                <c:pt idx="20">
                  <c:v>86.574106552703938</c:v>
                </c:pt>
                <c:pt idx="21">
                  <c:v>97.493815618109565</c:v>
                </c:pt>
                <c:pt idx="22">
                  <c:v>108.3831016347627</c:v>
                </c:pt>
                <c:pt idx="23">
                  <c:v>119.24545723284972</c:v>
                </c:pt>
                <c:pt idx="24">
                  <c:v>130.08368486026362</c:v>
                </c:pt>
                <c:pt idx="25">
                  <c:v>140.90008067289321</c:v>
                </c:pt>
                <c:pt idx="26">
                  <c:v>152.27961748590789</c:v>
                </c:pt>
                <c:pt idx="27">
                  <c:v>163.63891068437815</c:v>
                </c:pt>
                <c:pt idx="28">
                  <c:v>174.97956482246332</c:v>
                </c:pt>
                <c:pt idx="29">
                  <c:v>186.30295918108774</c:v>
                </c:pt>
                <c:pt idx="30">
                  <c:v>197.61029146872451</c:v>
                </c:pt>
                <c:pt idx="31">
                  <c:v>170.03840132928266</c:v>
                </c:pt>
                <c:pt idx="32">
                  <c:v>181.65947157363232</c:v>
                </c:pt>
                <c:pt idx="33">
                  <c:v>193.26314853519432</c:v>
                </c:pt>
                <c:pt idx="34">
                  <c:v>204.85062444029083</c:v>
                </c:pt>
                <c:pt idx="35">
                  <c:v>216.42294547804465</c:v>
                </c:pt>
                <c:pt idx="36">
                  <c:v>227.98103671144975</c:v>
                </c:pt>
                <c:pt idx="37">
                  <c:v>239.52572166460229</c:v>
                </c:pt>
                <c:pt idx="38">
                  <c:v>251.05773793098513</c:v>
                </c:pt>
                <c:pt idx="39">
                  <c:v>262.57774976053264</c:v>
                </c:pt>
                <c:pt idx="40">
                  <c:v>274.08635831991677</c:v>
                </c:pt>
                <c:pt idx="41">
                  <c:v>246.15813481665387</c:v>
                </c:pt>
                <c:pt idx="42">
                  <c:v>257.10720147413707</c:v>
                </c:pt>
                <c:pt idx="43">
                  <c:v>268.04572597702139</c:v>
                </c:pt>
                <c:pt idx="44">
                  <c:v>278.97419942628261</c:v>
                </c:pt>
                <c:pt idx="45">
                  <c:v>289.89307127956818</c:v>
                </c:pt>
                <c:pt idx="46">
                  <c:v>300.2287833043473</c:v>
                </c:pt>
                <c:pt idx="47">
                  <c:v>310.55657267660109</c:v>
                </c:pt>
                <c:pt idx="48">
                  <c:v>320.8767401618216</c:v>
                </c:pt>
                <c:pt idx="49">
                  <c:v>331.18956558849356</c:v>
                </c:pt>
                <c:pt idx="50">
                  <c:v>341.49530992621681</c:v>
                </c:pt>
                <c:pt idx="51">
                  <c:v>309.98300923549442</c:v>
                </c:pt>
                <c:pt idx="52">
                  <c:v>320.01701036010542</c:v>
                </c:pt>
                <c:pt idx="53">
                  <c:v>330.04405039974381</c:v>
                </c:pt>
                <c:pt idx="54">
                  <c:v>340.06437077167715</c:v>
                </c:pt>
                <c:pt idx="55">
                  <c:v>350.07819749697484</c:v>
                </c:pt>
                <c:pt idx="56">
                  <c:v>359.51404857063443</c:v>
                </c:pt>
                <c:pt idx="57">
                  <c:v>368.94448282706475</c:v>
                </c:pt>
                <c:pt idx="58">
                  <c:v>378.369658318966</c:v>
                </c:pt>
                <c:pt idx="59">
                  <c:v>387.7897245783056</c:v>
                </c:pt>
                <c:pt idx="60">
                  <c:v>397.20482327598666</c:v>
                </c:pt>
                <c:pt idx="61">
                  <c:v>363.22970579716235</c:v>
                </c:pt>
                <c:pt idx="62">
                  <c:v>372.08678474521804</c:v>
                </c:pt>
                <c:pt idx="63">
                  <c:v>380.93926790124192</c:v>
                </c:pt>
                <c:pt idx="64">
                  <c:v>389.78727718640067</c:v>
                </c:pt>
                <c:pt idx="65">
                  <c:v>398.63092853204972</c:v>
                </c:pt>
                <c:pt idx="66">
                  <c:v>407.18525545541297</c:v>
                </c:pt>
                <c:pt idx="67">
                  <c:v>415.73569984708359</c:v>
                </c:pt>
                <c:pt idx="68">
                  <c:v>424.28235286069776</c:v>
                </c:pt>
                <c:pt idx="69">
                  <c:v>432.82530167613362</c:v>
                </c:pt>
                <c:pt idx="70">
                  <c:v>441.36462974946488</c:v>
                </c:pt>
                <c:pt idx="71">
                  <c:v>407.75540484100753</c:v>
                </c:pt>
                <c:pt idx="72">
                  <c:v>415.45074661205581</c:v>
                </c:pt>
                <c:pt idx="73">
                  <c:v>423.14301500980469</c:v>
                </c:pt>
                <c:pt idx="74">
                  <c:v>430.83227381826168</c:v>
                </c:pt>
                <c:pt idx="75">
                  <c:v>438.51858435761028</c:v>
                </c:pt>
                <c:pt idx="76">
                  <c:v>445.91748531819809</c:v>
                </c:pt>
                <c:pt idx="77">
                  <c:v>453.31375782316337</c:v>
                </c:pt>
                <c:pt idx="78">
                  <c:v>460.70745083052981</c:v>
                </c:pt>
                <c:pt idx="79">
                  <c:v>468.09861159789665</c:v>
                </c:pt>
                <c:pt idx="80">
                  <c:v>475.48728576800335</c:v>
                </c:pt>
                <c:pt idx="81">
                  <c:v>442.78750474214127</c:v>
                </c:pt>
                <c:pt idx="82">
                  <c:v>449.90041704255503</c:v>
                </c:pt>
                <c:pt idx="83">
                  <c:v>457.01092377162405</c:v>
                </c:pt>
                <c:pt idx="84">
                  <c:v>464.11906765738928</c:v>
                </c:pt>
                <c:pt idx="85">
                  <c:v>471.22489001161802</c:v>
                </c:pt>
                <c:pt idx="86">
                  <c:v>477.76023057775632</c:v>
                </c:pt>
                <c:pt idx="87">
                  <c:v>484.2936701958518</c:v>
                </c:pt>
                <c:pt idx="88">
                  <c:v>490.82523814258121</c:v>
                </c:pt>
                <c:pt idx="89">
                  <c:v>497.35496285145433</c:v>
                </c:pt>
                <c:pt idx="90">
                  <c:v>503.8828719480918</c:v>
                </c:pt>
                <c:pt idx="91">
                  <c:v>473.49826942091528</c:v>
                </c:pt>
                <c:pt idx="92">
                  <c:v>480.0329454129382</c:v>
                </c:pt>
                <c:pt idx="93">
                  <c:v>486.56573073803094</c:v>
                </c:pt>
                <c:pt idx="94">
                  <c:v>493.09665437546772</c:v>
                </c:pt>
                <c:pt idx="95">
                  <c:v>499.62574447385276</c:v>
                </c:pt>
                <c:pt idx="96">
                  <c:v>505.58550950328885</c:v>
                </c:pt>
                <c:pt idx="97">
                  <c:v>511.5437890798608</c:v>
                </c:pt>
                <c:pt idx="98">
                  <c:v>517.50060295559058</c:v>
                </c:pt>
                <c:pt idx="99">
                  <c:v>523.45597039044981</c:v>
                </c:pt>
                <c:pt idx="100">
                  <c:v>529.40991017019951</c:v>
                </c:pt>
                <c:pt idx="101">
                  <c:v>499.48382703591938</c:v>
                </c:pt>
                <c:pt idx="102">
                  <c:v>505.01797714775029</c:v>
                </c:pt>
                <c:pt idx="103">
                  <c:v>510.55084479578409</c:v>
                </c:pt>
                <c:pt idx="104">
                  <c:v>516.08244584702072</c:v>
                </c:pt>
                <c:pt idx="105">
                  <c:v>521.61279580037842</c:v>
                </c:pt>
                <c:pt idx="106">
                  <c:v>527.14190979913087</c:v>
                </c:pt>
                <c:pt idx="107">
                  <c:v>532.66980264279539</c:v>
                </c:pt>
                <c:pt idx="108">
                  <c:v>538.19648879850183</c:v>
                </c:pt>
                <c:pt idx="109">
                  <c:v>543.72198241186959</c:v>
                </c:pt>
                <c:pt idx="110">
                  <c:v>549.24629731741936</c:v>
                </c:pt>
                <c:pt idx="111">
                  <c:v>523.17241398507394</c:v>
                </c:pt>
                <c:pt idx="112">
                  <c:v>528.27593561273909</c:v>
                </c:pt>
                <c:pt idx="113">
                  <c:v>533.37841928442674</c:v>
                </c:pt>
                <c:pt idx="114">
                  <c:v>538.47987633603952</c:v>
                </c:pt>
                <c:pt idx="115">
                  <c:v>543.58031787105062</c:v>
                </c:pt>
                <c:pt idx="116">
                  <c:v>548.67975476745539</c:v>
                </c:pt>
                <c:pt idx="117">
                  <c:v>553.77819768444863</c:v>
                </c:pt>
                <c:pt idx="118">
                  <c:v>558.87565706884516</c:v>
                </c:pt>
                <c:pt idx="119">
                  <c:v>563.97214316125098</c:v>
                </c:pt>
                <c:pt idx="120">
                  <c:v>569.06766600200399</c:v>
                </c:pt>
                <c:pt idx="121">
                  <c:v>543.86364617774927</c:v>
                </c:pt>
                <c:pt idx="122">
                  <c:v>548.39647889170249</c:v>
                </c:pt>
                <c:pt idx="123">
                  <c:v>552.92852577870167</c:v>
                </c:pt>
                <c:pt idx="124">
                  <c:v>557.45979419212006</c:v>
                </c:pt>
                <c:pt idx="125">
                  <c:v>561.99029135597073</c:v>
                </c:pt>
                <c:pt idx="126">
                  <c:v>566.52002436822829</c:v>
                </c:pt>
                <c:pt idx="127">
                  <c:v>571.04900020404136</c:v>
                </c:pt>
                <c:pt idx="128">
                  <c:v>575.57722571883676</c:v>
                </c:pt>
                <c:pt idx="129">
                  <c:v>580.10470765132095</c:v>
                </c:pt>
                <c:pt idx="130">
                  <c:v>584.63145262638284</c:v>
                </c:pt>
                <c:pt idx="131">
                  <c:v>3.2541982832721012E-12</c:v>
                </c:pt>
                <c:pt idx="132">
                  <c:v>3.2541982832721012E-12</c:v>
                </c:pt>
                <c:pt idx="133">
                  <c:v>3.2541982832721012E-12</c:v>
                </c:pt>
                <c:pt idx="134">
                  <c:v>3.2541982832721012E-12</c:v>
                </c:pt>
                <c:pt idx="135">
                  <c:v>3.2541982832721012E-12</c:v>
                </c:pt>
                <c:pt idx="136">
                  <c:v>3.2541982832721012E-12</c:v>
                </c:pt>
                <c:pt idx="137">
                  <c:v>3.2541982832721012E-12</c:v>
                </c:pt>
                <c:pt idx="138">
                  <c:v>3.2541982832721012E-12</c:v>
                </c:pt>
                <c:pt idx="139">
                  <c:v>3.2541982832721012E-12</c:v>
                </c:pt>
                <c:pt idx="140">
                  <c:v>3.2541982832721012E-12</c:v>
                </c:pt>
                <c:pt idx="141">
                  <c:v>3.2541982832721012E-12</c:v>
                </c:pt>
                <c:pt idx="142">
                  <c:v>3.2541982832721012E-12</c:v>
                </c:pt>
                <c:pt idx="143">
                  <c:v>3.2541982832721012E-12</c:v>
                </c:pt>
                <c:pt idx="144">
                  <c:v>3.2541982832721012E-12</c:v>
                </c:pt>
                <c:pt idx="145">
                  <c:v>3.2541982832721012E-12</c:v>
                </c:pt>
                <c:pt idx="146">
                  <c:v>3.2541982832721012E-12</c:v>
                </c:pt>
                <c:pt idx="147">
                  <c:v>3.2541982832721012E-12</c:v>
                </c:pt>
                <c:pt idx="148">
                  <c:v>3.2541982832721012E-12</c:v>
                </c:pt>
                <c:pt idx="149">
                  <c:v>3.2541982832721012E-12</c:v>
                </c:pt>
                <c:pt idx="150">
                  <c:v>3.2541982832721012E-12</c:v>
                </c:pt>
                <c:pt idx="151">
                  <c:v>3.2541982832721012E-12</c:v>
                </c:pt>
                <c:pt idx="152">
                  <c:v>3.2541982832721012E-12</c:v>
                </c:pt>
                <c:pt idx="153">
                  <c:v>3.2541982832721012E-12</c:v>
                </c:pt>
                <c:pt idx="154">
                  <c:v>3.2541982832721012E-12</c:v>
                </c:pt>
                <c:pt idx="155">
                  <c:v>3.2541982832721012E-12</c:v>
                </c:pt>
                <c:pt idx="156">
                  <c:v>3.2541982832721012E-12</c:v>
                </c:pt>
                <c:pt idx="157">
                  <c:v>3.2541982832721012E-12</c:v>
                </c:pt>
                <c:pt idx="158">
                  <c:v>3.2541982832721012E-12</c:v>
                </c:pt>
                <c:pt idx="159">
                  <c:v>3.2541982832721012E-12</c:v>
                </c:pt>
                <c:pt idx="160">
                  <c:v>3.2541982832721012E-12</c:v>
                </c:pt>
                <c:pt idx="161">
                  <c:v>3.2541982832721012E-12</c:v>
                </c:pt>
                <c:pt idx="162">
                  <c:v>3.2541982832721012E-12</c:v>
                </c:pt>
                <c:pt idx="163">
                  <c:v>3.2541982832721012E-12</c:v>
                </c:pt>
                <c:pt idx="164">
                  <c:v>3.2541982832721012E-12</c:v>
                </c:pt>
                <c:pt idx="165">
                  <c:v>3.2541982832721012E-12</c:v>
                </c:pt>
                <c:pt idx="166">
                  <c:v>3.2541982832721012E-12</c:v>
                </c:pt>
                <c:pt idx="167">
                  <c:v>3.2541982832721012E-12</c:v>
                </c:pt>
                <c:pt idx="168">
                  <c:v>3.2541982832721012E-12</c:v>
                </c:pt>
                <c:pt idx="169">
                  <c:v>3.2541982832721012E-12</c:v>
                </c:pt>
                <c:pt idx="170">
                  <c:v>3.2541982832721012E-12</c:v>
                </c:pt>
                <c:pt idx="171">
                  <c:v>3.2541982832721012E-12</c:v>
                </c:pt>
                <c:pt idx="172">
                  <c:v>3.2541982832721012E-12</c:v>
                </c:pt>
                <c:pt idx="173">
                  <c:v>3.2541982832721012E-12</c:v>
                </c:pt>
                <c:pt idx="174">
                  <c:v>3.2541982832721012E-12</c:v>
                </c:pt>
                <c:pt idx="175">
                  <c:v>3.2541982832721012E-12</c:v>
                </c:pt>
                <c:pt idx="176">
                  <c:v>3.2541982832721012E-12</c:v>
                </c:pt>
                <c:pt idx="177">
                  <c:v>3.2541982832721012E-12</c:v>
                </c:pt>
                <c:pt idx="178">
                  <c:v>3.2541982832721012E-12</c:v>
                </c:pt>
                <c:pt idx="179">
                  <c:v>3.2541982832721012E-12</c:v>
                </c:pt>
                <c:pt idx="180">
                  <c:v>3.2541982832721012E-12</c:v>
                </c:pt>
                <c:pt idx="181">
                  <c:v>3.2541982832721012E-12</c:v>
                </c:pt>
                <c:pt idx="182">
                  <c:v>3.2541982832721012E-12</c:v>
                </c:pt>
                <c:pt idx="183">
                  <c:v>3.2541982832721012E-12</c:v>
                </c:pt>
                <c:pt idx="184">
                  <c:v>3.2541982832721012E-12</c:v>
                </c:pt>
                <c:pt idx="185">
                  <c:v>3.2541982832721012E-12</c:v>
                </c:pt>
                <c:pt idx="186">
                  <c:v>3.2541982832721012E-12</c:v>
                </c:pt>
                <c:pt idx="187">
                  <c:v>3.2541982832721012E-12</c:v>
                </c:pt>
                <c:pt idx="188">
                  <c:v>3.2541982832721012E-12</c:v>
                </c:pt>
                <c:pt idx="189">
                  <c:v>3.2541982832721012E-12</c:v>
                </c:pt>
                <c:pt idx="190">
                  <c:v>3.2541982832721012E-12</c:v>
                </c:pt>
                <c:pt idx="191">
                  <c:v>3.2541982832721012E-12</c:v>
                </c:pt>
                <c:pt idx="192">
                  <c:v>3.2541982832721012E-12</c:v>
                </c:pt>
                <c:pt idx="193">
                  <c:v>3.2541982832721012E-12</c:v>
                </c:pt>
                <c:pt idx="194">
                  <c:v>3.2541982832721012E-12</c:v>
                </c:pt>
                <c:pt idx="195">
                  <c:v>3.2541982832721012E-12</c:v>
                </c:pt>
                <c:pt idx="196">
                  <c:v>3.2541982832721012E-12</c:v>
                </c:pt>
                <c:pt idx="197">
                  <c:v>3.2541982832721012E-12</c:v>
                </c:pt>
                <c:pt idx="198">
                  <c:v>3.2541982832721012E-12</c:v>
                </c:pt>
                <c:pt idx="199">
                  <c:v>3.2541982832721012E-12</c:v>
                </c:pt>
                <c:pt idx="200">
                  <c:v>3.2541982832721012E-12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83598272"/>
        <c:axId val="-1783597184"/>
      </c:scatterChart>
      <c:valAx>
        <c:axId val="-178359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83597184"/>
        <c:crosses val="autoZero"/>
        <c:crossBetween val="midCat"/>
      </c:valAx>
      <c:valAx>
        <c:axId val="-178359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8359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2.9302073145411804</c:v>
                </c:pt>
                <c:pt idx="2">
                  <c:v>3.4851417088372916</c:v>
                </c:pt>
                <c:pt idx="3">
                  <c:v>4.1455588215687582</c:v>
                </c:pt>
                <c:pt idx="4">
                  <c:v>4.9315783690582871</c:v>
                </c:pt>
                <c:pt idx="5">
                  <c:v>5.8671700944473564</c:v>
                </c:pt>
                <c:pt idx="6">
                  <c:v>6.9808927017731968</c:v>
                </c:pt>
                <c:pt idx="7">
                  <c:v>8.3067750053968279</c:v>
                </c:pt>
                <c:pt idx="8">
                  <c:v>9.8853667349456646</c:v>
                </c:pt>
                <c:pt idx="9">
                  <c:v>11.76499174270189</c:v>
                </c:pt>
                <c:pt idx="10">
                  <c:v>14.003242695589087</c:v>
                </c:pt>
                <c:pt idx="11">
                  <c:v>16.668763897277021</c:v>
                </c:pt>
                <c:pt idx="12">
                  <c:v>19.843377915972219</c:v>
                </c:pt>
                <c:pt idx="13">
                  <c:v>23.6246224751299</c:v>
                </c:pt>
                <c:pt idx="14">
                  <c:v>28.128776937999067</c:v>
                </c:pt>
                <c:pt idx="15">
                  <c:v>33.494473089241723</c:v>
                </c:pt>
                <c:pt idx="16">
                  <c:v>39.887003273660568</c:v>
                </c:pt>
                <c:pt idx="17">
                  <c:v>47.503460873746342</c:v>
                </c:pt>
                <c:pt idx="18">
                  <c:v>56.578874287788693</c:v>
                </c:pt>
                <c:pt idx="19">
                  <c:v>67.393526837259657</c:v>
                </c:pt>
                <c:pt idx="20">
                  <c:v>80.281692376119707</c:v>
                </c:pt>
                <c:pt idx="21">
                  <c:v>90.405669261075516</c:v>
                </c:pt>
                <c:pt idx="22">
                  <c:v>100.50123816727263</c:v>
                </c:pt>
                <c:pt idx="23">
                  <c:v>110.57166039061055</c:v>
                </c:pt>
                <c:pt idx="24">
                  <c:v>120.61955275890513</c:v>
                </c:pt>
                <c:pt idx="25">
                  <c:v>130.64705934220814</c:v>
                </c:pt>
                <c:pt idx="26">
                  <c:v>141.19649024059737</c:v>
                </c:pt>
                <c:pt idx="27">
                  <c:v>151.72701835982551</c:v>
                </c:pt>
                <c:pt idx="28">
                  <c:v>162.24014197644087</c:v>
                </c:pt>
                <c:pt idx="29">
                  <c:v>172.73714901472479</c:v>
                </c:pt>
                <c:pt idx="30">
                  <c:v>183.21915785295494</c:v>
                </c:pt>
                <c:pt idx="31">
                  <c:v>157.65955129365608</c:v>
                </c:pt>
                <c:pt idx="32">
                  <c:v>168.43255913514403</c:v>
                </c:pt>
                <c:pt idx="33">
                  <c:v>179.18932573756373</c:v>
                </c:pt>
                <c:pt idx="34">
                  <c:v>189.93096436015193</c:v>
                </c:pt>
                <c:pt idx="35">
                  <c:v>200.65845189771687</c:v>
                </c:pt>
                <c:pt idx="36">
                  <c:v>211.37265214172476</c:v>
                </c:pt>
                <c:pt idx="37">
                  <c:v>222.07433407017035</c:v>
                </c:pt>
                <c:pt idx="38">
                  <c:v>232.76418642204794</c:v>
                </c:pt>
                <c:pt idx="39">
                  <c:v>243.44282945071117</c:v>
                </c:pt>
                <c:pt idx="40">
                  <c:v>254.11082450457045</c:v>
                </c:pt>
                <c:pt idx="41">
                  <c:v>228.22240336729419</c:v>
                </c:pt>
                <c:pt idx="42">
                  <c:v>238.37183481833893</c:v>
                </c:pt>
                <c:pt idx="43">
                  <c:v>248.51142237417287</c:v>
                </c:pt>
                <c:pt idx="44">
                  <c:v>258.64162460770871</c:v>
                </c:pt>
                <c:pt idx="45">
                  <c:v>268.76286120677645</c:v>
                </c:pt>
                <c:pt idx="46">
                  <c:v>278.34348060929602</c:v>
                </c:pt>
                <c:pt idx="47">
                  <c:v>287.91670211601337</c:v>
                </c:pt>
                <c:pt idx="48">
                  <c:v>297.48280657122456</c:v>
                </c:pt>
                <c:pt idx="49">
                  <c:v>307.04205526898079</c:v>
                </c:pt>
                <c:pt idx="50">
                  <c:v>316.59469189356571</c:v>
                </c:pt>
                <c:pt idx="51">
                  <c:v>287.38504569034728</c:v>
                </c:pt>
                <c:pt idx="52">
                  <c:v>296.68589653431656</c:v>
                </c:pt>
                <c:pt idx="53">
                  <c:v>305.98024736062979</c:v>
                </c:pt>
                <c:pt idx="54">
                  <c:v>315.26832359628702</c:v>
                </c:pt>
                <c:pt idx="55">
                  <c:v>324.55033629185687</c:v>
                </c:pt>
                <c:pt idx="56">
                  <c:v>333.29657259390086</c:v>
                </c:pt>
                <c:pt idx="57">
                  <c:v>342.03775086149108</c:v>
                </c:pt>
                <c:pt idx="58">
                  <c:v>350.77401867870987</c:v>
                </c:pt>
                <c:pt idx="59">
                  <c:v>359.50551567327824</c:v>
                </c:pt>
                <c:pt idx="60">
                  <c:v>368.23237413253008</c:v>
                </c:pt>
                <c:pt idx="61">
                  <c:v>336.7406624977931</c:v>
                </c:pt>
                <c:pt idx="62">
                  <c:v>344.95037868678219</c:v>
                </c:pt>
                <c:pt idx="63">
                  <c:v>353.15580348592783</c:v>
                </c:pt>
                <c:pt idx="64">
                  <c:v>361.35705074095091</c:v>
                </c:pt>
                <c:pt idx="65">
                  <c:v>369.55422870449615</c:v>
                </c:pt>
                <c:pt idx="66">
                  <c:v>377.48320416927146</c:v>
                </c:pt>
                <c:pt idx="67">
                  <c:v>385.40855426175926</c:v>
                </c:pt>
                <c:pt idx="68">
                  <c:v>393.33036409803617</c:v>
                </c:pt>
                <c:pt idx="69">
                  <c:v>401.24871508362349</c:v>
                </c:pt>
                <c:pt idx="70">
                  <c:v>409.1636851468831</c:v>
                </c:pt>
                <c:pt idx="71">
                  <c:v>378.01167266932043</c:v>
                </c:pt>
                <c:pt idx="72">
                  <c:v>385.14443342475147</c:v>
                </c:pt>
                <c:pt idx="73">
                  <c:v>392.27432437169915</c:v>
                </c:pt>
                <c:pt idx="74">
                  <c:v>399.401405069438</c:v>
                </c:pt>
                <c:pt idx="75">
                  <c:v>406.52573277661105</c:v>
                </c:pt>
                <c:pt idx="76">
                  <c:v>413.38364599891889</c:v>
                </c:pt>
                <c:pt idx="77">
                  <c:v>420.23910486130688</c:v>
                </c:pt>
                <c:pt idx="78">
                  <c:v>427.09215507906538</c:v>
                </c:pt>
                <c:pt idx="79">
                  <c:v>433.94284077968706</c:v>
                </c:pt>
                <c:pt idx="80">
                  <c:v>440.79120458276606</c:v>
                </c:pt>
                <c:pt idx="81">
                  <c:v>410.48252341188987</c:v>
                </c:pt>
                <c:pt idx="82">
                  <c:v>417.07534895340626</c:v>
                </c:pt>
                <c:pt idx="83">
                  <c:v>423.66592825654544</c:v>
                </c:pt>
                <c:pt idx="84">
                  <c:v>430.25430121925746</c:v>
                </c:pt>
                <c:pt idx="85">
                  <c:v>436.84050641702515</c:v>
                </c:pt>
                <c:pt idx="86">
                  <c:v>442.89793272892052</c:v>
                </c:pt>
                <c:pt idx="87">
                  <c:v>448.95358400202684</c:v>
                </c:pt>
                <c:pt idx="88">
                  <c:v>455.00748757388055</c:v>
                </c:pt>
                <c:pt idx="89">
                  <c:v>461.0596699946986</c:v>
                </c:pt>
                <c:pt idx="90">
                  <c:v>467.11015706031912</c:v>
                </c:pt>
                <c:pt idx="91">
                  <c:v>438.94764037703249</c:v>
                </c:pt>
                <c:pt idx="92">
                  <c:v>445.00444613286498</c:v>
                </c:pt>
                <c:pt idx="93">
                  <c:v>451.05948645005157</c:v>
                </c:pt>
                <c:pt idx="94">
                  <c:v>457.11278838842503</c:v>
                </c:pt>
                <c:pt idx="95">
                  <c:v>463.16437823216739</c:v>
                </c:pt>
                <c:pt idx="96">
                  <c:v>468.68826929391076</c:v>
                </c:pt>
                <c:pt idx="97">
                  <c:v>474.21077329172914</c:v>
                </c:pt>
                <c:pt idx="98">
                  <c:v>479.73190866936989</c:v>
                </c:pt>
                <c:pt idx="99">
                  <c:v>485.25169341112058</c:v>
                </c:pt>
                <c:pt idx="100">
                  <c:v>490.77014505846773</c:v>
                </c:pt>
                <c:pt idx="101">
                  <c:v>463.03283995599639</c:v>
                </c:pt>
                <c:pt idx="102">
                  <c:v>468.16224448498724</c:v>
                </c:pt>
                <c:pt idx="103">
                  <c:v>473.29045149414372</c:v>
                </c:pt>
                <c:pt idx="104">
                  <c:v>478.41747579951516</c:v>
                </c:pt>
                <c:pt idx="105">
                  <c:v>483.54333187344923</c:v>
                </c:pt>
                <c:pt idx="106">
                  <c:v>488.66803385620551</c:v>
                </c:pt>
                <c:pt idx="107">
                  <c:v>493.79159556705531</c:v>
                </c:pt>
                <c:pt idx="108">
                  <c:v>498.91403051489851</c:v>
                </c:pt>
                <c:pt idx="109">
                  <c:v>504.03535190841973</c:v>
                </c:pt>
                <c:pt idx="110">
                  <c:v>509.15557266581067</c:v>
                </c:pt>
                <c:pt idx="111">
                  <c:v>484.98887688478209</c:v>
                </c:pt>
                <c:pt idx="112">
                  <c:v>489.71911338793558</c:v>
                </c:pt>
                <c:pt idx="113">
                  <c:v>494.44838068410405</c:v>
                </c:pt>
                <c:pt idx="114">
                  <c:v>499.1766893583565</c:v>
                </c:pt>
                <c:pt idx="115">
                  <c:v>503.90404977872805</c:v>
                </c:pt>
                <c:pt idx="116">
                  <c:v>508.6304721027102</c:v>
                </c:pt>
                <c:pt idx="117">
                  <c:v>513.35596628348651</c:v>
                </c:pt>
                <c:pt idx="118">
                  <c:v>518.08054207592647</c:v>
                </c:pt>
                <c:pt idx="119">
                  <c:v>522.80420904235064</c:v>
                </c:pt>
                <c:pt idx="120">
                  <c:v>527.52697655807481</c:v>
                </c:pt>
                <c:pt idx="121">
                  <c:v>504.16665331450054</c:v>
                </c:pt>
                <c:pt idx="122">
                  <c:v>508.3679175251213</c:v>
                </c:pt>
                <c:pt idx="123">
                  <c:v>512.56844795801965</c:v>
                </c:pt>
                <c:pt idx="124">
                  <c:v>516.76825147951865</c:v>
                </c:pt>
                <c:pt idx="125">
                  <c:v>520.9673348351489</c:v>
                </c:pt>
                <c:pt idx="126">
                  <c:v>525.16570465275061</c:v>
                </c:pt>
                <c:pt idx="127">
                  <c:v>529.36336744547361</c:v>
                </c:pt>
                <c:pt idx="128">
                  <c:v>533.56032961467588</c:v>
                </c:pt>
                <c:pt idx="129">
                  <c:v>537.75659745272549</c:v>
                </c:pt>
                <c:pt idx="130">
                  <c:v>541.95217714571231</c:v>
                </c:pt>
                <c:pt idx="131">
                  <c:v>3.036919790734272E-12</c:v>
                </c:pt>
                <c:pt idx="132">
                  <c:v>3.036919790734272E-12</c:v>
                </c:pt>
                <c:pt idx="133">
                  <c:v>3.036919790734272E-12</c:v>
                </c:pt>
                <c:pt idx="134">
                  <c:v>3.036919790734272E-12</c:v>
                </c:pt>
                <c:pt idx="135">
                  <c:v>3.036919790734272E-12</c:v>
                </c:pt>
                <c:pt idx="136">
                  <c:v>3.036919790734272E-12</c:v>
                </c:pt>
                <c:pt idx="137">
                  <c:v>3.036919790734272E-12</c:v>
                </c:pt>
                <c:pt idx="138">
                  <c:v>3.036919790734272E-12</c:v>
                </c:pt>
                <c:pt idx="139">
                  <c:v>3.036919790734272E-12</c:v>
                </c:pt>
                <c:pt idx="140">
                  <c:v>3.036919790734272E-12</c:v>
                </c:pt>
                <c:pt idx="141">
                  <c:v>3.036919790734272E-12</c:v>
                </c:pt>
                <c:pt idx="142">
                  <c:v>3.036919790734272E-12</c:v>
                </c:pt>
                <c:pt idx="143">
                  <c:v>3.036919790734272E-12</c:v>
                </c:pt>
                <c:pt idx="144">
                  <c:v>3.036919790734272E-12</c:v>
                </c:pt>
                <c:pt idx="145">
                  <c:v>3.036919790734272E-12</c:v>
                </c:pt>
                <c:pt idx="146">
                  <c:v>3.036919790734272E-12</c:v>
                </c:pt>
                <c:pt idx="147">
                  <c:v>3.036919790734272E-12</c:v>
                </c:pt>
                <c:pt idx="148">
                  <c:v>3.036919790734272E-12</c:v>
                </c:pt>
                <c:pt idx="149">
                  <c:v>3.036919790734272E-12</c:v>
                </c:pt>
                <c:pt idx="150">
                  <c:v>3.036919790734272E-12</c:v>
                </c:pt>
                <c:pt idx="151">
                  <c:v>3.036919790734272E-12</c:v>
                </c:pt>
                <c:pt idx="152">
                  <c:v>3.036919790734272E-12</c:v>
                </c:pt>
                <c:pt idx="153">
                  <c:v>3.036919790734272E-12</c:v>
                </c:pt>
                <c:pt idx="154">
                  <c:v>3.036919790734272E-12</c:v>
                </c:pt>
                <c:pt idx="155">
                  <c:v>3.036919790734272E-12</c:v>
                </c:pt>
                <c:pt idx="156">
                  <c:v>3.036919790734272E-12</c:v>
                </c:pt>
                <c:pt idx="157">
                  <c:v>3.036919790734272E-12</c:v>
                </c:pt>
                <c:pt idx="158">
                  <c:v>3.036919790734272E-12</c:v>
                </c:pt>
                <c:pt idx="159">
                  <c:v>3.036919790734272E-12</c:v>
                </c:pt>
                <c:pt idx="160">
                  <c:v>3.036919790734272E-12</c:v>
                </c:pt>
                <c:pt idx="161">
                  <c:v>3.036919790734272E-12</c:v>
                </c:pt>
                <c:pt idx="162">
                  <c:v>3.036919790734272E-12</c:v>
                </c:pt>
                <c:pt idx="163">
                  <c:v>3.036919790734272E-12</c:v>
                </c:pt>
                <c:pt idx="164">
                  <c:v>3.036919790734272E-12</c:v>
                </c:pt>
                <c:pt idx="165">
                  <c:v>3.036919790734272E-12</c:v>
                </c:pt>
                <c:pt idx="166">
                  <c:v>3.036919790734272E-12</c:v>
                </c:pt>
                <c:pt idx="167">
                  <c:v>3.036919790734272E-12</c:v>
                </c:pt>
                <c:pt idx="168">
                  <c:v>3.036919790734272E-12</c:v>
                </c:pt>
                <c:pt idx="169">
                  <c:v>3.036919790734272E-12</c:v>
                </c:pt>
                <c:pt idx="170">
                  <c:v>3.036919790734272E-12</c:v>
                </c:pt>
                <c:pt idx="171">
                  <c:v>3.036919790734272E-12</c:v>
                </c:pt>
                <c:pt idx="172">
                  <c:v>3.036919790734272E-12</c:v>
                </c:pt>
                <c:pt idx="173">
                  <c:v>3.036919790734272E-12</c:v>
                </c:pt>
                <c:pt idx="174">
                  <c:v>3.036919790734272E-12</c:v>
                </c:pt>
                <c:pt idx="175">
                  <c:v>3.036919790734272E-12</c:v>
                </c:pt>
                <c:pt idx="176">
                  <c:v>3.036919790734272E-12</c:v>
                </c:pt>
                <c:pt idx="177">
                  <c:v>3.036919790734272E-12</c:v>
                </c:pt>
                <c:pt idx="178">
                  <c:v>3.036919790734272E-12</c:v>
                </c:pt>
                <c:pt idx="179">
                  <c:v>3.036919790734272E-12</c:v>
                </c:pt>
                <c:pt idx="180">
                  <c:v>3.036919790734272E-12</c:v>
                </c:pt>
                <c:pt idx="181">
                  <c:v>3.036919790734272E-12</c:v>
                </c:pt>
                <c:pt idx="182">
                  <c:v>3.036919790734272E-12</c:v>
                </c:pt>
                <c:pt idx="183">
                  <c:v>3.036919790734272E-12</c:v>
                </c:pt>
                <c:pt idx="184">
                  <c:v>3.036919790734272E-12</c:v>
                </c:pt>
                <c:pt idx="185">
                  <c:v>3.036919790734272E-12</c:v>
                </c:pt>
                <c:pt idx="186">
                  <c:v>3.036919790734272E-12</c:v>
                </c:pt>
                <c:pt idx="187">
                  <c:v>3.036919790734272E-12</c:v>
                </c:pt>
                <c:pt idx="188">
                  <c:v>3.036919790734272E-12</c:v>
                </c:pt>
                <c:pt idx="189">
                  <c:v>3.036919790734272E-12</c:v>
                </c:pt>
                <c:pt idx="190">
                  <c:v>3.036919790734272E-12</c:v>
                </c:pt>
                <c:pt idx="191">
                  <c:v>3.036919790734272E-12</c:v>
                </c:pt>
                <c:pt idx="192">
                  <c:v>3.036919790734272E-12</c:v>
                </c:pt>
                <c:pt idx="193">
                  <c:v>3.036919790734272E-12</c:v>
                </c:pt>
                <c:pt idx="194">
                  <c:v>3.036919790734272E-12</c:v>
                </c:pt>
                <c:pt idx="195">
                  <c:v>3.036919790734272E-12</c:v>
                </c:pt>
                <c:pt idx="196">
                  <c:v>3.036919790734272E-12</c:v>
                </c:pt>
                <c:pt idx="197">
                  <c:v>3.036919790734272E-12</c:v>
                </c:pt>
                <c:pt idx="198">
                  <c:v>3.036919790734272E-12</c:v>
                </c:pt>
                <c:pt idx="199">
                  <c:v>3.036919790734272E-12</c:v>
                </c:pt>
                <c:pt idx="200">
                  <c:v>3.036919790734272E-12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83596096"/>
        <c:axId val="-1474357744"/>
      </c:scatterChart>
      <c:valAx>
        <c:axId val="-178359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74357744"/>
        <c:crosses val="autoZero"/>
        <c:crossBetween val="midCat"/>
      </c:valAx>
      <c:valAx>
        <c:axId val="-147435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8359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74356656"/>
        <c:axId val="-1474353392"/>
      </c:scatterChart>
      <c:valAx>
        <c:axId val="-1474356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74353392"/>
        <c:crosses val="autoZero"/>
        <c:crossBetween val="midCat"/>
      </c:valAx>
      <c:valAx>
        <c:axId val="-1474353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74356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82904144"/>
        <c:axId val="-1782900336"/>
      </c:scatterChart>
      <c:valAx>
        <c:axId val="-17829041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82900336"/>
        <c:crosses val="autoZero"/>
        <c:crossBetween val="midCat"/>
      </c:valAx>
      <c:valAx>
        <c:axId val="-178290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82904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82899792"/>
        <c:axId val="-1582508560"/>
      </c:scatterChart>
      <c:valAx>
        <c:axId val="-1782899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508560"/>
        <c:crosses val="autoZero"/>
        <c:crossBetween val="midCat"/>
      </c:valAx>
      <c:valAx>
        <c:axId val="-158250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82899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2502576"/>
        <c:axId val="-1782549376"/>
      </c:scatterChart>
      <c:valAx>
        <c:axId val="-1582502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82549376"/>
        <c:crosses val="autoZero"/>
        <c:crossBetween val="midCat"/>
      </c:valAx>
      <c:valAx>
        <c:axId val="-178254937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502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25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25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25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25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25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25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25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25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25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25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25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25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25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25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25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25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64" zoomScale="80" zoomScaleNormal="80" workbookViewId="0">
      <selection activeCell="H89" sqref="H8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2" t="s">
        <v>231</v>
      </c>
      <c r="B5" s="302"/>
      <c r="C5" s="26">
        <v>4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38</v>
      </c>
      <c r="C9" s="35">
        <v>0.4</v>
      </c>
      <c r="D9" s="36">
        <f t="shared" ref="D9:D18" si="0">C9*$C$5</f>
        <v>1.6</v>
      </c>
      <c r="E9" s="37">
        <v>105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40</v>
      </c>
      <c r="C10" s="35">
        <v>0.2</v>
      </c>
      <c r="D10" s="36">
        <f t="shared" si="0"/>
        <v>0.8</v>
      </c>
      <c r="E10" s="37">
        <v>91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164</v>
      </c>
      <c r="C11" s="35">
        <v>0.2</v>
      </c>
      <c r="D11" s="36">
        <f t="shared" si="0"/>
        <v>0.8</v>
      </c>
      <c r="E11" s="37">
        <v>109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9</v>
      </c>
      <c r="C12" s="35">
        <v>0.13</v>
      </c>
      <c r="D12" s="36">
        <f t="shared" si="0"/>
        <v>0.52</v>
      </c>
      <c r="E12" s="37">
        <v>130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</v>
      </c>
      <c r="C13" s="35">
        <v>0.05</v>
      </c>
      <c r="D13" s="36">
        <f t="shared" si="0"/>
        <v>0.2</v>
      </c>
      <c r="E13" s="37">
        <v>130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0.98000000000000009</v>
      </c>
      <c r="D19" s="41">
        <f>SUM(D9:D18)</f>
        <v>3.9200000000000004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noir d'Autriche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1">
        <f>22.55/1.3</f>
        <v>17.346153846153847</v>
      </c>
      <c r="C36" s="61"/>
      <c r="D36" s="61"/>
      <c r="E36" s="54"/>
      <c r="F36" s="54"/>
      <c r="G36" s="54"/>
      <c r="H36" s="54"/>
      <c r="I36" s="52">
        <f>IFERROR(B36/A36,"")</f>
        <v>1.1564102564102565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1">
        <f>63.22/1.3</f>
        <v>48.630769230769225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6.2569230769230755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1">
        <f>117.29/1.3</f>
        <v>90.223076923076931</v>
      </c>
      <c r="C38" s="61"/>
      <c r="D38" s="61"/>
      <c r="E38" s="54"/>
      <c r="F38" s="54"/>
      <c r="G38" s="54"/>
      <c r="H38" s="54"/>
      <c r="I38" s="56">
        <f t="shared" si="1"/>
        <v>8.3184615384615412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1">
        <f>177.13/1.3</f>
        <v>136.25384615384615</v>
      </c>
      <c r="C39" s="61"/>
      <c r="D39" s="61"/>
      <c r="E39" s="54"/>
      <c r="F39" s="54"/>
      <c r="G39" s="54"/>
      <c r="H39" s="54"/>
      <c r="I39" s="52">
        <f t="shared" si="1"/>
        <v>9.2061538461538444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1">
        <f>239.97/1.3</f>
        <v>184.59230769230768</v>
      </c>
      <c r="C40" s="61"/>
      <c r="D40" s="61"/>
      <c r="E40" s="54"/>
      <c r="F40" s="54"/>
      <c r="G40" s="54"/>
      <c r="H40" s="54"/>
      <c r="I40" s="52">
        <f t="shared" si="1"/>
        <v>9.667692307692306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1">
        <f>301.74/1.3</f>
        <v>232.1076923076923</v>
      </c>
      <c r="C41" s="61">
        <v>1</v>
      </c>
      <c r="D41" s="61">
        <f>85.76/1.3</f>
        <v>65.969230769230776</v>
      </c>
      <c r="E41" s="54"/>
      <c r="F41" s="54"/>
      <c r="G41" s="54"/>
      <c r="H41" s="54"/>
      <c r="I41" s="56">
        <f t="shared" si="1"/>
        <v>9.5030769230769234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1">
        <f>269.2/1.3</f>
        <v>207.07692307692307</v>
      </c>
      <c r="C42" s="61"/>
      <c r="D42" s="61"/>
      <c r="E42" s="54"/>
      <c r="F42" s="54"/>
      <c r="G42" s="54"/>
      <c r="H42" s="54"/>
      <c r="I42" s="56">
        <f t="shared" si="1"/>
        <v>8.1876923076923109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1">
        <v>50</v>
      </c>
      <c r="B43" s="61">
        <f>322.64/1.3</f>
        <v>248.18461538461537</v>
      </c>
      <c r="C43" s="61"/>
      <c r="D43" s="61"/>
      <c r="E43" s="54"/>
      <c r="F43" s="54"/>
      <c r="G43" s="54"/>
      <c r="H43" s="54"/>
      <c r="I43" s="52">
        <f t="shared" si="1"/>
        <v>8.2215384615384615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1">
        <v>55</v>
      </c>
      <c r="B44" s="61">
        <f>375.89/1.3</f>
        <v>289.14615384615382</v>
      </c>
      <c r="C44" s="61">
        <v>2</v>
      </c>
      <c r="D44" s="61">
        <f>84.57/1.3</f>
        <v>65.053846153846152</v>
      </c>
      <c r="E44" s="54"/>
      <c r="F44" s="54"/>
      <c r="G44" s="54"/>
      <c r="H44" s="54"/>
      <c r="I44" s="52">
        <f t="shared" si="1"/>
        <v>8.1923076923076898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1">
        <v>60</v>
      </c>
      <c r="B45" s="61">
        <f>339.05/1.3</f>
        <v>260.80769230769232</v>
      </c>
      <c r="C45" s="61"/>
      <c r="D45" s="61"/>
      <c r="E45" s="54"/>
      <c r="F45" s="54"/>
      <c r="G45" s="54"/>
      <c r="H45" s="54"/>
      <c r="I45" s="52">
        <f t="shared" si="1"/>
        <v>7.343076923076933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1">
        <v>65</v>
      </c>
      <c r="B46" s="61">
        <f>385.24/1.3</f>
        <v>296.33846153846156</v>
      </c>
      <c r="C46" s="61"/>
      <c r="D46" s="61"/>
      <c r="E46" s="54"/>
      <c r="F46" s="54"/>
      <c r="G46" s="54"/>
      <c r="H46" s="54"/>
      <c r="I46" s="52">
        <f t="shared" si="1"/>
        <v>7.1061538461538474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1">
        <v>70</v>
      </c>
      <c r="B47" s="61">
        <f>433.14/1.3</f>
        <v>333.18461538461537</v>
      </c>
      <c r="C47" s="61">
        <v>3</v>
      </c>
      <c r="D47" s="61">
        <f>81.87/1.3</f>
        <v>62.976923076923079</v>
      </c>
      <c r="E47" s="54"/>
      <c r="F47" s="54"/>
      <c r="G47" s="54"/>
      <c r="H47" s="54"/>
      <c r="I47" s="52">
        <f t="shared" si="1"/>
        <v>7.3692307692307626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1">
        <v>75</v>
      </c>
      <c r="B48" s="61">
        <f>393.54/1.3</f>
        <v>302.72307692307692</v>
      </c>
      <c r="C48" s="61"/>
      <c r="D48" s="61"/>
      <c r="E48" s="54"/>
      <c r="F48" s="54"/>
      <c r="G48" s="54"/>
      <c r="H48" s="54"/>
      <c r="I48" s="52">
        <f t="shared" si="1"/>
        <v>6.5030769230769234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>
        <v>80</v>
      </c>
      <c r="B49" s="61">
        <f>435.8/1.3</f>
        <v>335.23076923076923</v>
      </c>
      <c r="C49" s="61">
        <v>4</v>
      </c>
      <c r="D49" s="61">
        <f>74.09/1.3</f>
        <v>56.992307692307691</v>
      </c>
      <c r="E49" s="54"/>
      <c r="F49" s="54"/>
      <c r="G49" s="54"/>
      <c r="H49" s="54"/>
      <c r="I49" s="52">
        <f t="shared" si="1"/>
        <v>6.5015384615384617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>
        <v>85</v>
      </c>
      <c r="B50" s="53">
        <f>402.71/1.3</f>
        <v>309.77692307692303</v>
      </c>
      <c r="C50" s="53"/>
      <c r="D50" s="53"/>
      <c r="E50" s="54"/>
      <c r="F50" s="54"/>
      <c r="G50" s="54"/>
      <c r="H50" s="54"/>
      <c r="I50" s="52">
        <f t="shared" si="1"/>
        <v>6.3076923076922977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>
        <v>90</v>
      </c>
      <c r="B51" s="53">
        <f>443.11/1.3</f>
        <v>340.85384615384618</v>
      </c>
      <c r="C51" s="53"/>
      <c r="D51" s="53"/>
      <c r="E51" s="54"/>
      <c r="F51" s="54"/>
      <c r="G51" s="54"/>
      <c r="H51" s="54"/>
      <c r="I51" s="52">
        <f t="shared" si="1"/>
        <v>6.2153846153846306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>
        <v>95</v>
      </c>
      <c r="B52" s="53">
        <f>484.56/1.3</f>
        <v>372.73846153846154</v>
      </c>
      <c r="C52" s="53">
        <v>5</v>
      </c>
      <c r="D52" s="53">
        <f>264.86/1.3</f>
        <v>203.73846153846154</v>
      </c>
      <c r="E52" s="54"/>
      <c r="F52" s="54"/>
      <c r="G52" s="54"/>
      <c r="H52" s="54"/>
      <c r="I52" s="52">
        <f t="shared" si="1"/>
        <v>6.376923076923072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>
        <v>100</v>
      </c>
      <c r="B53" s="53">
        <f>249.63/1.3</f>
        <v>192.0230769230769</v>
      </c>
      <c r="C53" s="53"/>
      <c r="D53" s="53"/>
      <c r="E53" s="54"/>
      <c r="F53" s="54"/>
      <c r="G53" s="54"/>
      <c r="H53" s="54"/>
      <c r="I53" s="52">
        <f t="shared" si="1"/>
        <v>4.6046153846153803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>
        <v>105</v>
      </c>
      <c r="B54" s="53">
        <f>277.97/1.3</f>
        <v>213.82307692307694</v>
      </c>
      <c r="C54" s="53">
        <v>6</v>
      </c>
      <c r="D54" s="53">
        <f>B54</f>
        <v>213.82307692307694</v>
      </c>
      <c r="E54" s="54"/>
      <c r="F54" s="54"/>
      <c r="G54" s="54"/>
      <c r="H54" s="54"/>
      <c r="I54" s="52">
        <f t="shared" si="1"/>
        <v>4.3600000000000083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de Salzmann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29</v>
      </c>
      <c r="B62" s="61">
        <v>145</v>
      </c>
      <c r="C62" s="61">
        <v>1</v>
      </c>
      <c r="D62" s="61">
        <v>52</v>
      </c>
      <c r="E62" s="54"/>
      <c r="F62" s="54"/>
      <c r="G62" s="54">
        <v>0.5</v>
      </c>
      <c r="H62" s="54">
        <v>0.5</v>
      </c>
      <c r="I62" s="56">
        <f>IFERROR(B62/A62,"")</f>
        <v>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38</v>
      </c>
      <c r="B63" s="61">
        <v>208</v>
      </c>
      <c r="C63" s="61">
        <v>2</v>
      </c>
      <c r="D63" s="61">
        <v>73</v>
      </c>
      <c r="E63" s="54"/>
      <c r="F63" s="54"/>
      <c r="G63" s="54"/>
      <c r="H63" s="54"/>
      <c r="I63" s="52">
        <f>IF(A63&lt;&gt;0,(B63-(B62-D62))/(A63-A62),"")</f>
        <v>12.777777777777779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49</v>
      </c>
      <c r="B64" s="61">
        <v>276</v>
      </c>
      <c r="C64" s="61">
        <v>3</v>
      </c>
      <c r="D64" s="61">
        <v>94</v>
      </c>
      <c r="E64" s="54"/>
      <c r="F64" s="54"/>
      <c r="G64" s="54"/>
      <c r="H64" s="54"/>
      <c r="I64" s="52">
        <f>IF(A64&lt;&gt;0,(B64-(B63-D63))/(A64-A63),"")</f>
        <v>12.818181818181818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57</v>
      </c>
      <c r="B65" s="61">
        <v>308</v>
      </c>
      <c r="C65" s="61">
        <v>4</v>
      </c>
      <c r="D65" s="61">
        <v>98</v>
      </c>
      <c r="E65" s="54"/>
      <c r="F65" s="54"/>
      <c r="G65" s="54"/>
      <c r="H65" s="54"/>
      <c r="I65" s="52">
        <f>IF(A65&lt;&gt;0,(B65-(B64-D64))/(A65-A64),"")</f>
        <v>15.75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67</v>
      </c>
      <c r="B66" s="61">
        <v>338</v>
      </c>
      <c r="C66" s="61">
        <v>5</v>
      </c>
      <c r="D66" s="61">
        <v>101</v>
      </c>
      <c r="E66" s="54"/>
      <c r="F66" s="54"/>
      <c r="G66" s="54"/>
      <c r="H66" s="54"/>
      <c r="I66" s="52">
        <f t="shared" ref="I66:I81" si="2">IF(A66&lt;&gt;0,(B66-(B65-D65))/(A66-A65),"")</f>
        <v>12.8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78</v>
      </c>
      <c r="B67" s="61">
        <v>366</v>
      </c>
      <c r="C67" s="61">
        <v>6</v>
      </c>
      <c r="D67" s="61">
        <v>100</v>
      </c>
      <c r="E67" s="54"/>
      <c r="F67" s="54"/>
      <c r="G67" s="54"/>
      <c r="H67" s="54"/>
      <c r="I67" s="52">
        <f t="shared" si="2"/>
        <v>11.727272727272727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91</v>
      </c>
      <c r="B68" s="61">
        <v>394</v>
      </c>
      <c r="C68" s="61">
        <v>7</v>
      </c>
      <c r="D68" s="61">
        <f>B68</f>
        <v>394</v>
      </c>
      <c r="E68" s="54"/>
      <c r="F68" s="54"/>
      <c r="G68" s="54"/>
      <c r="H68" s="54"/>
      <c r="I68" s="52">
        <f t="shared" si="2"/>
        <v>9.8461538461538467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1"/>
      <c r="B69" s="61"/>
      <c r="C69" s="61"/>
      <c r="D69" s="61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1"/>
      <c r="B70" s="61"/>
      <c r="C70" s="61"/>
      <c r="D70" s="61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1"/>
      <c r="B71" s="61"/>
      <c r="C71" s="61"/>
      <c r="D71" s="61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1"/>
      <c r="B72" s="61"/>
      <c r="C72" s="61"/>
      <c r="D72" s="61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1"/>
      <c r="B73" s="61"/>
      <c r="C73" s="61"/>
      <c r="D73" s="61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1"/>
      <c r="B74" s="61"/>
      <c r="C74" s="61"/>
      <c r="D74" s="61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1"/>
      <c r="B75" s="61"/>
      <c r="C75" s="61"/>
      <c r="D75" s="61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1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1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281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281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281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281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Cèdre de l'Atlas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30</v>
      </c>
      <c r="B88" s="61">
        <f>134.26/1.3</f>
        <v>103.27692307692307</v>
      </c>
      <c r="C88" s="61"/>
      <c r="D88" s="61"/>
      <c r="E88" s="54"/>
      <c r="F88" s="54"/>
      <c r="G88" s="54"/>
      <c r="H88" s="54">
        <v>1</v>
      </c>
      <c r="I88" s="56">
        <f>IFERROR(B88/A88,"")</f>
        <v>3.4425641025641025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35</v>
      </c>
      <c r="B89" s="61">
        <f>192.26/1.3</f>
        <v>147.89230769230767</v>
      </c>
      <c r="C89" s="61"/>
      <c r="D89" s="61"/>
      <c r="E89" s="54"/>
      <c r="F89" s="54"/>
      <c r="G89" s="54"/>
      <c r="H89" s="54"/>
      <c r="I89" s="56">
        <f t="shared" ref="I89:I107" si="3">IF(A89&lt;&gt;0,(B89-(B88-D88))/(A89-A88),"")</f>
        <v>8.9230769230769198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40</v>
      </c>
      <c r="B90" s="61">
        <f>257.14/1.3</f>
        <v>197.79999999999998</v>
      </c>
      <c r="C90" s="61"/>
      <c r="D90" s="61"/>
      <c r="E90" s="54"/>
      <c r="F90" s="54"/>
      <c r="G90" s="54"/>
      <c r="H90" s="54"/>
      <c r="I90" s="56">
        <f t="shared" si="3"/>
        <v>9.981538461538463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45</v>
      </c>
      <c r="B91" s="61">
        <f>327.79/1.3</f>
        <v>252.14615384615385</v>
      </c>
      <c r="C91" s="61"/>
      <c r="D91" s="61"/>
      <c r="E91" s="54"/>
      <c r="F91" s="54"/>
      <c r="G91" s="54"/>
      <c r="H91" s="54"/>
      <c r="I91" s="56">
        <f t="shared" si="3"/>
        <v>10.869230769230773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51</v>
      </c>
      <c r="B92" s="61">
        <f>418.39/1.3</f>
        <v>321.8384615384615</v>
      </c>
      <c r="C92" s="61">
        <v>1</v>
      </c>
      <c r="D92" s="61">
        <f>130.4/1.3</f>
        <v>100.30769230769231</v>
      </c>
      <c r="E92" s="54"/>
      <c r="F92" s="54"/>
      <c r="G92" s="54"/>
      <c r="H92" s="54"/>
      <c r="I92" s="56">
        <f t="shared" si="3"/>
        <v>11.615384615384608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57</v>
      </c>
      <c r="B93" s="61">
        <f>370.22/1.3</f>
        <v>284.78461538461539</v>
      </c>
      <c r="C93" s="61"/>
      <c r="D93" s="61"/>
      <c r="E93" s="54"/>
      <c r="F93" s="54"/>
      <c r="G93" s="54"/>
      <c r="H93" s="54"/>
      <c r="I93" s="56">
        <f t="shared" si="3"/>
        <v>10.542307692307702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63</v>
      </c>
      <c r="B94" s="61">
        <f>455.9/1.3</f>
        <v>350.69230769230768</v>
      </c>
      <c r="C94" s="61">
        <v>2</v>
      </c>
      <c r="D94" s="61">
        <f>140.51/1.3</f>
        <v>108.08461538461538</v>
      </c>
      <c r="E94" s="54"/>
      <c r="F94" s="54"/>
      <c r="G94" s="54"/>
      <c r="H94" s="54"/>
      <c r="I94" s="56">
        <f t="shared" si="3"/>
        <v>10.984615384615381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281">
        <v>69</v>
      </c>
      <c r="B95" s="61">
        <f>390.97/1.3</f>
        <v>300.74615384615385</v>
      </c>
      <c r="C95" s="61"/>
      <c r="D95" s="61"/>
      <c r="E95" s="54"/>
      <c r="F95" s="54"/>
      <c r="G95" s="54"/>
      <c r="H95" s="54"/>
      <c r="I95" s="56">
        <f t="shared" si="3"/>
        <v>9.6897435897435908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281">
        <v>75</v>
      </c>
      <c r="B96" s="61">
        <f>468.62/1.3</f>
        <v>360.47692307692307</v>
      </c>
      <c r="C96" s="61">
        <v>3</v>
      </c>
      <c r="D96" s="61">
        <f>110.97/1.3</f>
        <v>85.361538461538458</v>
      </c>
      <c r="E96" s="54"/>
      <c r="F96" s="54"/>
      <c r="G96" s="54"/>
      <c r="H96" s="54"/>
      <c r="I96" s="56">
        <f t="shared" si="3"/>
        <v>9.9551282051282044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281">
        <v>81</v>
      </c>
      <c r="B97" s="61">
        <f>427.32/1.3</f>
        <v>328.7076923076923</v>
      </c>
      <c r="C97" s="61"/>
      <c r="D97" s="61"/>
      <c r="E97" s="54"/>
      <c r="F97" s="54"/>
      <c r="G97" s="54"/>
      <c r="H97" s="54"/>
      <c r="I97" s="56">
        <f t="shared" si="3"/>
        <v>8.9320512820512761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281">
        <v>87</v>
      </c>
      <c r="B98" s="61">
        <f>498.08/1.3</f>
        <v>383.13846153846151</v>
      </c>
      <c r="C98" s="61">
        <v>4</v>
      </c>
      <c r="D98" s="61">
        <f>107.82/1.3</f>
        <v>82.938461538461524</v>
      </c>
      <c r="E98" s="54"/>
      <c r="F98" s="54"/>
      <c r="G98" s="54"/>
      <c r="H98" s="54"/>
      <c r="I98" s="56">
        <f t="shared" si="3"/>
        <v>9.0717948717948698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281">
        <v>93</v>
      </c>
      <c r="B99" s="61">
        <f>453.6/1.3</f>
        <v>348.92307692307691</v>
      </c>
      <c r="C99" s="61"/>
      <c r="D99" s="61"/>
      <c r="E99" s="54"/>
      <c r="F99" s="54"/>
      <c r="G99" s="54"/>
      <c r="H99" s="54"/>
      <c r="I99" s="56">
        <f t="shared" si="3"/>
        <v>8.1205128205128201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281">
        <v>99</v>
      </c>
      <c r="B100" s="61">
        <f>517.23/1.3</f>
        <v>397.8692307692308</v>
      </c>
      <c r="C100" s="61">
        <v>5</v>
      </c>
      <c r="D100" s="61">
        <f>257.82/1.3</f>
        <v>198.32307692307691</v>
      </c>
      <c r="E100" s="54"/>
      <c r="F100" s="54"/>
      <c r="G100" s="54"/>
      <c r="H100" s="54"/>
      <c r="I100" s="56">
        <f t="shared" si="3"/>
        <v>8.1576923076923151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281">
        <v>104</v>
      </c>
      <c r="B101" s="61">
        <f>297.43/1.3</f>
        <v>228.7923076923077</v>
      </c>
      <c r="C101" s="61"/>
      <c r="D101" s="61"/>
      <c r="E101" s="54"/>
      <c r="F101" s="54"/>
      <c r="G101" s="54"/>
      <c r="H101" s="54"/>
      <c r="I101" s="56">
        <f t="shared" si="3"/>
        <v>5.849230769230763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1">
        <v>109</v>
      </c>
      <c r="B102" s="53">
        <v>256.09230769230771</v>
      </c>
      <c r="C102" s="53">
        <v>6</v>
      </c>
      <c r="D102" s="53">
        <f>B102</f>
        <v>256.09230769230771</v>
      </c>
      <c r="E102" s="54"/>
      <c r="F102" s="54"/>
      <c r="G102" s="54"/>
      <c r="H102" s="54"/>
      <c r="I102" s="56">
        <f t="shared" si="3"/>
        <v>5.4600000000000026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1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1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1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1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1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chevelu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1">
        <f>57/1.56</f>
        <v>36.53846153846154</v>
      </c>
      <c r="C114" s="61"/>
      <c r="D114" s="61"/>
      <c r="E114" s="54"/>
      <c r="F114" s="54"/>
      <c r="G114" s="54"/>
      <c r="H114" s="54"/>
      <c r="I114" s="56">
        <f>IFERROR(B114/A114,"")</f>
        <v>1.8269230769230771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1">
        <f>(87+7)/1.56</f>
        <v>60.256410256410255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4.7435897435897427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1">
        <f>(117+7+9)/1.56</f>
        <v>85.256410256410248</v>
      </c>
      <c r="C116" s="61">
        <v>1</v>
      </c>
      <c r="D116" s="61">
        <f>(7+9+11)/1.56</f>
        <v>17.307692307692307</v>
      </c>
      <c r="E116" s="54"/>
      <c r="F116" s="54"/>
      <c r="G116" s="54"/>
      <c r="H116" s="54">
        <v>1</v>
      </c>
      <c r="I116" s="56">
        <f t="shared" si="4"/>
        <v>4.9999999999999982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1">
        <f>146/1.56</f>
        <v>93.589743589743591</v>
      </c>
      <c r="C117" s="61"/>
      <c r="D117" s="61"/>
      <c r="E117" s="54"/>
      <c r="F117" s="54"/>
      <c r="G117" s="54"/>
      <c r="H117" s="54"/>
      <c r="I117" s="56">
        <f t="shared" si="4"/>
        <v>5.1282051282051295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1">
        <f>(173+13)/1.56</f>
        <v>119.23076923076923</v>
      </c>
      <c r="C118" s="61">
        <v>2</v>
      </c>
      <c r="D118" s="61">
        <f>(13+14)/1.56</f>
        <v>17.307692307692307</v>
      </c>
      <c r="E118" s="54"/>
      <c r="F118" s="54"/>
      <c r="G118" s="54"/>
      <c r="H118" s="54"/>
      <c r="I118" s="56">
        <f t="shared" si="4"/>
        <v>5.1282051282051269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1">
        <f>197/1.56</f>
        <v>126.28205128205128</v>
      </c>
      <c r="C119" s="61"/>
      <c r="D119" s="61"/>
      <c r="E119" s="54"/>
      <c r="F119" s="54"/>
      <c r="G119" s="54"/>
      <c r="H119" s="54"/>
      <c r="I119" s="56">
        <f t="shared" si="4"/>
        <v>4.8717948717948731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1">
        <f>(219+14)/1.56</f>
        <v>149.35897435897436</v>
      </c>
      <c r="C120" s="61">
        <v>3</v>
      </c>
      <c r="D120" s="61">
        <f>(14+15)/1.56</f>
        <v>18.589743589743588</v>
      </c>
      <c r="E120" s="54"/>
      <c r="F120" s="54"/>
      <c r="G120" s="54"/>
      <c r="H120" s="54"/>
      <c r="I120" s="56">
        <f t="shared" si="4"/>
        <v>4.6153846153846159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55</v>
      </c>
      <c r="B121" s="53">
        <f>239/1.56</f>
        <v>153.2051282051282</v>
      </c>
      <c r="C121" s="53"/>
      <c r="D121" s="53"/>
      <c r="E121" s="54"/>
      <c r="F121" s="54"/>
      <c r="G121" s="54"/>
      <c r="H121" s="54"/>
      <c r="I121" s="56">
        <f t="shared" si="4"/>
        <v>4.4871794871794863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60</v>
      </c>
      <c r="B122" s="53">
        <f>(257+15)/1.56</f>
        <v>174.35897435897436</v>
      </c>
      <c r="C122" s="53">
        <v>4</v>
      </c>
      <c r="D122" s="53">
        <f>(15+15)/1.56</f>
        <v>19.23076923076923</v>
      </c>
      <c r="E122" s="54"/>
      <c r="F122" s="54"/>
      <c r="G122" s="54"/>
      <c r="H122" s="54"/>
      <c r="I122" s="56">
        <f t="shared" si="4"/>
        <v>4.2307692307692317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65</v>
      </c>
      <c r="B123" s="53">
        <f>273/1.56</f>
        <v>175</v>
      </c>
      <c r="C123" s="53"/>
      <c r="D123" s="53"/>
      <c r="E123" s="54"/>
      <c r="F123" s="54"/>
      <c r="G123" s="54"/>
      <c r="H123" s="54"/>
      <c r="I123" s="56">
        <f t="shared" si="4"/>
        <v>3.9743589743589722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70</v>
      </c>
      <c r="B124" s="53">
        <f>(288+15)/1.56</f>
        <v>194.23076923076923</v>
      </c>
      <c r="C124" s="53">
        <v>5</v>
      </c>
      <c r="D124" s="53">
        <f>(15+14)/1.56</f>
        <v>18.589743589743588</v>
      </c>
      <c r="E124" s="54"/>
      <c r="F124" s="54"/>
      <c r="G124" s="54"/>
      <c r="H124" s="54"/>
      <c r="I124" s="56">
        <f t="shared" si="4"/>
        <v>3.8461538461538454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1">
        <v>75</v>
      </c>
      <c r="B125" s="61">
        <f>301/1.56</f>
        <v>192.94871794871796</v>
      </c>
      <c r="C125" s="61"/>
      <c r="D125" s="61"/>
      <c r="E125" s="91"/>
      <c r="F125" s="91"/>
      <c r="G125" s="91"/>
      <c r="H125" s="91"/>
      <c r="I125" s="56">
        <f t="shared" si="4"/>
        <v>3.4615384615384643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1">
        <v>80</v>
      </c>
      <c r="B126" s="61">
        <f>(313+14)/1.56</f>
        <v>209.61538461538461</v>
      </c>
      <c r="C126" s="61">
        <v>6</v>
      </c>
      <c r="D126" s="61">
        <f>(14+14)/1.56</f>
        <v>17.948717948717949</v>
      </c>
      <c r="E126" s="66"/>
      <c r="F126" s="66"/>
      <c r="G126" s="66"/>
      <c r="H126" s="66"/>
      <c r="I126" s="56">
        <f t="shared" si="4"/>
        <v>3.3333333333333313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1">
        <v>85</v>
      </c>
      <c r="B127" s="61">
        <f>324/1.56</f>
        <v>207.69230769230768</v>
      </c>
      <c r="C127" s="61"/>
      <c r="D127" s="61"/>
      <c r="E127" s="66"/>
      <c r="F127" s="66"/>
      <c r="G127" s="66"/>
      <c r="H127" s="66"/>
      <c r="I127" s="56">
        <f t="shared" si="4"/>
        <v>3.2051282051282044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f>(334+13)/1.56</f>
        <v>222.43589743589743</v>
      </c>
      <c r="C128" s="53">
        <v>7</v>
      </c>
      <c r="D128" s="53">
        <f>(13+13)/1.56</f>
        <v>16.666666666666668</v>
      </c>
      <c r="E128" s="57"/>
      <c r="F128" s="57"/>
      <c r="G128" s="57"/>
      <c r="H128" s="57"/>
      <c r="I128" s="56">
        <f t="shared" si="4"/>
        <v>2.9487179487179502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95</v>
      </c>
      <c r="B129" s="53">
        <f>344/1.56</f>
        <v>220.5128205128205</v>
      </c>
      <c r="C129" s="53"/>
      <c r="D129" s="53"/>
      <c r="E129" s="57"/>
      <c r="F129" s="57"/>
      <c r="G129" s="57"/>
      <c r="H129" s="57"/>
      <c r="I129" s="56">
        <f t="shared" si="4"/>
        <v>2.9487179487179445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100</v>
      </c>
      <c r="B130" s="53">
        <f>(352+13)/1.56</f>
        <v>233.97435897435898</v>
      </c>
      <c r="C130" s="53">
        <v>8</v>
      </c>
      <c r="D130" s="53">
        <f>(13+12)/1.56</f>
        <v>16.025641025641026</v>
      </c>
      <c r="E130" s="57"/>
      <c r="F130" s="57"/>
      <c r="G130" s="57"/>
      <c r="H130" s="57"/>
      <c r="I130" s="56">
        <f t="shared" si="4"/>
        <v>2.6923076923076961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110</v>
      </c>
      <c r="B131" s="53">
        <f>(368+11)/1.56</f>
        <v>242.94871794871793</v>
      </c>
      <c r="C131" s="53">
        <v>9</v>
      </c>
      <c r="D131" s="53">
        <f>(11+11)/1.56</f>
        <v>14.102564102564102</v>
      </c>
      <c r="E131" s="57"/>
      <c r="F131" s="57"/>
      <c r="G131" s="57"/>
      <c r="H131" s="57"/>
      <c r="I131" s="56">
        <f t="shared" si="4"/>
        <v>2.4999999999999973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120</v>
      </c>
      <c r="B132" s="53">
        <f>(382+11)/1.56</f>
        <v>251.92307692307691</v>
      </c>
      <c r="C132" s="53">
        <v>10</v>
      </c>
      <c r="D132" s="53">
        <f>(11+10)/1.56</f>
        <v>13.461538461538462</v>
      </c>
      <c r="E132" s="57"/>
      <c r="F132" s="57"/>
      <c r="G132" s="57"/>
      <c r="H132" s="57"/>
      <c r="I132" s="56">
        <f t="shared" si="4"/>
        <v>2.3076923076923093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130</v>
      </c>
      <c r="B133" s="53">
        <f>(394+10)/1.56</f>
        <v>258.97435897435895</v>
      </c>
      <c r="C133" s="53">
        <v>11</v>
      </c>
      <c r="D133" s="53">
        <f>B133</f>
        <v>258.97435897435895</v>
      </c>
      <c r="E133" s="57"/>
      <c r="F133" s="57"/>
      <c r="G133" s="57"/>
      <c r="H133" s="57"/>
      <c r="I133" s="56">
        <f t="shared" si="4"/>
        <v>2.0512820512820498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Alisier torminal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1">
        <f>57/1.56</f>
        <v>36.53846153846154</v>
      </c>
      <c r="C140" s="61"/>
      <c r="D140" s="61"/>
      <c r="E140" s="54"/>
      <c r="F140" s="54"/>
      <c r="G140" s="54"/>
      <c r="H140" s="54"/>
      <c r="I140" s="59">
        <f>IFERROR(B140/A140,"")</f>
        <v>1.8269230769230771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1">
        <f>(87+7)/1.56</f>
        <v>60.256410256410255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4.7435897435897427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1">
        <f>(117+7+9)/1.56</f>
        <v>85.256410256410248</v>
      </c>
      <c r="C142" s="61">
        <v>1</v>
      </c>
      <c r="D142" s="61">
        <f>(7+9+11)/1.56</f>
        <v>17.307692307692307</v>
      </c>
      <c r="E142" s="54"/>
      <c r="F142" s="54"/>
      <c r="G142" s="54"/>
      <c r="H142" s="54">
        <v>1</v>
      </c>
      <c r="I142" s="59">
        <f t="shared" si="5"/>
        <v>4.9999999999999982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1">
        <f>146/1.56</f>
        <v>93.589743589743591</v>
      </c>
      <c r="C143" s="61"/>
      <c r="D143" s="61"/>
      <c r="E143" s="54"/>
      <c r="F143" s="54"/>
      <c r="G143" s="54"/>
      <c r="H143" s="54"/>
      <c r="I143" s="59">
        <f t="shared" si="5"/>
        <v>5.1282051282051295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1">
        <f>(173+13)/1.56</f>
        <v>119.23076923076923</v>
      </c>
      <c r="C144" s="61">
        <v>2</v>
      </c>
      <c r="D144" s="61">
        <f>(13+14)/1.56</f>
        <v>17.307692307692307</v>
      </c>
      <c r="E144" s="54"/>
      <c r="F144" s="54"/>
      <c r="G144" s="54"/>
      <c r="H144" s="54"/>
      <c r="I144" s="59">
        <f t="shared" si="5"/>
        <v>5.1282051282051269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1">
        <f>197/1.56</f>
        <v>126.28205128205128</v>
      </c>
      <c r="C145" s="61"/>
      <c r="D145" s="61"/>
      <c r="E145" s="54"/>
      <c r="F145" s="54"/>
      <c r="G145" s="54"/>
      <c r="H145" s="54"/>
      <c r="I145" s="59">
        <f t="shared" si="5"/>
        <v>4.8717948717948731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1">
        <f>(219+14)/1.56</f>
        <v>149.35897435897436</v>
      </c>
      <c r="C146" s="61">
        <v>3</v>
      </c>
      <c r="D146" s="61">
        <f>(14+15)/1.56</f>
        <v>18.589743589743588</v>
      </c>
      <c r="E146" s="54"/>
      <c r="F146" s="54"/>
      <c r="G146" s="54"/>
      <c r="H146" s="54"/>
      <c r="I146" s="59">
        <f t="shared" si="5"/>
        <v>4.6153846153846159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53">
        <v>153.2051282051282</v>
      </c>
      <c r="C147" s="53"/>
      <c r="D147" s="53"/>
      <c r="E147" s="54"/>
      <c r="F147" s="54"/>
      <c r="G147" s="54"/>
      <c r="H147" s="54"/>
      <c r="I147" s="59">
        <f>IF(A147&lt;&gt;0,(B147-(B146-D146))/(A147-A146),"")</f>
        <v>4.4871794871794863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53">
        <v>174.35897435897436</v>
      </c>
      <c r="C148" s="53">
        <v>4</v>
      </c>
      <c r="D148" s="53">
        <v>19.23076923076923</v>
      </c>
      <c r="E148" s="54"/>
      <c r="F148" s="54"/>
      <c r="G148" s="54"/>
      <c r="H148" s="54"/>
      <c r="I148" s="59">
        <f t="shared" si="5"/>
        <v>4.2307692307692317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53">
        <v>175</v>
      </c>
      <c r="C149" s="53"/>
      <c r="D149" s="53"/>
      <c r="E149" s="54"/>
      <c r="F149" s="54"/>
      <c r="G149" s="54"/>
      <c r="H149" s="54"/>
      <c r="I149" s="59">
        <f t="shared" si="5"/>
        <v>3.9743589743589722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53">
        <v>194.23076923076923</v>
      </c>
      <c r="C150" s="53">
        <v>5</v>
      </c>
      <c r="D150" s="53">
        <v>18.589743589743588</v>
      </c>
      <c r="E150" s="54"/>
      <c r="F150" s="54"/>
      <c r="G150" s="54"/>
      <c r="H150" s="54"/>
      <c r="I150" s="59">
        <f t="shared" si="5"/>
        <v>3.8461538461538454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61">
        <v>75</v>
      </c>
      <c r="B151" s="61">
        <f>301/1.56</f>
        <v>192.94871794871796</v>
      </c>
      <c r="C151" s="61"/>
      <c r="D151" s="61"/>
      <c r="E151" s="91"/>
      <c r="F151" s="91"/>
      <c r="G151" s="91"/>
      <c r="H151" s="91"/>
      <c r="I151" s="59">
        <f t="shared" si="5"/>
        <v>3.4615384615384643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61">
        <v>80</v>
      </c>
      <c r="B152" s="61">
        <f>(313+14)/1.56</f>
        <v>209.61538461538461</v>
      </c>
      <c r="C152" s="61">
        <v>6</v>
      </c>
      <c r="D152" s="61">
        <f>(14+14)/1.56</f>
        <v>17.948717948717949</v>
      </c>
      <c r="E152" s="66"/>
      <c r="F152" s="66"/>
      <c r="G152" s="66"/>
      <c r="H152" s="66"/>
      <c r="I152" s="59">
        <f t="shared" si="5"/>
        <v>3.3333333333333313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61">
        <v>85</v>
      </c>
      <c r="B153" s="61">
        <f>324/1.56</f>
        <v>207.69230769230768</v>
      </c>
      <c r="C153" s="61"/>
      <c r="D153" s="61"/>
      <c r="E153" s="66"/>
      <c r="F153" s="66"/>
      <c r="G153" s="66"/>
      <c r="H153" s="66"/>
      <c r="I153" s="59">
        <f t="shared" si="5"/>
        <v>3.2051282051282044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90</v>
      </c>
      <c r="B154" s="53">
        <v>222.43589743589743</v>
      </c>
      <c r="C154" s="53">
        <v>7</v>
      </c>
      <c r="D154" s="53">
        <v>16.666666666666668</v>
      </c>
      <c r="E154" s="57"/>
      <c r="F154" s="57"/>
      <c r="G154" s="57"/>
      <c r="H154" s="57"/>
      <c r="I154" s="59">
        <f t="shared" si="5"/>
        <v>2.9487179487179502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95</v>
      </c>
      <c r="B155" s="53">
        <v>220.5128205128205</v>
      </c>
      <c r="C155" s="53"/>
      <c r="D155" s="53"/>
      <c r="E155" s="57"/>
      <c r="F155" s="57"/>
      <c r="G155" s="57"/>
      <c r="H155" s="57"/>
      <c r="I155" s="59">
        <f t="shared" si="5"/>
        <v>2.9487179487179445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100</v>
      </c>
      <c r="B156" s="53">
        <v>233.97435897435898</v>
      </c>
      <c r="C156" s="53">
        <v>8</v>
      </c>
      <c r="D156" s="53">
        <v>16.025641025641026</v>
      </c>
      <c r="E156" s="57"/>
      <c r="F156" s="57"/>
      <c r="G156" s="57"/>
      <c r="H156" s="57"/>
      <c r="I156" s="59">
        <f t="shared" si="5"/>
        <v>2.6923076923076961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110</v>
      </c>
      <c r="B157" s="53">
        <v>242.94871794871793</v>
      </c>
      <c r="C157" s="53">
        <v>9</v>
      </c>
      <c r="D157" s="53">
        <v>14.102564102564102</v>
      </c>
      <c r="E157" s="57"/>
      <c r="F157" s="57"/>
      <c r="G157" s="57"/>
      <c r="H157" s="57"/>
      <c r="I157" s="59">
        <f t="shared" si="5"/>
        <v>2.4999999999999973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120</v>
      </c>
      <c r="B158" s="53">
        <v>251.92307692307691</v>
      </c>
      <c r="C158" s="53">
        <v>10</v>
      </c>
      <c r="D158" s="53">
        <v>13.461538461538462</v>
      </c>
      <c r="E158" s="57"/>
      <c r="F158" s="57"/>
      <c r="G158" s="57"/>
      <c r="H158" s="57"/>
      <c r="I158" s="59">
        <f t="shared" si="5"/>
        <v>2.3076923076923093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>
        <v>130</v>
      </c>
      <c r="B159" s="53">
        <v>258.97435897435895</v>
      </c>
      <c r="C159" s="53">
        <v>11</v>
      </c>
      <c r="D159" s="53">
        <v>258.97435897435895</v>
      </c>
      <c r="E159" s="57"/>
      <c r="F159" s="57"/>
      <c r="G159" s="57"/>
      <c r="H159" s="57"/>
      <c r="I159" s="59">
        <f t="shared" si="5"/>
        <v>2.0512820512820498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1"/>
      <c r="C166" s="61"/>
      <c r="D166" s="61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1"/>
      <c r="C167" s="61"/>
      <c r="D167" s="61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1"/>
      <c r="C168" s="61"/>
      <c r="D168" s="61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1"/>
      <c r="C169" s="61"/>
      <c r="D169" s="61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281"/>
      <c r="B170" s="61"/>
      <c r="C170" s="61"/>
      <c r="D170" s="61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281"/>
      <c r="B171" s="61"/>
      <c r="C171" s="61"/>
      <c r="D171" s="61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281"/>
      <c r="B172" s="61"/>
      <c r="C172" s="61"/>
      <c r="D172" s="61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281"/>
      <c r="B173" s="61"/>
      <c r="C173" s="61"/>
      <c r="D173" s="61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281"/>
      <c r="B174" s="61"/>
      <c r="C174" s="61"/>
      <c r="D174" s="61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281"/>
      <c r="B175" s="61"/>
      <c r="C175" s="61"/>
      <c r="D175" s="61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281"/>
      <c r="B176" s="61"/>
      <c r="C176" s="61"/>
      <c r="D176" s="61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281"/>
      <c r="B177" s="61"/>
      <c r="C177" s="61"/>
      <c r="D177" s="61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281"/>
      <c r="B178" s="61"/>
      <c r="C178" s="61"/>
      <c r="D178" s="61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281"/>
      <c r="B179" s="61"/>
      <c r="C179" s="61"/>
      <c r="D179" s="61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281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281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281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281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281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281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1"/>
      <c r="C192" s="61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1"/>
      <c r="C193" s="61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1"/>
      <c r="C194" s="61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1"/>
      <c r="C195" s="61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1"/>
      <c r="C196" s="61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1"/>
      <c r="C197" s="61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1"/>
      <c r="C198" s="61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61"/>
      <c r="B203" s="61"/>
      <c r="C203" s="61"/>
      <c r="D203" s="61"/>
      <c r="E203" s="91"/>
      <c r="F203" s="91"/>
      <c r="G203" s="91"/>
      <c r="H203" s="91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61"/>
      <c r="B204" s="61"/>
      <c r="C204" s="61"/>
      <c r="D204" s="61"/>
      <c r="E204" s="66"/>
      <c r="F204" s="66"/>
      <c r="G204" s="66"/>
      <c r="H204" s="66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61"/>
      <c r="B205" s="61"/>
      <c r="C205" s="61"/>
      <c r="D205" s="61"/>
      <c r="E205" s="66"/>
      <c r="F205" s="66"/>
      <c r="G205" s="66"/>
      <c r="H205" s="66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1"/>
      <c r="C218" s="61"/>
      <c r="D218" s="61"/>
      <c r="E218" s="54"/>
      <c r="F218" s="54"/>
      <c r="G218" s="54"/>
      <c r="H218" s="5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1"/>
      <c r="C219" s="61"/>
      <c r="D219" s="61"/>
      <c r="E219" s="54"/>
      <c r="F219" s="54"/>
      <c r="G219" s="54"/>
      <c r="H219" s="5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1"/>
      <c r="C220" s="61"/>
      <c r="D220" s="61"/>
      <c r="E220" s="54"/>
      <c r="F220" s="54"/>
      <c r="G220" s="54"/>
      <c r="H220" s="5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/>
      <c r="B221" s="61"/>
      <c r="C221" s="61"/>
      <c r="D221" s="61"/>
      <c r="E221" s="54"/>
      <c r="F221" s="54"/>
      <c r="G221" s="54"/>
      <c r="H221" s="5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/>
      <c r="B222" s="61"/>
      <c r="C222" s="61"/>
      <c r="D222" s="61"/>
      <c r="E222" s="54"/>
      <c r="F222" s="54"/>
      <c r="G222" s="54"/>
      <c r="H222" s="5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/>
      <c r="B223" s="61"/>
      <c r="C223" s="61"/>
      <c r="D223" s="61"/>
      <c r="E223" s="54"/>
      <c r="F223" s="54"/>
      <c r="G223" s="54"/>
      <c r="H223" s="5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/>
      <c r="B224" s="61"/>
      <c r="C224" s="61"/>
      <c r="D224" s="61"/>
      <c r="E224" s="54"/>
      <c r="F224" s="54"/>
      <c r="G224" s="54"/>
      <c r="H224" s="5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/>
      <c r="B225" s="53"/>
      <c r="C225" s="53"/>
      <c r="D225" s="53"/>
      <c r="E225" s="54"/>
      <c r="F225" s="54"/>
      <c r="G225" s="54"/>
      <c r="H225" s="5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/>
      <c r="B226" s="53"/>
      <c r="C226" s="53"/>
      <c r="D226" s="53"/>
      <c r="E226" s="54"/>
      <c r="F226" s="54"/>
      <c r="G226" s="54"/>
      <c r="H226" s="5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1"/>
      <c r="C231" s="92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0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1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1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0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Pin noir d'Autriche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Pin de Salzmann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Cèdre de l'Atlas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Chêne chevelu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Alisier torminal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/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/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293.33333333333331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293.33333333333331</v>
      </c>
      <c r="S3" s="60">
        <f ca="1">AVERAGE(OFFSET($R$3,0,0,'Données projet'!$E$9+1,1))-AVERAGE(OFFSET($H$3,0,0,'Données projet'!$E$9+1,1))</f>
        <v>223.38593045370783</v>
      </c>
      <c r="T3" s="60">
        <f>IF('Données projet'!E9&gt;30,$R$33-$H$33,LOOKUP('Données projet'!$E$9,$A$3:$A$203,R3:R203)-LOOKUP('Données projet'!$E$9,$A$3:$A$203,$H$3:$H$203))</f>
        <v>161.68519532023998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293.33333333333331</v>
      </c>
      <c r="AN3" s="60">
        <f ca="1">AVERAGE(OFFSET($AM$3,0,0,'Données projet'!$E$10+1,1))-AVERAGE(OFFSET($H$3,0,0,'Données projet'!$E$10+1,1))</f>
        <v>216.19747366796145</v>
      </c>
      <c r="AO3" s="60">
        <f>IF('Données projet'!E10&gt;30,$AM$33-$H$33,LOOKUP('Données projet'!$E$10,$A$3:$A$203,AM3:AM203)-LOOKUP('Données projet'!$E$10,$A$3:$A$203,$H$3:$H$203))</f>
        <v>122.08911898780889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293.33333333333331</v>
      </c>
      <c r="BI3" s="60">
        <f ca="1">AVERAGE(OFFSET($BH$3,0,0,'Données projet'!$E$11+1,1))-AVERAGE(OFFSET($H$3,0,0,'Données projet'!$E$11+1,1))</f>
        <v>179.52358670810645</v>
      </c>
      <c r="BJ3" s="60">
        <f>IF('Données projet'!E11&gt;30,$BH$33-$H$33,LOOKUP('Données projet'!$E$11,$A$3:$A$203,BH3:BH203)-LOOKUP('Données projet'!$E$11,$A$3:$A$203,$H$3:$H$203))</f>
        <v>89.471764801078166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293.33333333333331</v>
      </c>
      <c r="CD3" s="60">
        <f ca="1">AVERAGE(OFFSET($CC$3,0,0,'Données projet'!$E$12+1,1))-AVERAGE(OFFSET($H$3,0,0,'Données projet'!$E$12+1,1))</f>
        <v>304.57411436867147</v>
      </c>
      <c r="CE3" s="60">
        <f>IF('Données projet'!E12&gt;30,$CC$33-$H$33,LOOKUP('Données projet'!$E$12,$A$3:$A$203,CC3:CC203)-LOOKUP('Données projet'!$E$12,$A$3:$A$203,$H$3:$H$203))</f>
        <v>178.19974548556962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293.33333333333331</v>
      </c>
      <c r="CY3" s="60">
        <f ca="1">AVERAGE(OFFSET($CX$3,0,0,'Données projet'!$E$13+1,1))-AVERAGE(OFFSET($H$3,0,0,'Données projet'!$E$13+1,1))</f>
        <v>279.37339904167601</v>
      </c>
      <c r="CZ3" s="60">
        <f>IF('Données projet'!E13&gt;30,$CX$33-$H$33,LOOKUP('Données projet'!$E$13,$A$3:$A$203,CX3:CX203)-LOOKUP('Données projet'!$E$13,$A$3:$A$203,$H$3:$H$203))</f>
        <v>163.80861186980007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0" t="e">
        <f>DR3+(DJ3+DK3)*44/12</f>
        <v>#N/A</v>
      </c>
      <c r="DT3" s="60" t="e">
        <f ca="1">AVERAGE(OFFSET($DS$3,0,0,'Données projet'!$E$14+1,1))-AVERAGE(OFFSET($H$3,0,0,'Données projet'!$E$14+1,1))</f>
        <v>#N/A</v>
      </c>
      <c r="DU3" s="60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0.27300000000000002</v>
      </c>
      <c r="D4" s="12">
        <f>IFERROR(EXP(-1.0587+0.8836*LN(C4)+0.284),0)</f>
        <v>0.14633404572844724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3.2369645635178386</v>
      </c>
      <c r="H4" s="68">
        <f t="shared" ref="H4:H67" si="1">(B4+E4+F4)*44/12+(C4+D4)*0.475*44/12</f>
        <v>294.06367346297702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1.1564102564102565</v>
      </c>
      <c r="N4" s="14">
        <f>IF('Données projet'!$A$36&gt;35,N3+M4-V3,IF(A4&lt;'Données projet'!$A$36,$K$205^A4,IF(A4='Données projet'!$A$36,'Données projet'!$B$36,N3+M4-V3)))</f>
        <v>1.2095213708815553</v>
      </c>
      <c r="O4" s="14">
        <f>N4*VLOOKUP('Données projet'!$B$9,Paramètres!$A$1:$I$89,3,0)*VLOOKUP('Données projet'!$B$9,Paramètres!$A$1:$I$89,5,0)</f>
        <v>0.72329377978717013</v>
      </c>
      <c r="P4" s="14">
        <f>EXP(-1.0587+0.8836*LN(O4)+0.284)</f>
        <v>0.34613264455008863</v>
      </c>
      <c r="Q4" s="22">
        <f t="shared" ref="Q4:Q34" si="2">(O4+P4)*0.475*44/12</f>
        <v>1.8625843557207256</v>
      </c>
      <c r="R4" s="60">
        <f t="shared" si="0"/>
        <v>295.19591768905406</v>
      </c>
      <c r="S4" s="60">
        <f ca="1">AVERAGE(OFFSET($R$3,0,0,'Données projet'!$E$9+1,1))-AVERAGE(OFFSET($H$3,0,0,'Données projet'!$E$9+1,1))</f>
        <v>223.38593045370783</v>
      </c>
      <c r="T4" s="60">
        <f>$T$3</f>
        <v>161.68519532023998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</v>
      </c>
      <c r="AI4" s="14">
        <f>IF('Données projet'!$A$62&gt;35,AI3+AH4-AQ3,IF(A4&lt;'Données projet'!$A$62,$AF$205^A4,IF(A4='Données projet'!$A$62,'Données projet'!$B$62,AI3+AH4-AQ3)))</f>
        <v>1.187216519917875</v>
      </c>
      <c r="AJ4" s="14">
        <f>AI4*VLOOKUP('Données projet'!$B$10,Paramètres!$A$1:$I$89,3,0)*VLOOKUP('Données projet'!$B$10,Paramètres!$A$1:$I$89,5,0)</f>
        <v>0.70995547891088928</v>
      </c>
      <c r="AK4" s="14">
        <f>EXP(-1.0587+0.8836*LN(AJ4)+0.284)</f>
        <v>0.34048648509490226</v>
      </c>
      <c r="AL4" s="22">
        <f t="shared" ref="AL4:AL67" si="4">(AJ4+AK4)*0.475*44/12</f>
        <v>1.8295197539767536</v>
      </c>
      <c r="AM4" s="60">
        <f t="shared" ref="AM4:AM67" si="5">AL4+(AD4+AE4)*44/12</f>
        <v>295.16285308731005</v>
      </c>
      <c r="AN4" s="60">
        <f ca="1">AVERAGE(OFFSET($AM$3,0,0,'Données projet'!$E$10+1,1))-AVERAGE(OFFSET($H$3,0,0,'Données projet'!$E$10+1,1))</f>
        <v>216.19747366796145</v>
      </c>
      <c r="AO4" s="60">
        <f>$AO$3</f>
        <v>122.08911898780889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3.4425641025641025</v>
      </c>
      <c r="BD4" s="13">
        <f>IF('Données projet'!$A$88&gt;35,BD3+BC4-BL3,IF(A4&lt;'Données projet'!$A$88,$BA$205^A4,IF(A4='Données projet'!$A$88,'Données projet'!$B$88,BD3+BC4-BL3)))</f>
        <v>1.1671681906248585</v>
      </c>
      <c r="BE4" s="14">
        <f>BD4*VLOOKUP('Données projet'!$B$11,Paramètres!$A$1:$I$89,3,0)*VLOOKUP('Données projet'!$B$11,Paramètres!$A$1:$I$89,5,0)</f>
        <v>0.54623471321243378</v>
      </c>
      <c r="BF4" s="14">
        <f>EXP(-1.0587+0.8836*LN(BE4)+0.284)</f>
        <v>0.27008496636632595</v>
      </c>
      <c r="BG4" s="22">
        <f t="shared" ref="BG4:BG67" si="7">(BE4+BF4)*0.475*44/12</f>
        <v>1.4217567752663396</v>
      </c>
      <c r="BH4" s="60">
        <f t="shared" ref="BH4:BH67" si="8">BG4+(AY4+AZ4)*44/12</f>
        <v>294.75509010859963</v>
      </c>
      <c r="BI4" s="60">
        <f ca="1">AVERAGE(OFFSET($BH$3,0,0,'Données projet'!$E$11+1,1))-AVERAGE(OFFSET($H$3,0,0,'Données projet'!$E$11+1,1))</f>
        <v>179.52358670810645</v>
      </c>
      <c r="BJ4" s="60">
        <f>$BJ$3</f>
        <v>89.471764801078166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1.8269230769230771</v>
      </c>
      <c r="BY4" s="13">
        <f>IF('Données projet'!$A$114&gt;35,BY3+BX4-CG3,IF(A4&lt;'Données projet'!$A$114,$BV$205^A4,IF(A4='Données projet'!$A$114,'Données projet'!$B$114,BY3+BX4-CG3)))</f>
        <v>1.197119521332874</v>
      </c>
      <c r="BZ4" s="14">
        <f>BY4*VLOOKUP('Données projet'!$B$12,Paramètres!$A$1:$I$89,3,0)*VLOOKUP('Données projet'!$B$12,Paramètres!$A$1:$I$89,5,0)</f>
        <v>1.2512293236971201</v>
      </c>
      <c r="CA4" s="14">
        <f>EXP(-1.0587+0.8836*LN(BZ4)+0.284)</f>
        <v>0.56177054198202969</v>
      </c>
      <c r="CB4" s="22">
        <f t="shared" ref="CB4:CB67" si="10">(BZ4+CA4)*0.475*44/12</f>
        <v>3.1576414327245192</v>
      </c>
      <c r="CC4" s="60">
        <f t="shared" ref="CC4:CC67" si="11">CB4+(BT4+BU4)*44/12</f>
        <v>296.49097476605783</v>
      </c>
      <c r="CD4" s="60">
        <f ca="1">AVERAGE(OFFSET($CC$3,0,0,'Données projet'!$E$12+1,1))-AVERAGE(OFFSET($H$3,0,0,'Données projet'!$E$12+1,1))</f>
        <v>304.57411436867147</v>
      </c>
      <c r="CE4" s="60">
        <f>$CE$3</f>
        <v>178.19974548556962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1.8269230769230771</v>
      </c>
      <c r="CT4" s="13">
        <f>IF('Données projet'!$A$140&gt;35,CT3+CS4-DB3,IF(A4&lt;'Données projet'!$A$140,$CQ$205^A4,IF(A4='Données projet'!$A$140,'Données projet'!$B$140,CT3+CS4-DB3)))</f>
        <v>1.197119521332874</v>
      </c>
      <c r="CU4" s="18">
        <f>CT4*VLOOKUP('Données projet'!$B$13,Paramètres!$A$1:$I$89,3,0)*VLOOKUP('Données projet'!$B$13,Paramètres!$A$1:$I$89,5,0)</f>
        <v>1.1578540010331559</v>
      </c>
      <c r="CV4" s="14">
        <f>EXP(-1.0587+0.8836*LN(CU4)+0.284)</f>
        <v>0.52456168195699593</v>
      </c>
      <c r="CW4" s="22">
        <f t="shared" ref="CW4:CW67" si="13">(CU4+CV4)*0.475*44/12</f>
        <v>2.9302073145411804</v>
      </c>
      <c r="CX4" s="60">
        <f t="shared" ref="CX4:CX67" si="14">CW4+(CO4+CP4)*44/12</f>
        <v>296.26354064787449</v>
      </c>
      <c r="CY4" s="60">
        <f ca="1">AVERAGE(OFFSET($CX$3,0,0,'Données projet'!$E$13+1,1))-AVERAGE(OFFSET($H$3,0,0,'Données projet'!$E$13+1,1))</f>
        <v>279.37339904167601</v>
      </c>
      <c r="CZ4" s="60">
        <f>$CZ$3</f>
        <v>163.80861186980007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0" t="e">
        <f t="shared" ref="DS4:DS67" si="17">DR4+(DJ4+DK4)*44/12</f>
        <v>#N/A</v>
      </c>
      <c r="DT4" s="60" t="e">
        <f ca="1">AVERAGE(OFFSET($DS$3,0,0,'Données projet'!$E$14+1,1))-AVERAGE(OFFSET($H$3,0,0,'Données projet'!$E$14+1,1))</f>
        <v>#N/A</v>
      </c>
      <c r="DU4" s="60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5" s="12">
        <f t="shared" ref="D5:D68" si="32">IFERROR(EXP(-1.0587+0.8836*LN(C5)+0.284),0)</f>
        <v>0.26998241883213048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6.2988116541427628</v>
      </c>
      <c r="H5" s="68">
        <f t="shared" si="1"/>
        <v>294.75450271279925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1.1564102564102565</v>
      </c>
      <c r="N5" s="14">
        <f>IF('Données projet'!$A$36&gt;35,N4+M5-V4,IF(A5&lt;'Données projet'!$A$36,$K$205^A5,IF(A5='Données projet'!$A$36,'Données projet'!$B$36,N4+M5-V4)))</f>
        <v>1.4629419466191969</v>
      </c>
      <c r="O5" s="14">
        <f>N5*VLOOKUP('Données projet'!$B$9,Paramètres!$A$1:$I$89,3,0)*VLOOKUP('Données projet'!$B$9,Paramètres!$A$1:$I$89,5,0)</f>
        <v>0.87483928407827982</v>
      </c>
      <c r="P5" s="14">
        <f t="shared" ref="P5:P68" si="33">EXP(-1.0587+0.8836*LN(O5)+0.284)</f>
        <v>0.40948678430906171</v>
      </c>
      <c r="Q5" s="22">
        <f t="shared" si="2"/>
        <v>2.2368679024412863</v>
      </c>
      <c r="R5" s="60">
        <f t="shared" si="0"/>
        <v>295.57020123577462</v>
      </c>
      <c r="S5" s="60">
        <f ca="1">AVERAGE(OFFSET($R$3,0,0,'Données projet'!$E$9+1,1))-AVERAGE(OFFSET($H$3,0,0,'Données projet'!$E$9+1,1))</f>
        <v>223.38593045370783</v>
      </c>
      <c r="T5" s="60">
        <f t="shared" ref="T5:T68" si="34">$T$3</f>
        <v>161.68519532023998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</v>
      </c>
      <c r="AI5" s="14">
        <f>IF('Données projet'!$A$62&gt;35,AI4+AH5-AQ4,IF(A5&lt;'Données projet'!$A$62,$AF$205^A5,IF(A5='Données projet'!$A$62,'Données projet'!$B$62,AI4+AH5-AQ4)))</f>
        <v>1.40948306516591</v>
      </c>
      <c r="AJ5" s="14">
        <f>AI5*VLOOKUP('Données projet'!$B$10,Paramètres!$A$1:$I$89,3,0)*VLOOKUP('Données projet'!$B$10,Paramètres!$A$1:$I$89,5,0)</f>
        <v>0.84287087296921426</v>
      </c>
      <c r="AK5" s="14">
        <f t="shared" ref="AK5:AK68" si="35">EXP(-1.0587+0.8836*LN(AJ5)+0.284)</f>
        <v>0.3962365424077775</v>
      </c>
      <c r="AL5" s="22">
        <f t="shared" si="4"/>
        <v>2.1581120817815935</v>
      </c>
      <c r="AM5" s="60">
        <f t="shared" si="5"/>
        <v>295.49144541511492</v>
      </c>
      <c r="AN5" s="60">
        <f ca="1">AVERAGE(OFFSET($AM$3,0,0,'Données projet'!$E$10+1,1))-AVERAGE(OFFSET($H$3,0,0,'Données projet'!$E$10+1,1))</f>
        <v>216.19747366796145</v>
      </c>
      <c r="AO5" s="60">
        <f t="shared" ref="AO5:AO68" si="36">$AO$3</f>
        <v>122.08911898780889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3.4425641025641025</v>
      </c>
      <c r="BD5" s="13">
        <f>IF('Données projet'!$A$88&gt;35,BD4+BC5-BL4,IF(A5&lt;'Données projet'!$A$88,$BA$205^A5,IF(A5='Données projet'!$A$88,'Données projet'!$B$88,BD4+BC5-BL4)))</f>
        <v>1.3622815852065062</v>
      </c>
      <c r="BE5" s="14">
        <f>BD5*VLOOKUP('Données projet'!$B$11,Paramètres!$A$1:$I$89,3,0)*VLOOKUP('Données projet'!$B$11,Paramètres!$A$1:$I$89,5,0)</f>
        <v>0.63754778187664485</v>
      </c>
      <c r="BF5" s="14">
        <f t="shared" ref="BF5:BF68" si="37">EXP(-1.0587+0.8836*LN(BE5)+0.284)</f>
        <v>0.30961323785545058</v>
      </c>
      <c r="BG5" s="22">
        <f t="shared" si="7"/>
        <v>1.6496387760333995</v>
      </c>
      <c r="BH5" s="60">
        <f t="shared" si="8"/>
        <v>294.9829721093667</v>
      </c>
      <c r="BI5" s="60">
        <f ca="1">AVERAGE(OFFSET($BH$3,0,0,'Données projet'!$E$11+1,1))-AVERAGE(OFFSET($H$3,0,0,'Données projet'!$E$11+1,1))</f>
        <v>179.52358670810645</v>
      </c>
      <c r="BJ5" s="60">
        <f t="shared" ref="BJ5:BJ68" si="38">$BJ$3</f>
        <v>89.471764801078166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1.8269230769230771</v>
      </c>
      <c r="BY5" s="13">
        <f>IF('Données projet'!$A$114&gt;35,BY4+BX5-CG4,IF(A5&lt;'Données projet'!$A$114,$BV$205^A5,IF(A5='Données projet'!$A$114,'Données projet'!$B$114,BY4+BX5-CG4)))</f>
        <v>1.4330951483562495</v>
      </c>
      <c r="BZ5" s="14">
        <f>BY5*VLOOKUP('Données projet'!$B$12,Paramètres!$A$1:$I$89,3,0)*VLOOKUP('Données projet'!$B$12,Paramètres!$A$1:$I$89,5,0)</f>
        <v>1.4978710490619522</v>
      </c>
      <c r="CA5" s="14">
        <f t="shared" ref="CA5:CA68" si="39">EXP(-1.0587+0.8836*LN(BZ5)+0.284)</f>
        <v>0.6585689765350049</v>
      </c>
      <c r="CB5" s="22">
        <f t="shared" si="10"/>
        <v>3.7557997112480344</v>
      </c>
      <c r="CC5" s="60">
        <f t="shared" si="11"/>
        <v>297.08913304458133</v>
      </c>
      <c r="CD5" s="60">
        <f ca="1">AVERAGE(OFFSET($CC$3,0,0,'Données projet'!$E$12+1,1))-AVERAGE(OFFSET($H$3,0,0,'Données projet'!$E$12+1,1))</f>
        <v>304.57411436867147</v>
      </c>
      <c r="CE5" s="60">
        <f t="shared" ref="CE5:CE68" si="40">$CE$3</f>
        <v>178.19974548556962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1.8269230769230771</v>
      </c>
      <c r="CT5" s="13">
        <f>IF('Données projet'!$A$140&gt;35,CT4+CS5-DB4,IF(A5&lt;'Données projet'!$A$140,$CQ$205^A5,IF(A5='Données projet'!$A$140,'Données projet'!$B$140,CT4+CS5-DB4)))</f>
        <v>1.4330951483562495</v>
      </c>
      <c r="CU5" s="18">
        <f>CT5*VLOOKUP('Données projet'!$B$13,Paramètres!$A$1:$I$89,3,0)*VLOOKUP('Données projet'!$B$13,Paramètres!$A$1:$I$89,5,0)</f>
        <v>1.3860896274901646</v>
      </c>
      <c r="CV5" s="14">
        <f t="shared" ref="CV5:CV68" si="41">EXP(-1.0587+0.8836*LN(CU5)+0.284)</f>
        <v>0.61494867423459587</v>
      </c>
      <c r="CW5" s="22">
        <f t="shared" si="13"/>
        <v>3.4851417088372916</v>
      </c>
      <c r="CX5" s="60">
        <f t="shared" si="14"/>
        <v>296.81847504217063</v>
      </c>
      <c r="CY5" s="60">
        <f ca="1">AVERAGE(OFFSET($CX$3,0,0,'Données projet'!$E$13+1,1))-AVERAGE(OFFSET($H$3,0,0,'Données projet'!$E$13+1,1))</f>
        <v>279.37339904167601</v>
      </c>
      <c r="CZ5" s="60">
        <f t="shared" ref="CZ5:CZ68" si="42">$CZ$3</f>
        <v>163.80861186980007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0" t="e">
        <f t="shared" si="17"/>
        <v>#N/A</v>
      </c>
      <c r="DT5" s="60" t="e">
        <f ca="1">AVERAGE(OFFSET($DS$3,0,0,'Données projet'!$E$14+1,1))-AVERAGE(OFFSET($H$3,0,0,'Données projet'!$E$14+1,1))</f>
        <v>#N/A</v>
      </c>
      <c r="DU5" s="60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0.81900000000000006</v>
      </c>
      <c r="D6" s="12">
        <f t="shared" si="32"/>
        <v>0.38630445842754507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9.3041045913705247</v>
      </c>
      <c r="H6" s="68">
        <f t="shared" si="1"/>
        <v>295.43257193176129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1.1564102564102565</v>
      </c>
      <c r="N6" s="14">
        <f>IF('Données projet'!$A$36&gt;35,N5+M6-V5,IF(A6&lt;'Données projet'!$A$36,$K$205^A6,IF(A6='Données projet'!$A$36,'Données projet'!$B$36,N5+M6-V5)))</f>
        <v>1.769459548794982</v>
      </c>
      <c r="O6" s="14">
        <f>N6*VLOOKUP('Données projet'!$B$9,Paramètres!$A$1:$I$89,3,0)*VLOOKUP('Données projet'!$B$9,Paramètres!$A$1:$I$89,5,0)</f>
        <v>1.0581368101793993</v>
      </c>
      <c r="P6" s="14">
        <f t="shared" si="33"/>
        <v>0.48443690349325391</v>
      </c>
      <c r="Q6" s="22">
        <f t="shared" si="2"/>
        <v>2.6866492179798711</v>
      </c>
      <c r="R6" s="60">
        <f t="shared" si="0"/>
        <v>296.01998255131321</v>
      </c>
      <c r="S6" s="60">
        <f ca="1">AVERAGE(OFFSET($R$3,0,0,'Données projet'!$E$9+1,1))-AVERAGE(OFFSET($H$3,0,0,'Données projet'!$E$9+1,1))</f>
        <v>223.38593045370783</v>
      </c>
      <c r="T6" s="60">
        <f t="shared" si="34"/>
        <v>161.68519532023998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</v>
      </c>
      <c r="AI6" s="14">
        <f>IF('Données projet'!$A$62&gt;35,AI5+AH6-AQ5,IF(A6&lt;'Données projet'!$A$62,$AF$205^A6,IF(A6='Données projet'!$A$62,'Données projet'!$B$62,AI5+AH6-AQ5)))</f>
        <v>1.6733615795094512</v>
      </c>
      <c r="AJ6" s="14">
        <f>AI6*VLOOKUP('Données projet'!$B$10,Paramètres!$A$1:$I$89,3,0)*VLOOKUP('Données projet'!$B$10,Paramètres!$A$1:$I$89,5,0)</f>
        <v>1.0006702245466519</v>
      </c>
      <c r="AK6" s="14">
        <f t="shared" si="35"/>
        <v>0.4611149176611507</v>
      </c>
      <c r="AL6" s="22">
        <f t="shared" si="4"/>
        <v>2.5459424560119226</v>
      </c>
      <c r="AM6" s="60">
        <f t="shared" si="5"/>
        <v>295.87927578934523</v>
      </c>
      <c r="AN6" s="60">
        <f ca="1">AVERAGE(OFFSET($AM$3,0,0,'Données projet'!$E$10+1,1))-AVERAGE(OFFSET($H$3,0,0,'Données projet'!$E$10+1,1))</f>
        <v>216.19747366796145</v>
      </c>
      <c r="AO6" s="60">
        <f t="shared" si="36"/>
        <v>122.08911898780889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3.4425641025641025</v>
      </c>
      <c r="BD6" s="13">
        <f>IF('Données projet'!$A$88&gt;35,BD5+BC6-BL5,IF(A6&lt;'Données projet'!$A$88,$BA$205^A6,IF(A6='Données projet'!$A$88,'Données projet'!$B$88,BD5+BC6-BL5)))</f>
        <v>1.590011732927042</v>
      </c>
      <c r="BE6" s="14">
        <f>BD6*VLOOKUP('Données projet'!$B$11,Paramètres!$A$1:$I$89,3,0)*VLOOKUP('Données projet'!$B$11,Paramètres!$A$1:$I$89,5,0)</f>
        <v>0.7441254910098557</v>
      </c>
      <c r="BF6" s="14">
        <f t="shared" si="37"/>
        <v>0.35492666750402163</v>
      </c>
      <c r="BG6" s="22">
        <f t="shared" si="7"/>
        <v>1.9141825094116696</v>
      </c>
      <c r="BH6" s="60">
        <f t="shared" si="8"/>
        <v>295.24751584274497</v>
      </c>
      <c r="BI6" s="60">
        <f ca="1">AVERAGE(OFFSET($BH$3,0,0,'Données projet'!$E$11+1,1))-AVERAGE(OFFSET($H$3,0,0,'Données projet'!$E$11+1,1))</f>
        <v>179.52358670810645</v>
      </c>
      <c r="BJ6" s="60">
        <f t="shared" si="38"/>
        <v>89.471764801078166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1.8269230769230771</v>
      </c>
      <c r="BY6" s="13">
        <f>IF('Données projet'!$A$114&gt;35,BY5+BX6-CG5,IF(A6&lt;'Données projet'!$A$114,$BV$205^A6,IF(A6='Données projet'!$A$114,'Données projet'!$B$114,BY5+BX6-CG5)))</f>
        <v>1.7155861780246975</v>
      </c>
      <c r="BZ6" s="14">
        <f>BY6*VLOOKUP('Données projet'!$B$12,Paramètres!$A$1:$I$89,3,0)*VLOOKUP('Données projet'!$B$12,Paramètres!$A$1:$I$89,5,0)</f>
        <v>1.7931306732714141</v>
      </c>
      <c r="CA6" s="14">
        <f t="shared" si="39"/>
        <v>0.77204670669299325</v>
      </c>
      <c r="CB6" s="22">
        <f t="shared" si="10"/>
        <v>4.4676839367713423</v>
      </c>
      <c r="CC6" s="60">
        <f t="shared" si="11"/>
        <v>297.80101727010464</v>
      </c>
      <c r="CD6" s="60">
        <f ca="1">AVERAGE(OFFSET($CC$3,0,0,'Données projet'!$E$12+1,1))-AVERAGE(OFFSET($H$3,0,0,'Données projet'!$E$12+1,1))</f>
        <v>304.57411436867147</v>
      </c>
      <c r="CE6" s="60">
        <f t="shared" si="40"/>
        <v>178.19974548556962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1.8269230769230771</v>
      </c>
      <c r="CT6" s="13">
        <f>IF('Données projet'!$A$140&gt;35,CT5+CS6-DB5,IF(A6&lt;'Données projet'!$A$140,$CQ$205^A6,IF(A6='Données projet'!$A$140,'Données projet'!$B$140,CT5+CS6-DB5)))</f>
        <v>1.7155861780246975</v>
      </c>
      <c r="CU6" s="18">
        <f>CT6*VLOOKUP('Données projet'!$B$13,Paramètres!$A$1:$I$89,3,0)*VLOOKUP('Données projet'!$B$13,Paramètres!$A$1:$I$89,5,0)</f>
        <v>1.6593149513854877</v>
      </c>
      <c r="CV6" s="14">
        <f t="shared" si="41"/>
        <v>0.72091020932384697</v>
      </c>
      <c r="CW6" s="22">
        <f t="shared" si="13"/>
        <v>4.1455588215687582</v>
      </c>
      <c r="CX6" s="60">
        <f t="shared" si="14"/>
        <v>297.4788921549021</v>
      </c>
      <c r="CY6" s="60">
        <f ca="1">AVERAGE(OFFSET($CX$3,0,0,'Données projet'!$E$13+1,1))-AVERAGE(OFFSET($H$3,0,0,'Données projet'!$E$13+1,1))</f>
        <v>279.37339904167601</v>
      </c>
      <c r="CZ6" s="60">
        <f t="shared" si="42"/>
        <v>163.80861186980007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0" t="e">
        <f t="shared" si="17"/>
        <v>#N/A</v>
      </c>
      <c r="DT6" s="60" t="e">
        <f ca="1">AVERAGE(OFFSET($DS$3,0,0,'Données projet'!$E$14+1,1))-AVERAGE(OFFSET($H$3,0,0,'Données projet'!$E$14+1,1))</f>
        <v>#N/A</v>
      </c>
      <c r="DU6" s="60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7" s="12">
        <f t="shared" si="32"/>
        <v>0.49811037558348636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12.274536232574283</v>
      </c>
      <c r="H7" s="68">
        <f t="shared" si="1"/>
        <v>296.10277557080786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1.1564102564102565</v>
      </c>
      <c r="N7" s="14">
        <f>IF('Données projet'!$A$36&gt;35,N6+M7-V6,IF(A7&lt;'Données projet'!$A$36,$K$205^A7,IF(A7='Données projet'!$A$36,'Données projet'!$B$36,N6+M7-V6)))</f>
        <v>2.1401991391779651</v>
      </c>
      <c r="O7" s="14">
        <f>N7*VLOOKUP('Données projet'!$B$9,Paramètres!$A$1:$I$89,3,0)*VLOOKUP('Données projet'!$B$9,Paramètres!$A$1:$I$89,5,0)</f>
        <v>1.2798390852284232</v>
      </c>
      <c r="P7" s="14">
        <f t="shared" si="33"/>
        <v>0.57310546386036043</v>
      </c>
      <c r="Q7" s="22">
        <f t="shared" si="2"/>
        <v>3.2272117563296319</v>
      </c>
      <c r="R7" s="60">
        <f t="shared" si="0"/>
        <v>296.56054508966292</v>
      </c>
      <c r="S7" s="60">
        <f ca="1">AVERAGE(OFFSET($R$3,0,0,'Données projet'!$E$9+1,1))-AVERAGE(OFFSET($H$3,0,0,'Données projet'!$E$9+1,1))</f>
        <v>223.38593045370783</v>
      </c>
      <c r="T7" s="60">
        <f t="shared" si="34"/>
        <v>161.68519532023998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</v>
      </c>
      <c r="AI7" s="14">
        <f>IF('Données projet'!$A$62&gt;35,AI6+AH7-AQ6,IF(A7&lt;'Données projet'!$A$62,$AF$205^A7,IF(A7='Données projet'!$A$62,'Données projet'!$B$62,AI6+AH7-AQ6)))</f>
        <v>1.986642510989489</v>
      </c>
      <c r="AJ7" s="14">
        <f>AI7*VLOOKUP('Données projet'!$B$10,Paramètres!$A$1:$I$89,3,0)*VLOOKUP('Données projet'!$B$10,Paramètres!$A$1:$I$89,5,0)</f>
        <v>1.1880122215717144</v>
      </c>
      <c r="AK7" s="14">
        <f t="shared" si="35"/>
        <v>0.53661624946956477</v>
      </c>
      <c r="AL7" s="22">
        <f t="shared" si="4"/>
        <v>3.0037279203968943</v>
      </c>
      <c r="AM7" s="60">
        <f t="shared" si="5"/>
        <v>296.33706125373021</v>
      </c>
      <c r="AN7" s="60">
        <f ca="1">AVERAGE(OFFSET($AM$3,0,0,'Données projet'!$E$10+1,1))-AVERAGE(OFFSET($H$3,0,0,'Données projet'!$E$10+1,1))</f>
        <v>216.19747366796145</v>
      </c>
      <c r="AO7" s="60">
        <f t="shared" si="36"/>
        <v>122.08911898780889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3.4425641025641025</v>
      </c>
      <c r="BD7" s="13">
        <f>IF('Données projet'!$A$88&gt;35,BD6+BC7-BL6,IF(A7&lt;'Données projet'!$A$88,$BA$205^A7,IF(A7='Données projet'!$A$88,'Données projet'!$B$88,BD6+BC7-BL6)))</f>
        <v>1.8558111173927514</v>
      </c>
      <c r="BE7" s="14">
        <f>BD7*VLOOKUP('Données projet'!$B$11,Paramètres!$A$1:$I$89,3,0)*VLOOKUP('Données projet'!$B$11,Paramètres!$A$1:$I$89,5,0)</f>
        <v>0.86851960293980757</v>
      </c>
      <c r="BF7" s="14">
        <f t="shared" si="37"/>
        <v>0.40687194183965542</v>
      </c>
      <c r="BG7" s="22">
        <f t="shared" si="7"/>
        <v>2.2213069404908978</v>
      </c>
      <c r="BH7" s="60">
        <f t="shared" si="8"/>
        <v>295.55464027382419</v>
      </c>
      <c r="BI7" s="60">
        <f ca="1">AVERAGE(OFFSET($BH$3,0,0,'Données projet'!$E$11+1,1))-AVERAGE(OFFSET($H$3,0,0,'Données projet'!$E$11+1,1))</f>
        <v>179.52358670810645</v>
      </c>
      <c r="BJ7" s="60">
        <f t="shared" si="38"/>
        <v>89.471764801078166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1.8269230769230771</v>
      </c>
      <c r="BY7" s="13">
        <f>IF('Données projet'!$A$114&gt;35,BY6+BX7-CG6,IF(A7&lt;'Données projet'!$A$114,$BV$205^A7,IF(A7='Données projet'!$A$114,'Données projet'!$B$114,BY6+BX7-CG6)))</f>
        <v>2.0537617042422207</v>
      </c>
      <c r="BZ7" s="14">
        <f>BY7*VLOOKUP('Données projet'!$B$12,Paramètres!$A$1:$I$89,3,0)*VLOOKUP('Données projet'!$B$12,Paramètres!$A$1:$I$89,5,0)</f>
        <v>2.1465917332739695</v>
      </c>
      <c r="CA7" s="14">
        <f t="shared" si="39"/>
        <v>0.90507773453220719</v>
      </c>
      <c r="CB7" s="22">
        <f t="shared" si="10"/>
        <v>5.3149909897624239</v>
      </c>
      <c r="CC7" s="60">
        <f t="shared" si="11"/>
        <v>298.64832432309572</v>
      </c>
      <c r="CD7" s="60">
        <f ca="1">AVERAGE(OFFSET($CC$3,0,0,'Données projet'!$E$12+1,1))-AVERAGE(OFFSET($H$3,0,0,'Données projet'!$E$12+1,1))</f>
        <v>304.57411436867147</v>
      </c>
      <c r="CE7" s="60">
        <f t="shared" si="40"/>
        <v>178.19974548556962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1.8269230769230771</v>
      </c>
      <c r="CT7" s="13">
        <f>IF('Données projet'!$A$140&gt;35,CT6+CS7-DB6,IF(A7&lt;'Données projet'!$A$140,$CQ$205^A7,IF(A7='Données projet'!$A$140,'Données projet'!$B$140,CT6+CS7-DB6)))</f>
        <v>2.0537617042422207</v>
      </c>
      <c r="CU7" s="18">
        <f>CT7*VLOOKUP('Données projet'!$B$13,Paramètres!$A$1:$I$89,3,0)*VLOOKUP('Données projet'!$B$13,Paramètres!$A$1:$I$89,5,0)</f>
        <v>1.986398320343076</v>
      </c>
      <c r="CV7" s="14">
        <f t="shared" si="41"/>
        <v>0.84512992983393076</v>
      </c>
      <c r="CW7" s="22">
        <f t="shared" si="13"/>
        <v>4.9315783690582871</v>
      </c>
      <c r="CX7" s="60">
        <f t="shared" si="14"/>
        <v>298.2649117023916</v>
      </c>
      <c r="CY7" s="60">
        <f ca="1">AVERAGE(OFFSET($CX$3,0,0,'Données projet'!$E$13+1,1))-AVERAGE(OFFSET($H$3,0,0,'Données projet'!$E$13+1,1))</f>
        <v>279.37339904167601</v>
      </c>
      <c r="CZ7" s="60">
        <f t="shared" si="42"/>
        <v>163.80861186980007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0" t="e">
        <f t="shared" si="17"/>
        <v>#N/A</v>
      </c>
      <c r="DT7" s="60" t="e">
        <f ca="1">AVERAGE(OFFSET($DS$3,0,0,'Données projet'!$E$14+1,1))-AVERAGE(OFFSET($H$3,0,0,'Données projet'!$E$14+1,1))</f>
        <v>#N/A</v>
      </c>
      <c r="DU7" s="60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1.3650000000000002</v>
      </c>
      <c r="D8" s="12">
        <f t="shared" si="32"/>
        <v>0.60667385008114294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15.219938491854441</v>
      </c>
      <c r="H8" s="68">
        <f t="shared" si="1"/>
        <v>296.76733195555795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1.1564102564102565</v>
      </c>
      <c r="N8" s="14">
        <f>IF('Données projet'!$A$36&gt;35,N7+M8-V7,IF(A8&lt;'Données projet'!$A$36,$K$205^A8,IF(A8='Données projet'!$A$36,'Données projet'!$B$36,N7+M8-V7)))</f>
        <v>2.5886165967780568</v>
      </c>
      <c r="O8" s="14">
        <f>N8*VLOOKUP('Données projet'!$B$9,Paramètres!$A$1:$I$89,3,0)*VLOOKUP('Données projet'!$B$9,Paramètres!$A$1:$I$89,5,0)</f>
        <v>1.5479927248732781</v>
      </c>
      <c r="P8" s="14">
        <f t="shared" si="33"/>
        <v>0.67800341043004941</v>
      </c>
      <c r="Q8" s="22">
        <f t="shared" si="2"/>
        <v>3.8769432689866288</v>
      </c>
      <c r="R8" s="60">
        <f t="shared" si="0"/>
        <v>297.21027660231994</v>
      </c>
      <c r="S8" s="60">
        <f ca="1">AVERAGE(OFFSET($R$3,0,0,'Données projet'!$E$9+1,1))-AVERAGE(OFFSET($H$3,0,0,'Données projet'!$E$9+1,1))</f>
        <v>223.38593045370783</v>
      </c>
      <c r="T8" s="60">
        <f t="shared" si="34"/>
        <v>161.68519532023998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</v>
      </c>
      <c r="AI8" s="14">
        <f>IF('Données projet'!$A$62&gt;35,AI7+AH8-AQ7,IF(A8&lt;'Données projet'!$A$62,$AF$205^A8,IF(A8='Données projet'!$A$62,'Données projet'!$B$62,AI7+AH8-AQ7)))</f>
        <v>2.3585748082178499</v>
      </c>
      <c r="AJ8" s="14">
        <f>AI8*VLOOKUP('Données projet'!$B$10,Paramètres!$A$1:$I$89,3,0)*VLOOKUP('Données projet'!$B$10,Paramètres!$A$1:$I$89,5,0)</f>
        <v>1.4104277353142742</v>
      </c>
      <c r="AK8" s="14">
        <f t="shared" si="35"/>
        <v>0.62447990330771908</v>
      </c>
      <c r="AL8" s="22">
        <f t="shared" si="4"/>
        <v>3.5441308039333044</v>
      </c>
      <c r="AM8" s="60">
        <f t="shared" si="5"/>
        <v>296.8774641372666</v>
      </c>
      <c r="AN8" s="60">
        <f ca="1">AVERAGE(OFFSET($AM$3,0,0,'Données projet'!$E$10+1,1))-AVERAGE(OFFSET($H$3,0,0,'Données projet'!$E$10+1,1))</f>
        <v>216.19747366796145</v>
      </c>
      <c r="AO8" s="60">
        <f t="shared" si="36"/>
        <v>122.08911898780889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3.4425641025641025</v>
      </c>
      <c r="BD8" s="13">
        <f>IF('Données projet'!$A$88&gt;35,BD7+BC8-BL7,IF(A8&lt;'Données projet'!$A$88,$BA$205^A8,IF(A8='Données projet'!$A$88,'Données projet'!$B$88,BD7+BC8-BL7)))</f>
        <v>2.1660437040287945</v>
      </c>
      <c r="BE8" s="14">
        <f>BD8*VLOOKUP('Données projet'!$B$11,Paramètres!$A$1:$I$89,3,0)*VLOOKUP('Données projet'!$B$11,Paramètres!$A$1:$I$89,5,0)</f>
        <v>1.0137084534854759</v>
      </c>
      <c r="BF8" s="14">
        <f t="shared" si="37"/>
        <v>0.46641966415357117</v>
      </c>
      <c r="BG8" s="22">
        <f t="shared" si="7"/>
        <v>2.5778898048880068</v>
      </c>
      <c r="BH8" s="60">
        <f t="shared" si="8"/>
        <v>295.91122313822132</v>
      </c>
      <c r="BI8" s="60">
        <f ca="1">AVERAGE(OFFSET($BH$3,0,0,'Données projet'!$E$11+1,1))-AVERAGE(OFFSET($H$3,0,0,'Données projet'!$E$11+1,1))</f>
        <v>179.52358670810645</v>
      </c>
      <c r="BJ8" s="60">
        <f t="shared" si="38"/>
        <v>89.471764801078166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1.8269230769230771</v>
      </c>
      <c r="BY8" s="13">
        <f>IF('Données projet'!$A$114&gt;35,BY7+BX8-CG7,IF(A8&lt;'Données projet'!$A$114,$BV$205^A8,IF(A8='Données projet'!$A$114,'Données projet'!$B$114,BY7+BX8-CG7)))</f>
        <v>2.4585982283142349</v>
      </c>
      <c r="BZ8" s="14">
        <f>BY8*VLOOKUP('Données projet'!$B$12,Paramètres!$A$1:$I$89,3,0)*VLOOKUP('Données projet'!$B$12,Paramètres!$A$1:$I$89,5,0)</f>
        <v>2.5697268682340386</v>
      </c>
      <c r="CA8" s="14">
        <f t="shared" si="39"/>
        <v>1.0610312801602253</v>
      </c>
      <c r="CB8" s="22">
        <f t="shared" si="10"/>
        <v>6.3235704417866758</v>
      </c>
      <c r="CC8" s="60">
        <f t="shared" si="11"/>
        <v>299.65690377511999</v>
      </c>
      <c r="CD8" s="60">
        <f ca="1">AVERAGE(OFFSET($CC$3,0,0,'Données projet'!$E$12+1,1))-AVERAGE(OFFSET($H$3,0,0,'Données projet'!$E$12+1,1))</f>
        <v>304.57411436867147</v>
      </c>
      <c r="CE8" s="60">
        <f t="shared" si="40"/>
        <v>178.19974548556962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1.8269230769230771</v>
      </c>
      <c r="CT8" s="13">
        <f>IF('Données projet'!$A$140&gt;35,CT7+CS8-DB7,IF(A8&lt;'Données projet'!$A$140,$CQ$205^A8,IF(A8='Données projet'!$A$140,'Données projet'!$B$140,CT7+CS8-DB7)))</f>
        <v>2.4585982283142349</v>
      </c>
      <c r="CU8" s="18">
        <f>CT8*VLOOKUP('Données projet'!$B$13,Paramètres!$A$1:$I$89,3,0)*VLOOKUP('Données projet'!$B$13,Paramètres!$A$1:$I$89,5,0)</f>
        <v>2.377956206425528</v>
      </c>
      <c r="CV8" s="14">
        <f t="shared" si="41"/>
        <v>0.99075389564950955</v>
      </c>
      <c r="CW8" s="22">
        <f t="shared" si="13"/>
        <v>5.8671700944473564</v>
      </c>
      <c r="CX8" s="60">
        <f t="shared" si="14"/>
        <v>299.20050342778069</v>
      </c>
      <c r="CY8" s="60">
        <f ca="1">AVERAGE(OFFSET($CX$3,0,0,'Données projet'!$E$13+1,1))-AVERAGE(OFFSET($H$3,0,0,'Données projet'!$E$13+1,1))</f>
        <v>279.37339904167601</v>
      </c>
      <c r="CZ8" s="60">
        <f t="shared" si="42"/>
        <v>163.80861186980007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0" t="e">
        <f t="shared" si="17"/>
        <v>#N/A</v>
      </c>
      <c r="DT8" s="60" t="e">
        <f ca="1">AVERAGE(OFFSET($DS$3,0,0,'Données projet'!$E$14+1,1))-AVERAGE(OFFSET($H$3,0,0,'Données projet'!$E$14+1,1))</f>
        <v>#N/A</v>
      </c>
      <c r="DU8" s="60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1.6380000000000003</v>
      </c>
      <c r="D9" s="12">
        <f t="shared" si="32"/>
        <v>0.71272144204532062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18.145919903507739</v>
      </c>
      <c r="H9" s="68">
        <f t="shared" si="1"/>
        <v>297.42750651156223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1.1564102564102565</v>
      </c>
      <c r="N9" s="14">
        <f>IF('Données projet'!$A$36&gt;35,N8+M9-V8,IF(A9&lt;'Données projet'!$A$36,$K$205^A9,IF(A9='Données projet'!$A$36,'Données projet'!$B$36,N8+M9-V8)))</f>
        <v>3.1309870948217418</v>
      </c>
      <c r="O9" s="14">
        <f>N9*VLOOKUP('Données projet'!$B$9,Paramètres!$A$1:$I$89,3,0)*VLOOKUP('Données projet'!$B$9,Paramètres!$A$1:$I$89,5,0)</f>
        <v>1.8723302827034016</v>
      </c>
      <c r="P9" s="14">
        <f t="shared" si="33"/>
        <v>0.80210127723853497</v>
      </c>
      <c r="Q9" s="22">
        <f t="shared" si="2"/>
        <v>4.6579683002322065</v>
      </c>
      <c r="R9" s="60">
        <f t="shared" si="0"/>
        <v>297.99130163356551</v>
      </c>
      <c r="S9" s="60">
        <f ca="1">AVERAGE(OFFSET($R$3,0,0,'Données projet'!$E$9+1,1))-AVERAGE(OFFSET($H$3,0,0,'Données projet'!$E$9+1,1))</f>
        <v>223.38593045370783</v>
      </c>
      <c r="T9" s="60">
        <f t="shared" si="34"/>
        <v>161.68519532023998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</v>
      </c>
      <c r="AI9" s="14">
        <f>IF('Données projet'!$A$62&gt;35,AI8+AH9-AQ8,IF(A9&lt;'Données projet'!$A$62,$AF$205^A9,IF(A9='Données projet'!$A$62,'Données projet'!$B$62,AI8+AH9-AQ8)))</f>
        <v>2.8001389757783652</v>
      </c>
      <c r="AJ9" s="14">
        <f>AI9*VLOOKUP('Données projet'!$B$10,Paramètres!$A$1:$I$89,3,0)*VLOOKUP('Données projet'!$B$10,Paramètres!$A$1:$I$89,5,0)</f>
        <v>1.6744831075154625</v>
      </c>
      <c r="AK9" s="14">
        <f t="shared" si="35"/>
        <v>0.72673004222421789</v>
      </c>
      <c r="AL9" s="22">
        <f t="shared" si="4"/>
        <v>4.1821129024632766</v>
      </c>
      <c r="AM9" s="60">
        <f t="shared" si="5"/>
        <v>297.51544623579662</v>
      </c>
      <c r="AN9" s="60">
        <f ca="1">AVERAGE(OFFSET($AM$3,0,0,'Données projet'!$E$10+1,1))-AVERAGE(OFFSET($H$3,0,0,'Données projet'!$E$10+1,1))</f>
        <v>216.19747366796145</v>
      </c>
      <c r="AO9" s="60">
        <f t="shared" si="36"/>
        <v>122.08911898780889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3.4425641025641025</v>
      </c>
      <c r="BD9" s="13">
        <f>IF('Données projet'!$A$88&gt;35,BD8+BC9-BL8,IF(A9&lt;'Données projet'!$A$88,$BA$205^A9,IF(A9='Données projet'!$A$88,'Données projet'!$B$88,BD8+BC9-BL8)))</f>
        <v>2.5281373108456551</v>
      </c>
      <c r="BE9" s="14">
        <f>BD9*VLOOKUP('Données projet'!$B$11,Paramètres!$A$1:$I$89,3,0)*VLOOKUP('Données projet'!$B$11,Paramètres!$A$1:$I$89,5,0)</f>
        <v>1.1831682614757666</v>
      </c>
      <c r="BF9" s="14">
        <f t="shared" si="37"/>
        <v>0.53468249033221249</v>
      </c>
      <c r="BG9" s="22">
        <f t="shared" si="7"/>
        <v>2.9919233927322302</v>
      </c>
      <c r="BH9" s="60">
        <f t="shared" si="8"/>
        <v>296.32525672606556</v>
      </c>
      <c r="BI9" s="60">
        <f ca="1">AVERAGE(OFFSET($BH$3,0,0,'Données projet'!$E$11+1,1))-AVERAGE(OFFSET($H$3,0,0,'Données projet'!$E$11+1,1))</f>
        <v>179.52358670810645</v>
      </c>
      <c r="BJ9" s="60">
        <f t="shared" si="38"/>
        <v>89.471764801078166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1.8269230769230771</v>
      </c>
      <c r="BY9" s="13">
        <f>IF('Données projet'!$A$114&gt;35,BY8+BX9-CG8,IF(A9&lt;'Données projet'!$A$114,$BV$205^A9,IF(A9='Données projet'!$A$114,'Données projet'!$B$114,BY8+BX9-CG8)))</f>
        <v>2.943235934229389</v>
      </c>
      <c r="BZ9" s="14">
        <f>BY9*VLOOKUP('Données projet'!$B$12,Paramètres!$A$1:$I$89,3,0)*VLOOKUP('Données projet'!$B$12,Paramètres!$A$1:$I$89,5,0)</f>
        <v>3.0762701984565579</v>
      </c>
      <c r="CA9" s="14">
        <f t="shared" si="39"/>
        <v>1.2438571125167652</v>
      </c>
      <c r="CB9" s="22">
        <f t="shared" si="10"/>
        <v>7.5242217332785373</v>
      </c>
      <c r="CC9" s="60">
        <f t="shared" si="11"/>
        <v>300.85755506661184</v>
      </c>
      <c r="CD9" s="60">
        <f ca="1">AVERAGE(OFFSET($CC$3,0,0,'Données projet'!$E$12+1,1))-AVERAGE(OFFSET($H$3,0,0,'Données projet'!$E$12+1,1))</f>
        <v>304.57411436867147</v>
      </c>
      <c r="CE9" s="60">
        <f t="shared" si="40"/>
        <v>178.19974548556962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1.8269230769230771</v>
      </c>
      <c r="CT9" s="13">
        <f>IF('Données projet'!$A$140&gt;35,CT8+CS9-DB8,IF(A9&lt;'Données projet'!$A$140,$CQ$205^A9,IF(A9='Données projet'!$A$140,'Données projet'!$B$140,CT8+CS9-DB8)))</f>
        <v>2.943235934229389</v>
      </c>
      <c r="CU9" s="18">
        <f>CT9*VLOOKUP('Données projet'!$B$13,Paramètres!$A$1:$I$89,3,0)*VLOOKUP('Données projet'!$B$13,Paramètres!$A$1:$I$89,5,0)</f>
        <v>2.8466977955866652</v>
      </c>
      <c r="CV9" s="14">
        <f t="shared" si="41"/>
        <v>1.1614702628477067</v>
      </c>
      <c r="CW9" s="22">
        <f t="shared" si="13"/>
        <v>6.9808927017731968</v>
      </c>
      <c r="CX9" s="60">
        <f t="shared" si="14"/>
        <v>300.31422603510651</v>
      </c>
      <c r="CY9" s="60">
        <f ca="1">AVERAGE(OFFSET($CX$3,0,0,'Données projet'!$E$13+1,1))-AVERAGE(OFFSET($H$3,0,0,'Données projet'!$E$13+1,1))</f>
        <v>279.37339904167601</v>
      </c>
      <c r="CZ9" s="60">
        <f t="shared" si="42"/>
        <v>163.80861186980007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0" t="e">
        <f t="shared" si="17"/>
        <v>#N/A</v>
      </c>
      <c r="DT9" s="60" t="e">
        <f ca="1">AVERAGE(OFFSET($DS$3,0,0,'Données projet'!$E$14+1,1))-AVERAGE(OFFSET($H$3,0,0,'Données projet'!$E$14+1,1))</f>
        <v>#N/A</v>
      </c>
      <c r="DU9" s="60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1.9110000000000005</v>
      </c>
      <c r="D10" s="12">
        <f t="shared" si="32"/>
        <v>0.81672153669562542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21.056096072738168</v>
      </c>
      <c r="H10" s="68">
        <f t="shared" si="1"/>
        <v>298.08411500974483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1.1564102564102565</v>
      </c>
      <c r="N10" s="14">
        <f>IF('Données projet'!$A$36&gt;35,N9+M10-V9,IF(A10&lt;'Données projet'!$A$36,$K$205^A10,IF(A10='Données projet'!$A$36,'Données projet'!$B$36,N9+M10-V9)))</f>
        <v>3.7869958031412509</v>
      </c>
      <c r="O10" s="14">
        <f>N10*VLOOKUP('Données projet'!$B$9,Paramètres!$A$1:$I$89,3,0)*VLOOKUP('Données projet'!$B$9,Paramètres!$A$1:$I$89,5,0)</f>
        <v>2.2646234902784683</v>
      </c>
      <c r="P10" s="14">
        <f t="shared" si="33"/>
        <v>0.94891330788381933</v>
      </c>
      <c r="Q10" s="22">
        <f t="shared" si="2"/>
        <v>5.5969099234659838</v>
      </c>
      <c r="R10" s="60">
        <f t="shared" si="0"/>
        <v>298.93024325679932</v>
      </c>
      <c r="S10" s="60">
        <f ca="1">AVERAGE(OFFSET($R$3,0,0,'Données projet'!$E$9+1,1))-AVERAGE(OFFSET($H$3,0,0,'Données projet'!$E$9+1,1))</f>
        <v>223.38593045370783</v>
      </c>
      <c r="T10" s="60">
        <f t="shared" si="34"/>
        <v>161.68519532023998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</v>
      </c>
      <c r="AI10" s="14">
        <f>IF('Données projet'!$A$62&gt;35,AI9+AH10-AQ9,IF(A10&lt;'Données projet'!$A$62,$AF$205^A10,IF(A10='Données projet'!$A$62,'Données projet'!$B$62,AI9+AH10-AQ9)))</f>
        <v>3.3243712501099933</v>
      </c>
      <c r="AJ10" s="14">
        <f>AI10*VLOOKUP('Données projet'!$B$10,Paramètres!$A$1:$I$89,3,0)*VLOOKUP('Données projet'!$B$10,Paramètres!$A$1:$I$89,5,0)</f>
        <v>1.9879740075657761</v>
      </c>
      <c r="AK10" s="14">
        <f t="shared" si="35"/>
        <v>0.84572225859279326</v>
      </c>
      <c r="AL10" s="22">
        <f t="shared" si="4"/>
        <v>4.9353543302261746</v>
      </c>
      <c r="AM10" s="60">
        <f t="shared" si="5"/>
        <v>298.26868766355949</v>
      </c>
      <c r="AN10" s="60">
        <f ca="1">AVERAGE(OFFSET($AM$3,0,0,'Données projet'!$E$10+1,1))-AVERAGE(OFFSET($H$3,0,0,'Données projet'!$E$10+1,1))</f>
        <v>216.19747366796145</v>
      </c>
      <c r="AO10" s="60">
        <f t="shared" si="36"/>
        <v>122.08911898780889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3.4425641025641025</v>
      </c>
      <c r="BD10" s="13">
        <f>IF('Données projet'!$A$88&gt;35,BD9+BC10-BL9,IF(A10&lt;'Données projet'!$A$88,$BA$205^A10,IF(A10='Données projet'!$A$88,'Données projet'!$B$88,BD9+BC10-BL9)))</f>
        <v>2.9507614507509188</v>
      </c>
      <c r="BE10" s="14">
        <f>BD10*VLOOKUP('Données projet'!$B$11,Paramètres!$A$1:$I$89,3,0)*VLOOKUP('Données projet'!$B$11,Paramètres!$A$1:$I$89,5,0)</f>
        <v>1.38095635895143</v>
      </c>
      <c r="BF10" s="14">
        <f t="shared" si="37"/>
        <v>0.61293591895758326</v>
      </c>
      <c r="BG10" s="22">
        <f t="shared" si="7"/>
        <v>3.472695717358198</v>
      </c>
      <c r="BH10" s="60">
        <f t="shared" si="8"/>
        <v>296.80602905069151</v>
      </c>
      <c r="BI10" s="60">
        <f ca="1">AVERAGE(OFFSET($BH$3,0,0,'Données projet'!$E$11+1,1))-AVERAGE(OFFSET($H$3,0,0,'Données projet'!$E$11+1,1))</f>
        <v>179.52358670810645</v>
      </c>
      <c r="BJ10" s="60">
        <f t="shared" si="38"/>
        <v>89.471764801078166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1.8269230769230771</v>
      </c>
      <c r="BY10" s="13">
        <f>IF('Données projet'!$A$114&gt;35,BY9+BX10-CG9,IF(A10&lt;'Données projet'!$A$114,$BV$205^A10,IF(A10='Données projet'!$A$114,'Données projet'!$B$114,BY9+BX10-CG9)))</f>
        <v>3.5234051927544003</v>
      </c>
      <c r="BZ10" s="14">
        <f>BY10*VLOOKUP('Données projet'!$B$12,Paramètres!$A$1:$I$89,3,0)*VLOOKUP('Données projet'!$B$12,Paramètres!$A$1:$I$89,5,0)</f>
        <v>3.6826631074668992</v>
      </c>
      <c r="CA10" s="14">
        <f t="shared" si="39"/>
        <v>1.4581855834871391</v>
      </c>
      <c r="CB10" s="22">
        <f t="shared" si="10"/>
        <v>8.9536448034116152</v>
      </c>
      <c r="CC10" s="60">
        <f t="shared" si="11"/>
        <v>302.28697813674495</v>
      </c>
      <c r="CD10" s="60">
        <f ca="1">AVERAGE(OFFSET($CC$3,0,0,'Données projet'!$E$12+1,1))-AVERAGE(OFFSET($H$3,0,0,'Données projet'!$E$12+1,1))</f>
        <v>304.57411436867147</v>
      </c>
      <c r="CE10" s="60">
        <f t="shared" si="40"/>
        <v>178.19974548556962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1.8269230769230771</v>
      </c>
      <c r="CT10" s="13">
        <f>IF('Données projet'!$A$140&gt;35,CT9+CS10-DB9,IF(A10&lt;'Données projet'!$A$140,$CQ$205^A10,IF(A10='Données projet'!$A$140,'Données projet'!$B$140,CT9+CS10-DB9)))</f>
        <v>3.5234051927544003</v>
      </c>
      <c r="CU10" s="18">
        <f>CT10*VLOOKUP('Données projet'!$B$13,Paramètres!$A$1:$I$89,3,0)*VLOOKUP('Données projet'!$B$13,Paramètres!$A$1:$I$89,5,0)</f>
        <v>3.4078375024320557</v>
      </c>
      <c r="CV10" s="14">
        <f t="shared" si="41"/>
        <v>1.3616026920541615</v>
      </c>
      <c r="CW10" s="22">
        <f t="shared" si="13"/>
        <v>8.3067750053968279</v>
      </c>
      <c r="CX10" s="60">
        <f t="shared" si="14"/>
        <v>301.64010833873016</v>
      </c>
      <c r="CY10" s="60">
        <f ca="1">AVERAGE(OFFSET($CX$3,0,0,'Données projet'!$E$13+1,1))-AVERAGE(OFFSET($H$3,0,0,'Données projet'!$E$13+1,1))</f>
        <v>279.37339904167601</v>
      </c>
      <c r="CZ10" s="60">
        <f t="shared" si="42"/>
        <v>163.80861186980007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0" t="e">
        <f t="shared" si="17"/>
        <v>#N/A</v>
      </c>
      <c r="DT10" s="60" t="e">
        <f ca="1">AVERAGE(OFFSET($DS$3,0,0,'Données projet'!$E$14+1,1))-AVERAGE(OFFSET($H$3,0,0,'Données projet'!$E$14+1,1))</f>
        <v>#N/A</v>
      </c>
      <c r="DU10" s="60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2.1840000000000006</v>
      </c>
      <c r="D11" s="12">
        <f t="shared" si="32"/>
        <v>0.91900038282935026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23.952985411314291</v>
      </c>
      <c r="H11" s="68">
        <f t="shared" si="1"/>
        <v>298.73772566676109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1.1564102564102565</v>
      </c>
      <c r="N11" s="14">
        <f>IF('Données projet'!$A$36&gt;35,N10+M11-V10,IF(A11&lt;'Données projet'!$A$36,$K$205^A11,IF(A11='Données projet'!$A$36,'Données projet'!$B$36,N10+M11-V10)))</f>
        <v>4.5804523553381031</v>
      </c>
      <c r="O11" s="14">
        <f>N11*VLOOKUP('Données projet'!$B$9,Paramètres!$A$1:$I$89,3,0)*VLOOKUP('Données projet'!$B$9,Paramètres!$A$1:$I$89,5,0)</f>
        <v>2.7391105084921858</v>
      </c>
      <c r="P11" s="14">
        <f t="shared" si="33"/>
        <v>1.1225969730144612</v>
      </c>
      <c r="Q11" s="22">
        <f t="shared" si="2"/>
        <v>6.7258071969574091</v>
      </c>
      <c r="R11" s="60">
        <f t="shared" si="0"/>
        <v>300.05914053029073</v>
      </c>
      <c r="S11" s="60">
        <f ca="1">AVERAGE(OFFSET($R$3,0,0,'Données projet'!$E$9+1,1))-AVERAGE(OFFSET($H$3,0,0,'Données projet'!$E$9+1,1))</f>
        <v>223.38593045370783</v>
      </c>
      <c r="T11" s="60">
        <f t="shared" si="34"/>
        <v>161.68519532023998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</v>
      </c>
      <c r="AI11" s="14">
        <f>IF('Données projet'!$A$62&gt;35,AI10+AH11-AQ10,IF(A11&lt;'Données projet'!$A$62,$AF$205^A11,IF(A11='Données projet'!$A$62,'Données projet'!$B$62,AI10+AH11-AQ10)))</f>
        <v>3.9467484664706216</v>
      </c>
      <c r="AJ11" s="14">
        <f>AI11*VLOOKUP('Données projet'!$B$10,Paramètres!$A$1:$I$89,3,0)*VLOOKUP('Données projet'!$B$10,Paramètres!$A$1:$I$89,5,0)</f>
        <v>2.3601555829494321</v>
      </c>
      <c r="AK11" s="14">
        <f t="shared" si="35"/>
        <v>0.98419784118216058</v>
      </c>
      <c r="AL11" s="22">
        <f t="shared" si="4"/>
        <v>5.8247488803625238</v>
      </c>
      <c r="AM11" s="60">
        <f t="shared" si="5"/>
        <v>299.15808221369582</v>
      </c>
      <c r="AN11" s="60">
        <f ca="1">AVERAGE(OFFSET($AM$3,0,0,'Données projet'!$E$10+1,1))-AVERAGE(OFFSET($H$3,0,0,'Données projet'!$E$10+1,1))</f>
        <v>216.19747366796145</v>
      </c>
      <c r="AO11" s="60">
        <f t="shared" si="36"/>
        <v>122.08911898780889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3.4425641025641025</v>
      </c>
      <c r="BD11" s="13">
        <f>IF('Données projet'!$A$88&gt;35,BD10+BC11-BL10,IF(A11&lt;'Données projet'!$A$88,$BA$205^A11,IF(A11='Données projet'!$A$88,'Données projet'!$B$88,BD10+BC11-BL10)))</f>
        <v>3.4440349034385327</v>
      </c>
      <c r="BE11" s="14">
        <f>BD11*VLOOKUP('Données projet'!$B$11,Paramètres!$A$1:$I$89,3,0)*VLOOKUP('Données projet'!$B$11,Paramètres!$A$1:$I$89,5,0)</f>
        <v>1.6118083348092334</v>
      </c>
      <c r="BF11" s="14">
        <f t="shared" si="37"/>
        <v>0.70264212414165761</v>
      </c>
      <c r="BG11" s="22">
        <f t="shared" si="7"/>
        <v>4.0310012160061346</v>
      </c>
      <c r="BH11" s="60">
        <f t="shared" si="8"/>
        <v>297.36433454933945</v>
      </c>
      <c r="BI11" s="60">
        <f ca="1">AVERAGE(OFFSET($BH$3,0,0,'Données projet'!$E$11+1,1))-AVERAGE(OFFSET($H$3,0,0,'Données projet'!$E$11+1,1))</f>
        <v>179.52358670810645</v>
      </c>
      <c r="BJ11" s="60">
        <f t="shared" si="38"/>
        <v>89.471764801078166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1.8269230769230771</v>
      </c>
      <c r="BY11" s="13">
        <f>IF('Données projet'!$A$114&gt;35,BY10+BX11-CG10,IF(A11&lt;'Données projet'!$A$114,$BV$205^A11,IF(A11='Données projet'!$A$114,'Données projet'!$B$114,BY10+BX11-CG10)))</f>
        <v>4.2179371378119113</v>
      </c>
      <c r="BZ11" s="14">
        <f>BY11*VLOOKUP('Données projet'!$B$12,Paramètres!$A$1:$I$89,3,0)*VLOOKUP('Données projet'!$B$12,Paramètres!$A$1:$I$89,5,0)</f>
        <v>4.4085878964410101</v>
      </c>
      <c r="CA11" s="14">
        <f t="shared" si="39"/>
        <v>1.7094448988497224</v>
      </c>
      <c r="CB11" s="22">
        <f t="shared" si="10"/>
        <v>10.655573785131358</v>
      </c>
      <c r="CC11" s="60">
        <f t="shared" si="11"/>
        <v>303.98890711846468</v>
      </c>
      <c r="CD11" s="60">
        <f ca="1">AVERAGE(OFFSET($CC$3,0,0,'Données projet'!$E$12+1,1))-AVERAGE(OFFSET($H$3,0,0,'Données projet'!$E$12+1,1))</f>
        <v>304.57411436867147</v>
      </c>
      <c r="CE11" s="60">
        <f t="shared" si="40"/>
        <v>178.19974548556962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1.8269230769230771</v>
      </c>
      <c r="CT11" s="13">
        <f>IF('Données projet'!$A$140&gt;35,CT10+CS11-DB10,IF(A11&lt;'Données projet'!$A$140,$CQ$205^A11,IF(A11='Données projet'!$A$140,'Données projet'!$B$140,CT10+CS11-DB10)))</f>
        <v>4.2179371378119113</v>
      </c>
      <c r="CU11" s="18">
        <f>CT11*VLOOKUP('Données projet'!$B$13,Paramètres!$A$1:$I$89,3,0)*VLOOKUP('Données projet'!$B$13,Paramètres!$A$1:$I$89,5,0)</f>
        <v>4.0795887996916811</v>
      </c>
      <c r="CV11" s="14">
        <f t="shared" si="41"/>
        <v>1.596219851951763</v>
      </c>
      <c r="CW11" s="22">
        <f t="shared" si="13"/>
        <v>9.8853667349456646</v>
      </c>
      <c r="CX11" s="60">
        <f t="shared" si="14"/>
        <v>303.21870006827896</v>
      </c>
      <c r="CY11" s="60">
        <f ca="1">AVERAGE(OFFSET($CX$3,0,0,'Données projet'!$E$13+1,1))-AVERAGE(OFFSET($H$3,0,0,'Données projet'!$E$13+1,1))</f>
        <v>279.37339904167601</v>
      </c>
      <c r="CZ11" s="60">
        <f t="shared" si="42"/>
        <v>163.80861186980007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0" t="e">
        <f t="shared" si="17"/>
        <v>#N/A</v>
      </c>
      <c r="DT11" s="60" t="e">
        <f ca="1">AVERAGE(OFFSET($DS$3,0,0,'Données projet'!$E$14+1,1))-AVERAGE(OFFSET($H$3,0,0,'Données projet'!$E$14+1,1))</f>
        <v>#N/A</v>
      </c>
      <c r="DU11" s="60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2.4570000000000007</v>
      </c>
      <c r="D12" s="12">
        <f t="shared" si="32"/>
        <v>1.0197977774627227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26.838438983922781</v>
      </c>
      <c r="H12" s="68">
        <f t="shared" si="1"/>
        <v>299.38875612908089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1.1564102564102565</v>
      </c>
      <c r="N12" s="14">
        <f>IF('Données projet'!$A$36&gt;35,N11+M12-V11,IF(A12&lt;'Données projet'!$A$36,$K$205^A12,IF(A12='Données projet'!$A$36,'Données projet'!$B$36,N11+M12-V11)))</f>
        <v>5.5401550120861911</v>
      </c>
      <c r="O12" s="14">
        <f>N12*VLOOKUP('Données projet'!$B$9,Paramètres!$A$1:$I$89,3,0)*VLOOKUP('Données projet'!$B$9,Paramètres!$A$1:$I$89,5,0)</f>
        <v>3.3130126972275424</v>
      </c>
      <c r="P12" s="14">
        <f t="shared" si="33"/>
        <v>1.3280707029303529</v>
      </c>
      <c r="Q12" s="22">
        <f t="shared" si="2"/>
        <v>8.0832202552750019</v>
      </c>
      <c r="R12" s="60">
        <f t="shared" si="0"/>
        <v>301.41655358860834</v>
      </c>
      <c r="S12" s="60">
        <f ca="1">AVERAGE(OFFSET($R$3,0,0,'Données projet'!$E$9+1,1))-AVERAGE(OFFSET($H$3,0,0,'Données projet'!$E$9+1,1))</f>
        <v>223.38593045370783</v>
      </c>
      <c r="T12" s="60">
        <f t="shared" si="34"/>
        <v>161.68519532023998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</v>
      </c>
      <c r="AI12" s="14">
        <f>IF('Données projet'!$A$62&gt;35,AI11+AH12-AQ11,IF(A12&lt;'Données projet'!$A$62,$AF$205^A12,IF(A12='Données projet'!$A$62,'Données projet'!$B$62,AI11+AH12-AQ11)))</f>
        <v>4.6856449793544614</v>
      </c>
      <c r="AJ12" s="14">
        <f>AI12*VLOOKUP('Données projet'!$B$10,Paramètres!$A$1:$I$89,3,0)*VLOOKUP('Données projet'!$B$10,Paramètres!$A$1:$I$89,5,0)</f>
        <v>2.8020156976539679</v>
      </c>
      <c r="AK12" s="14">
        <f t="shared" si="35"/>
        <v>1.1453469277246706</v>
      </c>
      <c r="AL12" s="22">
        <f t="shared" si="4"/>
        <v>6.8749899058677952</v>
      </c>
      <c r="AM12" s="60">
        <f t="shared" si="5"/>
        <v>300.20832323920109</v>
      </c>
      <c r="AN12" s="60">
        <f ca="1">AVERAGE(OFFSET($AM$3,0,0,'Données projet'!$E$10+1,1))-AVERAGE(OFFSET($H$3,0,0,'Données projet'!$E$10+1,1))</f>
        <v>216.19747366796145</v>
      </c>
      <c r="AO12" s="60">
        <f t="shared" si="36"/>
        <v>122.08911898780889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3.4425641025641025</v>
      </c>
      <c r="BD12" s="13">
        <f>IF('Données projet'!$A$88&gt;35,BD11+BC12-BL11,IF(A12&lt;'Données projet'!$A$88,$BA$205^A12,IF(A12='Données projet'!$A$88,'Données projet'!$B$88,BD11+BC12-BL11)))</f>
        <v>4.0197679866952116</v>
      </c>
      <c r="BE12" s="14">
        <f>BD12*VLOOKUP('Données projet'!$B$11,Paramètres!$A$1:$I$89,3,0)*VLOOKUP('Données projet'!$B$11,Paramètres!$A$1:$I$89,5,0)</f>
        <v>1.881251417773359</v>
      </c>
      <c r="BF12" s="14">
        <f t="shared" si="37"/>
        <v>0.80547727641405575</v>
      </c>
      <c r="BG12" s="22">
        <f t="shared" si="7"/>
        <v>4.6793858090430804</v>
      </c>
      <c r="BH12" s="60">
        <f t="shared" si="8"/>
        <v>298.0127191423764</v>
      </c>
      <c r="BI12" s="60">
        <f ca="1">AVERAGE(OFFSET($BH$3,0,0,'Données projet'!$E$11+1,1))-AVERAGE(OFFSET($H$3,0,0,'Données projet'!$E$11+1,1))</f>
        <v>179.52358670810645</v>
      </c>
      <c r="BJ12" s="60">
        <f t="shared" si="38"/>
        <v>89.471764801078166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1.8269230769230771</v>
      </c>
      <c r="BY12" s="13">
        <f>IF('Données projet'!$A$114&gt;35,BY11+BX12-CG11,IF(A12&lt;'Données projet'!$A$114,$BV$205^A12,IF(A12='Données projet'!$A$114,'Données projet'!$B$114,BY11+BX12-CG11)))</f>
        <v>5.0493748874295479</v>
      </c>
      <c r="BZ12" s="14">
        <f>BY12*VLOOKUP('Données projet'!$B$12,Paramètres!$A$1:$I$89,3,0)*VLOOKUP('Données projet'!$B$12,Paramètres!$A$1:$I$89,5,0)</f>
        <v>5.2776066323413637</v>
      </c>
      <c r="CA12" s="14">
        <f t="shared" si="39"/>
        <v>2.0039985961286999</v>
      </c>
      <c r="CB12" s="22">
        <f t="shared" si="10"/>
        <v>12.682129106252026</v>
      </c>
      <c r="CC12" s="60">
        <f t="shared" si="11"/>
        <v>306.01546243958535</v>
      </c>
      <c r="CD12" s="60">
        <f ca="1">AVERAGE(OFFSET($CC$3,0,0,'Données projet'!$E$12+1,1))-AVERAGE(OFFSET($H$3,0,0,'Données projet'!$E$12+1,1))</f>
        <v>304.57411436867147</v>
      </c>
      <c r="CE12" s="60">
        <f t="shared" si="40"/>
        <v>178.19974548556962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1.8269230769230771</v>
      </c>
      <c r="CT12" s="13">
        <f>IF('Données projet'!$A$140&gt;35,CT11+CS12-DB11,IF(A12&lt;'Données projet'!$A$140,$CQ$205^A12,IF(A12='Données projet'!$A$140,'Données projet'!$B$140,CT11+CS12-DB11)))</f>
        <v>5.0493748874295479</v>
      </c>
      <c r="CU12" s="18">
        <f>CT12*VLOOKUP('Données projet'!$B$13,Paramètres!$A$1:$I$89,3,0)*VLOOKUP('Données projet'!$B$13,Paramètres!$A$1:$I$89,5,0)</f>
        <v>4.8837553911218592</v>
      </c>
      <c r="CV12" s="14">
        <f t="shared" si="41"/>
        <v>1.8712637912907097</v>
      </c>
      <c r="CW12" s="22">
        <f t="shared" si="13"/>
        <v>11.76499174270189</v>
      </c>
      <c r="CX12" s="60">
        <f t="shared" si="14"/>
        <v>305.09832507603522</v>
      </c>
      <c r="CY12" s="60">
        <f ca="1">AVERAGE(OFFSET($CX$3,0,0,'Données projet'!$E$13+1,1))-AVERAGE(OFFSET($H$3,0,0,'Données projet'!$E$13+1,1))</f>
        <v>279.37339904167601</v>
      </c>
      <c r="CZ12" s="60">
        <f t="shared" si="42"/>
        <v>163.80861186980007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0" t="e">
        <f t="shared" si="17"/>
        <v>#N/A</v>
      </c>
      <c r="DT12" s="60" t="e">
        <f ca="1">AVERAGE(OFFSET($DS$3,0,0,'Données projet'!$E$14+1,1))-AVERAGE(OFFSET($H$3,0,0,'Données projet'!$E$14+1,1))</f>
        <v>#N/A</v>
      </c>
      <c r="DU12" s="60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2.7300000000000009</v>
      </c>
      <c r="D13" s="12">
        <f t="shared" si="32"/>
        <v>1.1192971032254277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29.713872375775242</v>
      </c>
      <c r="H13" s="68">
        <f t="shared" si="1"/>
        <v>300.03752578811759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1.1564102564102565</v>
      </c>
      <c r="N13" s="14">
        <f>IF('Données projet'!$A$36&gt;35,N12+M13-V12,IF(A13&lt;'Données projet'!$A$36,$K$205^A13,IF(A13='Données projet'!$A$36,'Données projet'!$B$36,N12+M13-V12)))</f>
        <v>6.7009358851148102</v>
      </c>
      <c r="O13" s="14">
        <f>N13*VLOOKUP('Données projet'!$B$9,Paramètres!$A$1:$I$89,3,0)*VLOOKUP('Données projet'!$B$9,Paramètres!$A$1:$I$89,5,0)</f>
        <v>4.0071596592986563</v>
      </c>
      <c r="P13" s="14">
        <f t="shared" si="33"/>
        <v>1.5711531692854481</v>
      </c>
      <c r="Q13" s="22">
        <f t="shared" si="2"/>
        <v>9.7155615097839831</v>
      </c>
      <c r="R13" s="60">
        <f t="shared" si="0"/>
        <v>303.0488948431173</v>
      </c>
      <c r="S13" s="60">
        <f ca="1">AVERAGE(OFFSET($R$3,0,0,'Données projet'!$E$9+1,1))-AVERAGE(OFFSET($H$3,0,0,'Données projet'!$E$9+1,1))</f>
        <v>223.38593045370783</v>
      </c>
      <c r="T13" s="60">
        <f t="shared" si="34"/>
        <v>161.68519532023998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</v>
      </c>
      <c r="AI13" s="14">
        <f>IF('Données projet'!$A$62&gt;35,AI12+AH13-AQ12,IF(A13&lt;'Données projet'!$A$62,$AF$205^A13,IF(A13='Données projet'!$A$62,'Données projet'!$B$62,AI12+AH13-AQ12)))</f>
        <v>5.5628751259598666</v>
      </c>
      <c r="AJ13" s="14">
        <f>AI13*VLOOKUP('Données projet'!$B$10,Paramètres!$A$1:$I$89,3,0)*VLOOKUP('Données projet'!$B$10,Paramètres!$A$1:$I$89,5,0)</f>
        <v>3.3265993253240005</v>
      </c>
      <c r="AK13" s="14">
        <f t="shared" si="35"/>
        <v>1.3328819978640285</v>
      </c>
      <c r="AL13" s="22">
        <f t="shared" si="4"/>
        <v>8.1152633045524833</v>
      </c>
      <c r="AM13" s="60">
        <f t="shared" si="5"/>
        <v>301.44859663788577</v>
      </c>
      <c r="AN13" s="60">
        <f ca="1">AVERAGE(OFFSET($AM$3,0,0,'Données projet'!$E$10+1,1))-AVERAGE(OFFSET($H$3,0,0,'Données projet'!$E$10+1,1))</f>
        <v>216.19747366796145</v>
      </c>
      <c r="AO13" s="60">
        <f t="shared" si="36"/>
        <v>122.08911898780889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3.4425641025641025</v>
      </c>
      <c r="BD13" s="13">
        <f>IF('Données projet'!$A$88&gt;35,BD12+BC13-BL12,IF(A13&lt;'Données projet'!$A$88,$BA$205^A13,IF(A13='Données projet'!$A$88,'Données projet'!$B$88,BD12+BC13-BL12)))</f>
        <v>4.6917453277627805</v>
      </c>
      <c r="BE13" s="14">
        <f>BD13*VLOOKUP('Données projet'!$B$11,Paramètres!$A$1:$I$89,3,0)*VLOOKUP('Données projet'!$B$11,Paramètres!$A$1:$I$89,5,0)</f>
        <v>2.1957368133929811</v>
      </c>
      <c r="BF13" s="14">
        <f t="shared" si="37"/>
        <v>0.9233628621568436</v>
      </c>
      <c r="BG13" s="22">
        <f t="shared" si="7"/>
        <v>5.432431934915944</v>
      </c>
      <c r="BH13" s="60">
        <f t="shared" si="8"/>
        <v>298.76576526824925</v>
      </c>
      <c r="BI13" s="60">
        <f ca="1">AVERAGE(OFFSET($BH$3,0,0,'Données projet'!$E$11+1,1))-AVERAGE(OFFSET($H$3,0,0,'Données projet'!$E$11+1,1))</f>
        <v>179.52358670810645</v>
      </c>
      <c r="BJ13" s="60">
        <f t="shared" si="38"/>
        <v>89.471764801078166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1.8269230769230771</v>
      </c>
      <c r="BY13" s="13">
        <f>IF('Données projet'!$A$114&gt;35,BY12+BX13-CG12,IF(A13&lt;'Données projet'!$A$114,$BV$205^A13,IF(A13='Données projet'!$A$114,'Données projet'!$B$114,BY12+BX13-CG12)))</f>
        <v>6.0447052482698957</v>
      </c>
      <c r="BZ13" s="14">
        <f>BY13*VLOOKUP('Données projet'!$B$12,Paramètres!$A$1:$I$89,3,0)*VLOOKUP('Données projet'!$B$12,Paramètres!$A$1:$I$89,5,0)</f>
        <v>6.3179259254916964</v>
      </c>
      <c r="CA13" s="14">
        <f t="shared" si="39"/>
        <v>2.3493067111950539</v>
      </c>
      <c r="CB13" s="22">
        <f t="shared" si="10"/>
        <v>15.095430175562756</v>
      </c>
      <c r="CC13" s="60">
        <f t="shared" si="11"/>
        <v>308.42876350889605</v>
      </c>
      <c r="CD13" s="60">
        <f ca="1">AVERAGE(OFFSET($CC$3,0,0,'Données projet'!$E$12+1,1))-AVERAGE(OFFSET($H$3,0,0,'Données projet'!$E$12+1,1))</f>
        <v>304.57411436867147</v>
      </c>
      <c r="CE13" s="60">
        <f t="shared" si="40"/>
        <v>178.19974548556962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1.8269230769230771</v>
      </c>
      <c r="CT13" s="13">
        <f>IF('Données projet'!$A$140&gt;35,CT12+CS13-DB12,IF(A13&lt;'Données projet'!$A$140,$CQ$205^A13,IF(A13='Données projet'!$A$140,'Données projet'!$B$140,CT12+CS13-DB12)))</f>
        <v>6.0447052482698957</v>
      </c>
      <c r="CU13" s="18">
        <f>CT13*VLOOKUP('Données projet'!$B$13,Paramètres!$A$1:$I$89,3,0)*VLOOKUP('Données projet'!$B$13,Paramètres!$A$1:$I$89,5,0)</f>
        <v>5.846438916126643</v>
      </c>
      <c r="CV13" s="14">
        <f t="shared" si="41"/>
        <v>2.193700430623073</v>
      </c>
      <c r="CW13" s="22">
        <f t="shared" si="13"/>
        <v>14.003242695589087</v>
      </c>
      <c r="CX13" s="60">
        <f t="shared" si="14"/>
        <v>307.33657602892242</v>
      </c>
      <c r="CY13" s="60">
        <f ca="1">AVERAGE(OFFSET($CX$3,0,0,'Données projet'!$E$13+1,1))-AVERAGE(OFFSET($H$3,0,0,'Données projet'!$E$13+1,1))</f>
        <v>279.37339904167601</v>
      </c>
      <c r="CZ13" s="60">
        <f t="shared" si="42"/>
        <v>163.80861186980007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0" t="e">
        <f t="shared" si="17"/>
        <v>#N/A</v>
      </c>
      <c r="DT13" s="60" t="e">
        <f ca="1">AVERAGE(OFFSET($DS$3,0,0,'Données projet'!$E$14+1,1))-AVERAGE(OFFSET($H$3,0,0,'Données projet'!$E$14+1,1))</f>
        <v>#N/A</v>
      </c>
      <c r="DU13" s="60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3.003000000000001</v>
      </c>
      <c r="D14" s="12">
        <f t="shared" si="32"/>
        <v>1.2176429438486822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32.5804016718144</v>
      </c>
      <c r="H14" s="68">
        <f t="shared" si="1"/>
        <v>300.68428646053644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1.1564102564102565</v>
      </c>
      <c r="N14" s="14">
        <f>IF('Données projet'!$A$36&gt;35,N13+M14-V13,IF(A14&lt;'Données projet'!$A$36,$K$205^A14,IF(A14='Données projet'!$A$36,'Données projet'!$B$36,N13+M14-V13)))</f>
        <v>8.1049251579534722</v>
      </c>
      <c r="O14" s="14">
        <f>N14*VLOOKUP('Données projet'!$B$9,Paramètres!$A$1:$I$89,3,0)*VLOOKUP('Données projet'!$B$9,Paramètres!$A$1:$I$89,5,0)</f>
        <v>4.8467452444561765</v>
      </c>
      <c r="P14" s="14">
        <f t="shared" si="33"/>
        <v>1.8587280601168144</v>
      </c>
      <c r="Q14" s="22">
        <f t="shared" si="2"/>
        <v>11.678699338797957</v>
      </c>
      <c r="R14" s="60">
        <f t="shared" si="0"/>
        <v>305.01203267213128</v>
      </c>
      <c r="S14" s="60">
        <f ca="1">AVERAGE(OFFSET($R$3,0,0,'Données projet'!$E$9+1,1))-AVERAGE(OFFSET($H$3,0,0,'Données projet'!$E$9+1,1))</f>
        <v>223.38593045370783</v>
      </c>
      <c r="T14" s="60">
        <f t="shared" si="34"/>
        <v>161.68519532023998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</v>
      </c>
      <c r="AI14" s="14">
        <f>IF('Données projet'!$A$62&gt;35,AI13+AH14-AQ13,IF(A14&lt;'Données projet'!$A$62,$AF$205^A14,IF(A14='Données projet'!$A$62,'Données projet'!$B$62,AI13+AH14-AQ13)))</f>
        <v>6.6043372477797835</v>
      </c>
      <c r="AJ14" s="14">
        <f>AI14*VLOOKUP('Données projet'!$B$10,Paramètres!$A$1:$I$89,3,0)*VLOOKUP('Données projet'!$B$10,Paramètres!$A$1:$I$89,5,0)</f>
        <v>3.949393674172311</v>
      </c>
      <c r="AK14" s="14">
        <f t="shared" si="35"/>
        <v>1.5511233995793057</v>
      </c>
      <c r="AL14" s="22">
        <f t="shared" si="4"/>
        <v>9.5800672367840658</v>
      </c>
      <c r="AM14" s="60">
        <f t="shared" si="5"/>
        <v>302.9134005701174</v>
      </c>
      <c r="AN14" s="60">
        <f ca="1">AVERAGE(OFFSET($AM$3,0,0,'Données projet'!$E$10+1,1))-AVERAGE(OFFSET($H$3,0,0,'Données projet'!$E$10+1,1))</f>
        <v>216.19747366796145</v>
      </c>
      <c r="AO14" s="60">
        <f t="shared" si="36"/>
        <v>122.08911898780889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3.4425641025641025</v>
      </c>
      <c r="BD14" s="13">
        <f>IF('Données projet'!$A$88&gt;35,BD13+BC14-BL13,IF(A14&lt;'Données projet'!$A$88,$BA$205^A14,IF(A14='Données projet'!$A$88,'Données projet'!$B$88,BD13+BC14-BL13)))</f>
        <v>5.4760559050775193</v>
      </c>
      <c r="BE14" s="14">
        <f>BD14*VLOOKUP('Données projet'!$B$11,Paramètres!$A$1:$I$89,3,0)*VLOOKUP('Données projet'!$B$11,Paramètres!$A$1:$I$89,5,0)</f>
        <v>2.562794163576279</v>
      </c>
      <c r="BF14" s="14">
        <f t="shared" si="37"/>
        <v>1.0585015867936163</v>
      </c>
      <c r="BG14" s="22">
        <f t="shared" si="7"/>
        <v>6.3070900985608995</v>
      </c>
      <c r="BH14" s="60">
        <f t="shared" si="8"/>
        <v>299.64042343189419</v>
      </c>
      <c r="BI14" s="60">
        <f ca="1">AVERAGE(OFFSET($BH$3,0,0,'Données projet'!$E$11+1,1))-AVERAGE(OFFSET($H$3,0,0,'Données projet'!$E$11+1,1))</f>
        <v>179.52358670810645</v>
      </c>
      <c r="BJ14" s="60">
        <f t="shared" si="38"/>
        <v>89.471764801078166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1.8269230769230771</v>
      </c>
      <c r="BY14" s="13">
        <f>IF('Données projet'!$A$114&gt;35,BY13+BX14-CG13,IF(A14&lt;'Données projet'!$A$114,$BV$205^A14,IF(A14='Données projet'!$A$114,'Données projet'!$B$114,BY13+BX14-CG13)))</f>
        <v>7.2362346534071689</v>
      </c>
      <c r="BZ14" s="14">
        <f>BY14*VLOOKUP('Données projet'!$B$12,Paramètres!$A$1:$I$89,3,0)*VLOOKUP('Données projet'!$B$12,Paramètres!$A$1:$I$89,5,0)</f>
        <v>7.5633124597411738</v>
      </c>
      <c r="CA14" s="14">
        <f t="shared" si="39"/>
        <v>2.7541147154135355</v>
      </c>
      <c r="CB14" s="22">
        <f t="shared" si="10"/>
        <v>17.969518996727786</v>
      </c>
      <c r="CC14" s="60">
        <f t="shared" si="11"/>
        <v>311.30285233006111</v>
      </c>
      <c r="CD14" s="60">
        <f ca="1">AVERAGE(OFFSET($CC$3,0,0,'Données projet'!$E$12+1,1))-AVERAGE(OFFSET($H$3,0,0,'Données projet'!$E$12+1,1))</f>
        <v>304.57411436867147</v>
      </c>
      <c r="CE14" s="60">
        <f t="shared" si="40"/>
        <v>178.19974548556962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1.8269230769230771</v>
      </c>
      <c r="CT14" s="13">
        <f>IF('Données projet'!$A$140&gt;35,CT13+CS14-DB13,IF(A14&lt;'Données projet'!$A$140,$CQ$205^A14,IF(A14='Données projet'!$A$140,'Données projet'!$B$140,CT13+CS14-DB13)))</f>
        <v>7.2362346534071689</v>
      </c>
      <c r="CU14" s="18">
        <f>CT14*VLOOKUP('Données projet'!$B$13,Paramètres!$A$1:$I$89,3,0)*VLOOKUP('Données projet'!$B$13,Paramètres!$A$1:$I$89,5,0)</f>
        <v>6.9988861567754137</v>
      </c>
      <c r="CV14" s="14">
        <f t="shared" si="41"/>
        <v>2.5716959852018211</v>
      </c>
      <c r="CW14" s="22">
        <f t="shared" si="13"/>
        <v>16.668763897277021</v>
      </c>
      <c r="CX14" s="60">
        <f t="shared" si="14"/>
        <v>310.00209723061033</v>
      </c>
      <c r="CY14" s="60">
        <f ca="1">AVERAGE(OFFSET($CX$3,0,0,'Données projet'!$E$13+1,1))-AVERAGE(OFFSET($H$3,0,0,'Données projet'!$E$13+1,1))</f>
        <v>279.37339904167601</v>
      </c>
      <c r="CZ14" s="60">
        <f t="shared" si="42"/>
        <v>163.80861186980007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0" t="e">
        <f t="shared" si="17"/>
        <v>#N/A</v>
      </c>
      <c r="DT14" s="60" t="e">
        <f ca="1">AVERAGE(OFFSET($DS$3,0,0,'Données projet'!$E$14+1,1))-AVERAGE(OFFSET($H$3,0,0,'Données projet'!$E$14+1,1))</f>
        <v>#N/A</v>
      </c>
      <c r="DU14" s="60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3.2760000000000011</v>
      </c>
      <c r="D15" s="12">
        <f t="shared" si="32"/>
        <v>1.3149520873221716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35.438928393364137</v>
      </c>
      <c r="H15" s="68">
        <f t="shared" si="1"/>
        <v>301.3292415520861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1.1564102564102565</v>
      </c>
      <c r="N15" s="14">
        <f>IF('Données projet'!$A$36&gt;35,N14+M15-V14,IF(A15&lt;'Données projet'!$A$36,$K$205^A15,IF(A15='Données projet'!$A$36,'Données projet'!$B$36,N14+M15-V14)))</f>
        <v>9.8030801879402905</v>
      </c>
      <c r="O15" s="14">
        <f>N15*VLOOKUP('Données projet'!$B$9,Paramètres!$A$1:$I$89,3,0)*VLOOKUP('Données projet'!$B$9,Paramètres!$A$1:$I$89,5,0)</f>
        <v>5.8622419523882936</v>
      </c>
      <c r="P15" s="14">
        <f t="shared" si="33"/>
        <v>2.1989390143526695</v>
      </c>
      <c r="Q15" s="22">
        <f t="shared" si="2"/>
        <v>14.039890183740511</v>
      </c>
      <c r="R15" s="60">
        <f t="shared" si="0"/>
        <v>307.37322351707382</v>
      </c>
      <c r="S15" s="60">
        <f ca="1">AVERAGE(OFFSET($R$3,0,0,'Données projet'!$E$9+1,1))-AVERAGE(OFFSET($H$3,0,0,'Données projet'!$E$9+1,1))</f>
        <v>223.38593045370783</v>
      </c>
      <c r="T15" s="60">
        <f t="shared" si="34"/>
        <v>161.68519532023998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</v>
      </c>
      <c r="AI15" s="14">
        <f>IF('Données projet'!$A$62&gt;35,AI14+AH15-AQ14,IF(A15&lt;'Données projet'!$A$62,$AF$205^A15,IF(A15='Données projet'!$A$62,'Données projet'!$B$62,AI14+AH15-AQ14)))</f>
        <v>7.840778283673111</v>
      </c>
      <c r="AJ15" s="14">
        <f>AI15*VLOOKUP('Données projet'!$B$10,Paramètres!$A$1:$I$89,3,0)*VLOOKUP('Données projet'!$B$10,Paramètres!$A$1:$I$89,5,0)</f>
        <v>4.6887854136365208</v>
      </c>
      <c r="AK15" s="14">
        <f t="shared" si="35"/>
        <v>1.8050988794042542</v>
      </c>
      <c r="AL15" s="22">
        <f t="shared" si="4"/>
        <v>11.310181810379349</v>
      </c>
      <c r="AM15" s="60">
        <f t="shared" si="5"/>
        <v>304.64351514371265</v>
      </c>
      <c r="AN15" s="60">
        <f ca="1">AVERAGE(OFFSET($AM$3,0,0,'Données projet'!$E$10+1,1))-AVERAGE(OFFSET($H$3,0,0,'Données projet'!$E$10+1,1))</f>
        <v>216.19747366796145</v>
      </c>
      <c r="AO15" s="60">
        <f t="shared" si="36"/>
        <v>122.08911898780889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3.4425641025641025</v>
      </c>
      <c r="BD15" s="13">
        <f>IF('Données projet'!$A$88&gt;35,BD14+BC15-BL14,IF(A15&lt;'Données projet'!$A$88,$BA$205^A15,IF(A15='Données projet'!$A$88,'Données projet'!$B$88,BD14+BC15-BL14)))</f>
        <v>6.3914782624899003</v>
      </c>
      <c r="BE15" s="14">
        <f>BD15*VLOOKUP('Données projet'!$B$11,Paramètres!$A$1:$I$89,3,0)*VLOOKUP('Données projet'!$B$11,Paramètres!$A$1:$I$89,5,0)</f>
        <v>2.9912118268452734</v>
      </c>
      <c r="BF15" s="14">
        <f t="shared" si="37"/>
        <v>1.2134185325879896</v>
      </c>
      <c r="BG15" s="22">
        <f t="shared" si="7"/>
        <v>7.3230645426796004</v>
      </c>
      <c r="BH15" s="60">
        <f t="shared" si="8"/>
        <v>300.65639787601293</v>
      </c>
      <c r="BI15" s="60">
        <f ca="1">AVERAGE(OFFSET($BH$3,0,0,'Données projet'!$E$11+1,1))-AVERAGE(OFFSET($H$3,0,0,'Données projet'!$E$11+1,1))</f>
        <v>179.52358670810645</v>
      </c>
      <c r="BJ15" s="60">
        <f t="shared" si="38"/>
        <v>89.471764801078166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1.8269230769230771</v>
      </c>
      <c r="BY15" s="13">
        <f>IF('Données projet'!$A$114&gt;35,BY14+BX15-CG14,IF(A15&lt;'Données projet'!$A$114,$BV$205^A15,IF(A15='Données projet'!$A$114,'Données projet'!$B$114,BY14+BX15-CG14)))</f>
        <v>8.662637764539145</v>
      </c>
      <c r="BZ15" s="14">
        <f>BY15*VLOOKUP('Données projet'!$B$12,Paramètres!$A$1:$I$89,3,0)*VLOOKUP('Données projet'!$B$12,Paramètres!$A$1:$I$89,5,0)</f>
        <v>9.0541889914963161</v>
      </c>
      <c r="CA15" s="14">
        <f t="shared" si="39"/>
        <v>3.228675008466193</v>
      </c>
      <c r="CB15" s="22">
        <f t="shared" si="10"/>
        <v>21.3926547999347</v>
      </c>
      <c r="CC15" s="60">
        <f t="shared" si="11"/>
        <v>314.725988133268</v>
      </c>
      <c r="CD15" s="60">
        <f ca="1">AVERAGE(OFFSET($CC$3,0,0,'Données projet'!$E$12+1,1))-AVERAGE(OFFSET($H$3,0,0,'Données projet'!$E$12+1,1))</f>
        <v>304.57411436867147</v>
      </c>
      <c r="CE15" s="60">
        <f t="shared" si="40"/>
        <v>178.19974548556962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1.8269230769230771</v>
      </c>
      <c r="CT15" s="13">
        <f>IF('Données projet'!$A$140&gt;35,CT14+CS15-DB14,IF(A15&lt;'Données projet'!$A$140,$CQ$205^A15,IF(A15='Données projet'!$A$140,'Données projet'!$B$140,CT14+CS15-DB14)))</f>
        <v>8.662637764539145</v>
      </c>
      <c r="CU15" s="18">
        <f>CT15*VLOOKUP('Données projet'!$B$13,Paramètres!$A$1:$I$89,3,0)*VLOOKUP('Données projet'!$B$13,Paramètres!$A$1:$I$89,5,0)</f>
        <v>8.3785032458622606</v>
      </c>
      <c r="CV15" s="14">
        <f t="shared" si="41"/>
        <v>3.0148237872318369</v>
      </c>
      <c r="CW15" s="22">
        <f t="shared" si="13"/>
        <v>19.843377915972219</v>
      </c>
      <c r="CX15" s="60">
        <f t="shared" si="14"/>
        <v>313.17671124930553</v>
      </c>
      <c r="CY15" s="60">
        <f ca="1">AVERAGE(OFFSET($CX$3,0,0,'Données projet'!$E$13+1,1))-AVERAGE(OFFSET($H$3,0,0,'Données projet'!$E$13+1,1))</f>
        <v>279.37339904167601</v>
      </c>
      <c r="CZ15" s="60">
        <f t="shared" si="42"/>
        <v>163.80861186980007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0" t="e">
        <f t="shared" si="17"/>
        <v>#N/A</v>
      </c>
      <c r="DT15" s="60" t="e">
        <f ca="1">AVERAGE(OFFSET($DS$3,0,0,'Données projet'!$E$14+1,1))-AVERAGE(OFFSET($H$3,0,0,'Données projet'!$E$14+1,1))</f>
        <v>#N/A</v>
      </c>
      <c r="DU15" s="60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3.5490000000000013</v>
      </c>
      <c r="D16" s="12">
        <f t="shared" si="32"/>
        <v>1.4113207470133129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38.290195240102776</v>
      </c>
      <c r="H16" s="68">
        <f t="shared" si="1"/>
        <v>301.97255863438153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1.1564102564102565</v>
      </c>
      <c r="N16" s="14">
        <f>IF('Données projet'!$A$36&gt;35,N15+M16-V15,IF(A16&lt;'Données projet'!$A$36,$K$205^A16,IF(A16='Données projet'!$A$36,'Données projet'!$B$36,N15+M16-V15)))</f>
        <v>11.857034987779356</v>
      </c>
      <c r="O16" s="14">
        <f>N16*VLOOKUP('Données projet'!$B$9,Paramètres!$A$1:$I$89,3,0)*VLOOKUP('Données projet'!$B$9,Paramètres!$A$1:$I$89,5,0)</f>
        <v>7.0905069226920556</v>
      </c>
      <c r="P16" s="14">
        <f t="shared" si="33"/>
        <v>2.6014202360179604</v>
      </c>
      <c r="Q16" s="22">
        <f t="shared" si="2"/>
        <v>16.880106468086609</v>
      </c>
      <c r="R16" s="60">
        <f t="shared" si="0"/>
        <v>310.2134398014199</v>
      </c>
      <c r="S16" s="60">
        <f ca="1">AVERAGE(OFFSET($R$3,0,0,'Données projet'!$E$9+1,1))-AVERAGE(OFFSET($H$3,0,0,'Données projet'!$E$9+1,1))</f>
        <v>223.38593045370783</v>
      </c>
      <c r="T16" s="60">
        <f t="shared" si="34"/>
        <v>161.68519532023998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</v>
      </c>
      <c r="AI16" s="14">
        <f>IF('Données projet'!$A$62&gt;35,AI15+AH16-AQ15,IF(A16&lt;'Données projet'!$A$62,$AF$205^A16,IF(A16='Données projet'!$A$62,'Données projet'!$B$62,AI15+AH16-AQ15)))</f>
        <v>9.3087015073900403</v>
      </c>
      <c r="AJ16" s="14">
        <f>AI16*VLOOKUP('Données projet'!$B$10,Paramètres!$A$1:$I$89,3,0)*VLOOKUP('Données projet'!$B$10,Paramètres!$A$1:$I$89,5,0)</f>
        <v>5.5666035014192454</v>
      </c>
      <c r="AK16" s="14">
        <f t="shared" si="35"/>
        <v>2.1006594093740265</v>
      </c>
      <c r="AL16" s="22">
        <f t="shared" si="4"/>
        <v>13.353816236298281</v>
      </c>
      <c r="AM16" s="60">
        <f t="shared" si="5"/>
        <v>306.68714956963157</v>
      </c>
      <c r="AN16" s="60">
        <f ca="1">AVERAGE(OFFSET($AM$3,0,0,'Données projet'!$E$10+1,1))-AVERAGE(OFFSET($H$3,0,0,'Données projet'!$E$10+1,1))</f>
        <v>216.19747366796145</v>
      </c>
      <c r="AO16" s="60">
        <f t="shared" si="36"/>
        <v>122.08911898780889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3.4425641025641025</v>
      </c>
      <c r="BD16" s="13">
        <f>IF('Données projet'!$A$88&gt;35,BD15+BC16-BL15,IF(A16&lt;'Données projet'!$A$88,$BA$205^A16,IF(A16='Données projet'!$A$88,'Données projet'!$B$88,BD15+BC16-BL15)))</f>
        <v>7.459930119048451</v>
      </c>
      <c r="BE16" s="14">
        <f>BD16*VLOOKUP('Données projet'!$B$11,Paramètres!$A$1:$I$89,3,0)*VLOOKUP('Données projet'!$B$11,Paramètres!$A$1:$I$89,5,0)</f>
        <v>3.4912472957146754</v>
      </c>
      <c r="BF16" s="14">
        <f t="shared" si="37"/>
        <v>1.3910083400895945</v>
      </c>
      <c r="BG16" s="22">
        <f t="shared" si="7"/>
        <v>8.5032618990257713</v>
      </c>
      <c r="BH16" s="60">
        <f t="shared" si="8"/>
        <v>301.83659523235906</v>
      </c>
      <c r="BI16" s="60">
        <f ca="1">AVERAGE(OFFSET($BH$3,0,0,'Données projet'!$E$11+1,1))-AVERAGE(OFFSET($H$3,0,0,'Données projet'!$E$11+1,1))</f>
        <v>179.52358670810645</v>
      </c>
      <c r="BJ16" s="60">
        <f t="shared" si="38"/>
        <v>89.471764801078166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1.8269230769230771</v>
      </c>
      <c r="BY16" s="13">
        <f>IF('Données projet'!$A$114&gt;35,BY15+BX16-CG15,IF(A16&lt;'Données projet'!$A$114,$BV$205^A16,IF(A16='Données projet'!$A$114,'Données projet'!$B$114,BY15+BX16-CG15)))</f>
        <v>10.37021277416518</v>
      </c>
      <c r="BZ16" s="14">
        <f>BY16*VLOOKUP('Données projet'!$B$12,Paramètres!$A$1:$I$89,3,0)*VLOOKUP('Données projet'!$B$12,Paramètres!$A$1:$I$89,5,0)</f>
        <v>10.838946391557448</v>
      </c>
      <c r="CA16" s="14">
        <f t="shared" si="39"/>
        <v>3.7850065765067242</v>
      </c>
      <c r="CB16" s="22">
        <f t="shared" si="10"/>
        <v>25.470051419378432</v>
      </c>
      <c r="CC16" s="60">
        <f t="shared" si="11"/>
        <v>318.80338475271174</v>
      </c>
      <c r="CD16" s="60">
        <f ca="1">AVERAGE(OFFSET($CC$3,0,0,'Données projet'!$E$12+1,1))-AVERAGE(OFFSET($H$3,0,0,'Données projet'!$E$12+1,1))</f>
        <v>304.57411436867147</v>
      </c>
      <c r="CE16" s="60">
        <f t="shared" si="40"/>
        <v>178.19974548556962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1.8269230769230771</v>
      </c>
      <c r="CT16" s="13">
        <f>IF('Données projet'!$A$140&gt;35,CT15+CS16-DB15,IF(A16&lt;'Données projet'!$A$140,$CQ$205^A16,IF(A16='Données projet'!$A$140,'Données projet'!$B$140,CT15+CS16-DB15)))</f>
        <v>10.37021277416518</v>
      </c>
      <c r="CU16" s="18">
        <f>CT16*VLOOKUP('Données projet'!$B$13,Paramètres!$A$1:$I$89,3,0)*VLOOKUP('Données projet'!$B$13,Paramètres!$A$1:$I$89,5,0)</f>
        <v>10.030069795172563</v>
      </c>
      <c r="CV16" s="14">
        <f t="shared" si="41"/>
        <v>3.5343067455718788</v>
      </c>
      <c r="CW16" s="22">
        <f t="shared" si="13"/>
        <v>23.6246224751299</v>
      </c>
      <c r="CX16" s="60">
        <f t="shared" si="14"/>
        <v>316.95795580846323</v>
      </c>
      <c r="CY16" s="60">
        <f ca="1">AVERAGE(OFFSET($CX$3,0,0,'Données projet'!$E$13+1,1))-AVERAGE(OFFSET($H$3,0,0,'Données projet'!$E$13+1,1))</f>
        <v>279.37339904167601</v>
      </c>
      <c r="CZ16" s="60">
        <f t="shared" si="42"/>
        <v>163.80861186980007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0" t="e">
        <f t="shared" si="17"/>
        <v>#N/A</v>
      </c>
      <c r="DT16" s="60" t="e">
        <f ca="1">AVERAGE(OFFSET($DS$3,0,0,'Données projet'!$E$14+1,1))-AVERAGE(OFFSET($H$3,0,0,'Données projet'!$E$14+1,1))</f>
        <v>#N/A</v>
      </c>
      <c r="DU16" s="60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3.8220000000000014</v>
      </c>
      <c r="D17" s="12">
        <f t="shared" si="32"/>
        <v>1.5068294933809407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41.134824159431837</v>
      </c>
      <c r="H17" s="68">
        <f t="shared" si="1"/>
        <v>302.6143780343051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1.1564102564102565</v>
      </c>
      <c r="N17" s="14">
        <f>IF('Données projet'!$A$36&gt;35,N16+M17-V16,IF(A17&lt;'Données projet'!$A$36,$K$205^A17,IF(A17='Données projet'!$A$36,'Données projet'!$B$36,N16+M17-V16)))</f>
        <v>14.341337213009451</v>
      </c>
      <c r="O17" s="14">
        <f>N17*VLOOKUP('Données projet'!$B$9,Paramètres!$A$1:$I$89,3,0)*VLOOKUP('Données projet'!$B$9,Paramètres!$A$1:$I$89,5,0)</f>
        <v>8.5761196533796529</v>
      </c>
      <c r="P17" s="14">
        <f t="shared" si="33"/>
        <v>3.0775693187452706</v>
      </c>
      <c r="Q17" s="22">
        <f t="shared" si="2"/>
        <v>20.29684162645091</v>
      </c>
      <c r="R17" s="60">
        <f t="shared" si="0"/>
        <v>313.6301749597842</v>
      </c>
      <c r="S17" s="60">
        <f ca="1">AVERAGE(OFFSET($R$3,0,0,'Données projet'!$E$9+1,1))-AVERAGE(OFFSET($H$3,0,0,'Données projet'!$E$9+1,1))</f>
        <v>223.38593045370783</v>
      </c>
      <c r="T17" s="60">
        <f t="shared" si="34"/>
        <v>161.68519532023998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</v>
      </c>
      <c r="AI17" s="14">
        <f>IF('Données projet'!$A$62&gt;35,AI16+AH17-AQ16,IF(A17&lt;'Données projet'!$A$62,$AF$205^A17,IF(A17='Données projet'!$A$62,'Données projet'!$B$62,AI16+AH17-AQ16)))</f>
        <v>11.05144420855788</v>
      </c>
      <c r="AJ17" s="14">
        <f>AI17*VLOOKUP('Données projet'!$B$10,Paramètres!$A$1:$I$89,3,0)*VLOOKUP('Données projet'!$B$10,Paramètres!$A$1:$I$89,5,0)</f>
        <v>6.6087636367176126</v>
      </c>
      <c r="AK17" s="14">
        <f t="shared" si="35"/>
        <v>2.4446139790680053</v>
      </c>
      <c r="AL17" s="22">
        <f t="shared" si="4"/>
        <v>15.767966014159951</v>
      </c>
      <c r="AM17" s="60">
        <f t="shared" si="5"/>
        <v>309.10129934749324</v>
      </c>
      <c r="AN17" s="60">
        <f ca="1">AVERAGE(OFFSET($AM$3,0,0,'Données projet'!$E$10+1,1))-AVERAGE(OFFSET($H$3,0,0,'Données projet'!$E$10+1,1))</f>
        <v>216.19747366796145</v>
      </c>
      <c r="AO17" s="60">
        <f t="shared" si="36"/>
        <v>122.08911898780889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3.4425641025641025</v>
      </c>
      <c r="BD17" s="13">
        <f>IF('Données projet'!$A$88&gt;35,BD16+BC17-BL16,IF(A17&lt;'Données projet'!$A$88,$BA$205^A17,IF(A17='Données projet'!$A$88,'Données projet'!$B$88,BD16+BC17-BL16)))</f>
        <v>8.7069931392376674</v>
      </c>
      <c r="BE17" s="14">
        <f>BD17*VLOOKUP('Données projet'!$B$11,Paramètres!$A$1:$I$89,3,0)*VLOOKUP('Données projet'!$B$11,Paramètres!$A$1:$I$89,5,0)</f>
        <v>4.0748727891632281</v>
      </c>
      <c r="BF17" s="14">
        <f t="shared" si="37"/>
        <v>1.5945892948181934</v>
      </c>
      <c r="BG17" s="22">
        <f t="shared" si="7"/>
        <v>9.8743131296009761</v>
      </c>
      <c r="BH17" s="60">
        <f t="shared" si="8"/>
        <v>303.20764646293429</v>
      </c>
      <c r="BI17" s="60">
        <f ca="1">AVERAGE(OFFSET($BH$3,0,0,'Données projet'!$E$11+1,1))-AVERAGE(OFFSET($H$3,0,0,'Données projet'!$E$11+1,1))</f>
        <v>179.52358670810645</v>
      </c>
      <c r="BJ17" s="60">
        <f t="shared" si="38"/>
        <v>89.471764801078166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1.8269230769230771</v>
      </c>
      <c r="BY17" s="13">
        <f>IF('Données projet'!$A$114&gt;35,BY16+BX17-CG16,IF(A17&lt;'Données projet'!$A$114,$BV$205^A17,IF(A17='Données projet'!$A$114,'Données projet'!$B$114,BY16+BX17-CG16)))</f>
        <v>12.414384152328676</v>
      </c>
      <c r="BZ17" s="14">
        <f>BY17*VLOOKUP('Données projet'!$B$12,Paramètres!$A$1:$I$89,3,0)*VLOOKUP('Données projet'!$B$12,Paramètres!$A$1:$I$89,5,0)</f>
        <v>12.975514316013934</v>
      </c>
      <c r="CA17" s="14">
        <f t="shared" si="39"/>
        <v>4.437199391896975</v>
      </c>
      <c r="CB17" s="22">
        <f t="shared" si="10"/>
        <v>30.327143041278173</v>
      </c>
      <c r="CC17" s="60">
        <f t="shared" si="11"/>
        <v>323.66047637461151</v>
      </c>
      <c r="CD17" s="60">
        <f ca="1">AVERAGE(OFFSET($CC$3,0,0,'Données projet'!$E$12+1,1))-AVERAGE(OFFSET($H$3,0,0,'Données projet'!$E$12+1,1))</f>
        <v>304.57411436867147</v>
      </c>
      <c r="CE17" s="60">
        <f t="shared" si="40"/>
        <v>178.19974548556962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1.8269230769230771</v>
      </c>
      <c r="CT17" s="13">
        <f>IF('Données projet'!$A$140&gt;35,CT16+CS17-DB16,IF(A17&lt;'Données projet'!$A$140,$CQ$205^A17,IF(A17='Données projet'!$A$140,'Données projet'!$B$140,CT16+CS17-DB16)))</f>
        <v>12.414384152328676</v>
      </c>
      <c r="CU17" s="18">
        <f>CT17*VLOOKUP('Données projet'!$B$13,Paramètres!$A$1:$I$89,3,0)*VLOOKUP('Données projet'!$B$13,Paramètres!$A$1:$I$89,5,0)</f>
        <v>12.007192352132295</v>
      </c>
      <c r="CV17" s="14">
        <f t="shared" si="41"/>
        <v>4.143301583560949</v>
      </c>
      <c r="CW17" s="22">
        <f t="shared" si="13"/>
        <v>28.128776937999067</v>
      </c>
      <c r="CX17" s="60">
        <f t="shared" si="14"/>
        <v>321.46211027133239</v>
      </c>
      <c r="CY17" s="60">
        <f ca="1">AVERAGE(OFFSET($CX$3,0,0,'Données projet'!$E$13+1,1))-AVERAGE(OFFSET($H$3,0,0,'Données projet'!$E$13+1,1))</f>
        <v>279.37339904167601</v>
      </c>
      <c r="CZ17" s="60">
        <f t="shared" si="42"/>
        <v>163.80861186980007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0" t="e">
        <f t="shared" si="17"/>
        <v>#N/A</v>
      </c>
      <c r="DT17" s="60" t="e">
        <f ca="1">AVERAGE(OFFSET($DS$3,0,0,'Données projet'!$E$14+1,1))-AVERAGE(OFFSET($H$3,0,0,'Données projet'!$E$14+1,1))</f>
        <v>#N/A</v>
      </c>
      <c r="DU17" s="60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4.0950000000000015</v>
      </c>
      <c r="D18" s="12">
        <f t="shared" si="32"/>
        <v>1.6015467346037442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43.973343214485055</v>
      </c>
      <c r="H18" s="68">
        <f t="shared" si="1"/>
        <v>303.25481889610148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17.346153846153847</v>
      </c>
      <c r="L18" s="13">
        <f>VLOOKUP(A18,'Données projet'!$A$35:$I$55,9,0)</f>
        <v>1.1564102564102565</v>
      </c>
      <c r="M18" s="13">
        <f t="array" ref="M18">INDEX(L:L,MIN(IF(ISNUMBER(L18:L214),ROW(L18:L214),"")))</f>
        <v>1.1564102564102565</v>
      </c>
      <c r="N18" s="14">
        <f>IF('Données projet'!$A$36&gt;35,N17+M18-V17,IF(A18&lt;'Données projet'!$A$36,$K$205^A18,IF(A18='Données projet'!$A$36,'Données projet'!$B$36,N17+M18-V17)))</f>
        <v>17.346153846153847</v>
      </c>
      <c r="O18" s="14">
        <f>N18*VLOOKUP('Données projet'!$B$9,Paramètres!$A$1:$I$89,3,0)*VLOOKUP('Données projet'!$B$9,Paramètres!$A$1:$I$89,5,0)</f>
        <v>10.373000000000001</v>
      </c>
      <c r="P18" s="14">
        <f t="shared" si="33"/>
        <v>3.6408700065239401</v>
      </c>
      <c r="Q18" s="22">
        <f t="shared" si="2"/>
        <v>24.407490261362529</v>
      </c>
      <c r="R18" s="60">
        <f t="shared" si="0"/>
        <v>317.74082359469583</v>
      </c>
      <c r="S18" s="60">
        <f ca="1">AVERAGE(OFFSET($R$3,0,0,'Données projet'!$E$9+1,1))-AVERAGE(OFFSET($H$3,0,0,'Données projet'!$E$9+1,1))</f>
        <v>223.38593045370783</v>
      </c>
      <c r="T18" s="60">
        <f t="shared" si="34"/>
        <v>161.68519532023998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</v>
      </c>
      <c r="AI18" s="14">
        <f>IF('Données projet'!$A$62&gt;35,AI17+AH18-AQ17,IF(A18&lt;'Données projet'!$A$62,$AF$205^A18,IF(A18='Données projet'!$A$62,'Données projet'!$B$62,AI17+AH18-AQ17)))</f>
        <v>13.120457133350639</v>
      </c>
      <c r="AJ18" s="14">
        <f>AI18*VLOOKUP('Données projet'!$B$10,Paramètres!$A$1:$I$89,3,0)*VLOOKUP('Données projet'!$B$10,Paramètres!$A$1:$I$89,5,0)</f>
        <v>7.8460333657436827</v>
      </c>
      <c r="AK18" s="14">
        <f t="shared" si="35"/>
        <v>2.8448864580267812</v>
      </c>
      <c r="AL18" s="22">
        <f t="shared" si="4"/>
        <v>18.620018693066893</v>
      </c>
      <c r="AM18" s="60">
        <f t="shared" si="5"/>
        <v>311.95335202640018</v>
      </c>
      <c r="AN18" s="60">
        <f ca="1">AVERAGE(OFFSET($AM$3,0,0,'Données projet'!$E$10+1,1))-AVERAGE(OFFSET($H$3,0,0,'Données projet'!$E$10+1,1))</f>
        <v>216.19747366796145</v>
      </c>
      <c r="AO18" s="60">
        <f t="shared" si="36"/>
        <v>122.08911898780889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3.4425641025641025</v>
      </c>
      <c r="BD18" s="13">
        <f>IF('Données projet'!$A$88&gt;35,BD17+BC18-BL17,IF(A18&lt;'Données projet'!$A$88,$BA$205^A18,IF(A18='Données projet'!$A$88,'Données projet'!$B$88,BD17+BC18-BL17)))</f>
        <v>10.162525428107084</v>
      </c>
      <c r="BE18" s="14">
        <f>BD18*VLOOKUP('Données projet'!$B$11,Paramètres!$A$1:$I$89,3,0)*VLOOKUP('Données projet'!$B$11,Paramètres!$A$1:$I$89,5,0)</f>
        <v>4.7560619003541156</v>
      </c>
      <c r="BF18" s="14">
        <f t="shared" si="37"/>
        <v>1.8279653298016947</v>
      </c>
      <c r="BG18" s="22">
        <f t="shared" si="7"/>
        <v>11.467180759188034</v>
      </c>
      <c r="BH18" s="60">
        <f t="shared" si="8"/>
        <v>304.80051409252133</v>
      </c>
      <c r="BI18" s="60">
        <f ca="1">AVERAGE(OFFSET($BH$3,0,0,'Données projet'!$E$11+1,1))-AVERAGE(OFFSET($H$3,0,0,'Données projet'!$E$11+1,1))</f>
        <v>179.52358670810645</v>
      </c>
      <c r="BJ18" s="60">
        <f t="shared" si="38"/>
        <v>89.471764801078166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1.8269230769230771</v>
      </c>
      <c r="BY18" s="13">
        <f>IF('Données projet'!$A$114&gt;35,BY17+BX18-CG17,IF(A18&lt;'Données projet'!$A$114,$BV$205^A18,IF(A18='Données projet'!$A$114,'Données projet'!$B$114,BY17+BX18-CG17)))</f>
        <v>14.86150161407812</v>
      </c>
      <c r="BZ18" s="14">
        <f>BY18*VLOOKUP('Données projet'!$B$12,Paramètres!$A$1:$I$89,3,0)*VLOOKUP('Données projet'!$B$12,Paramètres!$A$1:$I$89,5,0)</f>
        <v>15.533241487034452</v>
      </c>
      <c r="CA18" s="14">
        <f t="shared" si="39"/>
        <v>5.2017712639279212</v>
      </c>
      <c r="CB18" s="22">
        <f t="shared" si="10"/>
        <v>36.113480541259463</v>
      </c>
      <c r="CC18" s="60">
        <f t="shared" si="11"/>
        <v>329.44681387459275</v>
      </c>
      <c r="CD18" s="60">
        <f ca="1">AVERAGE(OFFSET($CC$3,0,0,'Données projet'!$E$12+1,1))-AVERAGE(OFFSET($H$3,0,0,'Données projet'!$E$12+1,1))</f>
        <v>304.57411436867147</v>
      </c>
      <c r="CE18" s="60">
        <f t="shared" si="40"/>
        <v>178.19974548556962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1.8269230769230771</v>
      </c>
      <c r="CT18" s="13">
        <f>IF('Données projet'!$A$140&gt;35,CT17+CS18-DB17,IF(A18&lt;'Données projet'!$A$140,$CQ$205^A18,IF(A18='Données projet'!$A$140,'Données projet'!$B$140,CT17+CS18-DB17)))</f>
        <v>14.86150161407812</v>
      </c>
      <c r="CU18" s="18">
        <f>CT18*VLOOKUP('Données projet'!$B$13,Paramètres!$A$1:$I$89,3,0)*VLOOKUP('Données projet'!$B$13,Paramètres!$A$1:$I$89,5,0)</f>
        <v>14.374044361136358</v>
      </c>
      <c r="CV18" s="14">
        <f t="shared" si="41"/>
        <v>4.857232053739275</v>
      </c>
      <c r="CW18" s="22">
        <f t="shared" si="13"/>
        <v>33.494473089241723</v>
      </c>
      <c r="CX18" s="60">
        <f t="shared" si="14"/>
        <v>326.82780642257501</v>
      </c>
      <c r="CY18" s="60">
        <f ca="1">AVERAGE(OFFSET($CX$3,0,0,'Données projet'!$E$13+1,1))-AVERAGE(OFFSET($H$3,0,0,'Données projet'!$E$13+1,1))</f>
        <v>279.37339904167601</v>
      </c>
      <c r="CZ18" s="60">
        <f t="shared" si="42"/>
        <v>163.80861186980007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0" t="e">
        <f t="shared" si="17"/>
        <v>#N/A</v>
      </c>
      <c r="DT18" s="60" t="e">
        <f ca="1">AVERAGE(OFFSET($DS$3,0,0,'Données projet'!$E$14+1,1))-AVERAGE(OFFSET($H$3,0,0,'Données projet'!$E$14+1,1))</f>
        <v>#N/A</v>
      </c>
      <c r="DU18" s="60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9" s="12">
        <f t="shared" si="32"/>
        <v>1.6955312417477209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46.806206076649083</v>
      </c>
      <c r="H19" s="68">
        <f t="shared" si="1"/>
        <v>303.89398357937728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6.2569230769230755</v>
      </c>
      <c r="N19" s="14">
        <f>IF('Données projet'!$A$36&gt;35,N18+M19-V18,IF(A19&lt;'Données projet'!$A$36,$K$205^A19,IF(A19='Données projet'!$A$36,'Données projet'!$B$36,N18+M19-V18)))</f>
        <v>23.603076923076923</v>
      </c>
      <c r="O19" s="14">
        <f>N19*VLOOKUP('Données projet'!$B$9,Paramètres!$A$1:$I$89,3,0)*VLOOKUP('Données projet'!$B$9,Paramètres!$A$1:$I$89,5,0)</f>
        <v>14.11464</v>
      </c>
      <c r="P19" s="14">
        <f t="shared" si="33"/>
        <v>4.7796963291083454</v>
      </c>
      <c r="Q19" s="22">
        <f t="shared" si="2"/>
        <v>32.907635773197036</v>
      </c>
      <c r="R19" s="60">
        <f t="shared" si="0"/>
        <v>326.24096910653037</v>
      </c>
      <c r="S19" s="60">
        <f ca="1">AVERAGE(OFFSET($R$3,0,0,'Données projet'!$E$9+1,1))-AVERAGE(OFFSET($H$3,0,0,'Données projet'!$E$9+1,1))</f>
        <v>223.38593045370783</v>
      </c>
      <c r="T19" s="60">
        <f t="shared" si="34"/>
        <v>161.68519532023998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</v>
      </c>
      <c r="AI19" s="14">
        <f>IF('Données projet'!$A$62&gt;35,AI18+AH19-AQ18,IF(A19&lt;'Données projet'!$A$62,$AF$205^A19,IF(A19='Données projet'!$A$62,'Données projet'!$B$62,AI18+AH19-AQ18)))</f>
        <v>15.576823457588203</v>
      </c>
      <c r="AJ19" s="14">
        <f>AI19*VLOOKUP('Données projet'!$B$10,Paramètres!$A$1:$I$89,3,0)*VLOOKUP('Données projet'!$B$10,Paramètres!$A$1:$I$89,5,0)</f>
        <v>9.3149404276377457</v>
      </c>
      <c r="AK19" s="14">
        <f t="shared" si="35"/>
        <v>3.3106981422685484</v>
      </c>
      <c r="AL19" s="22">
        <f t="shared" si="4"/>
        <v>21.98965384258679</v>
      </c>
      <c r="AM19" s="60">
        <f t="shared" si="5"/>
        <v>315.3229871759201</v>
      </c>
      <c r="AN19" s="60">
        <f ca="1">AVERAGE(OFFSET($AM$3,0,0,'Données projet'!$E$10+1,1))-AVERAGE(OFFSET($H$3,0,0,'Données projet'!$E$10+1,1))</f>
        <v>216.19747366796145</v>
      </c>
      <c r="AO19" s="60">
        <f t="shared" si="36"/>
        <v>122.08911898780889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3.4425641025641025</v>
      </c>
      <c r="BD19" s="13">
        <f>IF('Données projet'!$A$88&gt;35,BD18+BC19-BL18,IF(A19&lt;'Données projet'!$A$88,$BA$205^A19,IF(A19='Données projet'!$A$88,'Données projet'!$B$88,BD18+BC19-BL18)))</f>
        <v>11.861376416102864</v>
      </c>
      <c r="BE19" s="14">
        <f>BD19*VLOOKUP('Données projet'!$B$11,Paramètres!$A$1:$I$89,3,0)*VLOOKUP('Données projet'!$B$11,Paramètres!$A$1:$I$89,5,0)</f>
        <v>5.5511241627361398</v>
      </c>
      <c r="BF19" s="14">
        <f t="shared" si="37"/>
        <v>2.0954971024924585</v>
      </c>
      <c r="BG19" s="22">
        <f t="shared" si="7"/>
        <v>13.31786537027314</v>
      </c>
      <c r="BH19" s="60">
        <f t="shared" si="8"/>
        <v>306.65119870360644</v>
      </c>
      <c r="BI19" s="60">
        <f ca="1">AVERAGE(OFFSET($BH$3,0,0,'Données projet'!$E$11+1,1))-AVERAGE(OFFSET($H$3,0,0,'Données projet'!$E$11+1,1))</f>
        <v>179.52358670810645</v>
      </c>
      <c r="BJ19" s="60">
        <f t="shared" si="38"/>
        <v>89.471764801078166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1.8269230769230771</v>
      </c>
      <c r="BY19" s="13">
        <f>IF('Données projet'!$A$114&gt;35,BY18+BX19-CG18,IF(A19&lt;'Données projet'!$A$114,$BV$205^A19,IF(A19='Données projet'!$A$114,'Données projet'!$B$114,BY18+BX19-CG18)))</f>
        <v>17.790993698532937</v>
      </c>
      <c r="BZ19" s="14">
        <f>BY19*VLOOKUP('Données projet'!$B$12,Paramètres!$A$1:$I$89,3,0)*VLOOKUP('Données projet'!$B$12,Paramètres!$A$1:$I$89,5,0)</f>
        <v>18.595146613706628</v>
      </c>
      <c r="CA19" s="14">
        <f t="shared" si="39"/>
        <v>6.0980861783311457</v>
      </c>
      <c r="CB19" s="22">
        <f t="shared" si="10"/>
        <v>43.007380446132458</v>
      </c>
      <c r="CC19" s="60">
        <f t="shared" si="11"/>
        <v>336.34071377946577</v>
      </c>
      <c r="CD19" s="60">
        <f ca="1">AVERAGE(OFFSET($CC$3,0,0,'Données projet'!$E$12+1,1))-AVERAGE(OFFSET($H$3,0,0,'Données projet'!$E$12+1,1))</f>
        <v>304.57411436867147</v>
      </c>
      <c r="CE19" s="60">
        <f t="shared" si="40"/>
        <v>178.19974548556962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1.8269230769230771</v>
      </c>
      <c r="CT19" s="13">
        <f>IF('Données projet'!$A$140&gt;35,CT18+CS19-DB18,IF(A19&lt;'Données projet'!$A$140,$CQ$205^A19,IF(A19='Données projet'!$A$140,'Données projet'!$B$140,CT18+CS19-DB18)))</f>
        <v>17.790993698532937</v>
      </c>
      <c r="CU19" s="18">
        <f>CT19*VLOOKUP('Données projet'!$B$13,Paramètres!$A$1:$I$89,3,0)*VLOOKUP('Données projet'!$B$13,Paramètres!$A$1:$I$89,5,0)</f>
        <v>17.207449105221059</v>
      </c>
      <c r="CV19" s="14">
        <f t="shared" si="41"/>
        <v>5.6941795686510392</v>
      </c>
      <c r="CW19" s="22">
        <f t="shared" si="13"/>
        <v>39.887003273660568</v>
      </c>
      <c r="CX19" s="60">
        <f t="shared" si="14"/>
        <v>333.2203366069939</v>
      </c>
      <c r="CY19" s="60">
        <f ca="1">AVERAGE(OFFSET($CX$3,0,0,'Données projet'!$E$13+1,1))-AVERAGE(OFFSET($H$3,0,0,'Données projet'!$E$13+1,1))</f>
        <v>279.37339904167601</v>
      </c>
      <c r="CZ19" s="60">
        <f t="shared" si="42"/>
        <v>163.80861186980007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0" t="e">
        <f t="shared" si="17"/>
        <v>#N/A</v>
      </c>
      <c r="DT19" s="60" t="e">
        <f ca="1">AVERAGE(OFFSET($DS$3,0,0,'Données projet'!$E$14+1,1))-AVERAGE(OFFSET($H$3,0,0,'Données projet'!$E$14+1,1))</f>
        <v>#N/A</v>
      </c>
      <c r="DU19" s="60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4.6410000000000009</v>
      </c>
      <c r="D20" s="12">
        <f t="shared" si="32"/>
        <v>1.7888340242767005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49.633806503188573</v>
      </c>
      <c r="H20" s="68">
        <f t="shared" si="1"/>
        <v>304.53196092561524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6.2569230769230755</v>
      </c>
      <c r="N20" s="14">
        <f>IF('Données projet'!$A$36&gt;35,N19+M20-V19,IF(A20&lt;'Données projet'!$A$36,$K$205^A20,IF(A20='Données projet'!$A$36,'Données projet'!$B$36,N19+M20-V19)))</f>
        <v>29.86</v>
      </c>
      <c r="O20" s="14">
        <f>N20*VLOOKUP('Données projet'!$B$9,Paramètres!$A$1:$I$89,3,0)*VLOOKUP('Données projet'!$B$9,Paramètres!$A$1:$I$89,5,0)</f>
        <v>17.856280000000002</v>
      </c>
      <c r="P20" s="14">
        <f t="shared" si="33"/>
        <v>5.8834840620297797</v>
      </c>
      <c r="Q20" s="22">
        <f t="shared" si="2"/>
        <v>41.346755741368533</v>
      </c>
      <c r="R20" s="60">
        <f t="shared" si="0"/>
        <v>334.68008907470187</v>
      </c>
      <c r="S20" s="60">
        <f ca="1">AVERAGE(OFFSET($R$3,0,0,'Données projet'!$E$9+1,1))-AVERAGE(OFFSET($H$3,0,0,'Données projet'!$E$9+1,1))</f>
        <v>223.38593045370783</v>
      </c>
      <c r="T20" s="60">
        <f t="shared" si="34"/>
        <v>161.68519532023998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</v>
      </c>
      <c r="AI20" s="14">
        <f>IF('Données projet'!$A$62&gt;35,AI19+AH20-AQ19,IF(A20&lt;'Données projet'!$A$62,$AF$205^A20,IF(A20='Données projet'!$A$62,'Données projet'!$B$62,AI19+AH20-AQ19)))</f>
        <v>18.493062136692988</v>
      </c>
      <c r="AJ20" s="14">
        <f>AI20*VLOOKUP('Données projet'!$B$10,Paramètres!$A$1:$I$89,3,0)*VLOOKUP('Données projet'!$B$10,Paramètres!$A$1:$I$89,5,0)</f>
        <v>11.058851157742406</v>
      </c>
      <c r="AK20" s="14">
        <f t="shared" si="35"/>
        <v>3.8527801903288599</v>
      </c>
      <c r="AL20" s="22">
        <f t="shared" si="4"/>
        <v>25.971091264557455</v>
      </c>
      <c r="AM20" s="60">
        <f t="shared" si="5"/>
        <v>319.30442459789077</v>
      </c>
      <c r="AN20" s="60">
        <f ca="1">AVERAGE(OFFSET($AM$3,0,0,'Données projet'!$E$10+1,1))-AVERAGE(OFFSET($H$3,0,0,'Données projet'!$E$10+1,1))</f>
        <v>216.19747366796145</v>
      </c>
      <c r="AO20" s="60">
        <f t="shared" si="36"/>
        <v>122.08911898780889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3.4425641025641025</v>
      </c>
      <c r="BD20" s="13">
        <f>IF('Données projet'!$A$88&gt;35,BD19+BC20-BL19,IF(A20&lt;'Données projet'!$A$88,$BA$205^A20,IF(A20='Données projet'!$A$88,'Données projet'!$B$88,BD19+BC20-BL19)))</f>
        <v>13.84422124990315</v>
      </c>
      <c r="BE20" s="14">
        <f>BD20*VLOOKUP('Données projet'!$B$11,Paramètres!$A$1:$I$89,3,0)*VLOOKUP('Données projet'!$B$11,Paramètres!$A$1:$I$89,5,0)</f>
        <v>6.4790955449546734</v>
      </c>
      <c r="BF20" s="14">
        <f t="shared" si="37"/>
        <v>2.4021834741420709</v>
      </c>
      <c r="BG20" s="22">
        <f t="shared" si="7"/>
        <v>15.468227624926827</v>
      </c>
      <c r="BH20" s="60">
        <f t="shared" si="8"/>
        <v>308.80156095826015</v>
      </c>
      <c r="BI20" s="60">
        <f ca="1">AVERAGE(OFFSET($BH$3,0,0,'Données projet'!$E$11+1,1))-AVERAGE(OFFSET($H$3,0,0,'Données projet'!$E$11+1,1))</f>
        <v>179.52358670810645</v>
      </c>
      <c r="BJ20" s="60">
        <f t="shared" si="38"/>
        <v>89.471764801078166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1.8269230769230771</v>
      </c>
      <c r="BY20" s="13">
        <f>IF('Données projet'!$A$114&gt;35,BY19+BX20-CG19,IF(A20&lt;'Données projet'!$A$114,$BV$205^A20,IF(A20='Données projet'!$A$114,'Données projet'!$B$114,BY19+BX20-CG19)))</f>
        <v>21.297945860423926</v>
      </c>
      <c r="BZ20" s="14">
        <f>BY20*VLOOKUP('Données projet'!$B$12,Paramètres!$A$1:$I$89,3,0)*VLOOKUP('Données projet'!$B$12,Paramètres!$A$1:$I$89,5,0)</f>
        <v>22.260613013315091</v>
      </c>
      <c r="CA20" s="14">
        <f t="shared" si="39"/>
        <v>7.1488447206871681</v>
      </c>
      <c r="CB20" s="22">
        <f t="shared" si="10"/>
        <v>51.221472220053933</v>
      </c>
      <c r="CC20" s="60">
        <f t="shared" si="11"/>
        <v>344.55480555338727</v>
      </c>
      <c r="CD20" s="60">
        <f ca="1">AVERAGE(OFFSET($CC$3,0,0,'Données projet'!$E$12+1,1))-AVERAGE(OFFSET($H$3,0,0,'Données projet'!$E$12+1,1))</f>
        <v>304.57411436867147</v>
      </c>
      <c r="CE20" s="60">
        <f t="shared" si="40"/>
        <v>178.19974548556962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1.8269230769230771</v>
      </c>
      <c r="CT20" s="13">
        <f>IF('Données projet'!$A$140&gt;35,CT19+CS20-DB19,IF(A20&lt;'Données projet'!$A$140,$CQ$205^A20,IF(A20='Données projet'!$A$140,'Données projet'!$B$140,CT19+CS20-DB19)))</f>
        <v>21.297945860423926</v>
      </c>
      <c r="CU20" s="18">
        <f>CT20*VLOOKUP('Données projet'!$B$13,Paramètres!$A$1:$I$89,3,0)*VLOOKUP('Données projet'!$B$13,Paramètres!$A$1:$I$89,5,0)</f>
        <v>20.599373236202023</v>
      </c>
      <c r="CV20" s="14">
        <f t="shared" si="41"/>
        <v>6.6753411410686052</v>
      </c>
      <c r="CW20" s="22">
        <f t="shared" si="13"/>
        <v>47.503460873746342</v>
      </c>
      <c r="CX20" s="60">
        <f t="shared" si="14"/>
        <v>340.83679420707966</v>
      </c>
      <c r="CY20" s="60">
        <f ca="1">AVERAGE(OFFSET($CX$3,0,0,'Données projet'!$E$13+1,1))-AVERAGE(OFFSET($H$3,0,0,'Données projet'!$E$13+1,1))</f>
        <v>279.37339904167601</v>
      </c>
      <c r="CZ20" s="60">
        <f t="shared" si="42"/>
        <v>163.80861186980007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0" t="e">
        <f t="shared" si="17"/>
        <v>#N/A</v>
      </c>
      <c r="DT20" s="60" t="e">
        <f ca="1">AVERAGE(OFFSET($DS$3,0,0,'Données projet'!$E$14+1,1))-AVERAGE(OFFSET($H$3,0,0,'Données projet'!$E$14+1,1))</f>
        <v>#N/A</v>
      </c>
      <c r="DU20" s="60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4.9140000000000006</v>
      </c>
      <c r="D21" s="12">
        <f t="shared" si="32"/>
        <v>1.8814997515338499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52.456489310085864</v>
      </c>
      <c r="H21" s="68">
        <f t="shared" si="1"/>
        <v>305.16882873392143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6.2569230769230755</v>
      </c>
      <c r="N21" s="14">
        <f>IF('Données projet'!$A$36&gt;35,N20+M21-V20,IF(A21&lt;'Données projet'!$A$36,$K$205^A21,IF(A21='Données projet'!$A$36,'Données projet'!$B$36,N20+M21-V20)))</f>
        <v>36.116923076923072</v>
      </c>
      <c r="O21" s="14">
        <f>N21*VLOOKUP('Données projet'!$B$9,Paramètres!$A$1:$I$89,3,0)*VLOOKUP('Données projet'!$B$9,Paramètres!$A$1:$I$89,5,0)</f>
        <v>21.597919999999998</v>
      </c>
      <c r="P21" s="14">
        <f t="shared" si="33"/>
        <v>6.9604680549228242</v>
      </c>
      <c r="Q21" s="22">
        <f t="shared" si="2"/>
        <v>49.739192528990579</v>
      </c>
      <c r="R21" s="60">
        <f t="shared" si="0"/>
        <v>343.07252586232391</v>
      </c>
      <c r="S21" s="60">
        <f ca="1">AVERAGE(OFFSET($R$3,0,0,'Données projet'!$E$9+1,1))-AVERAGE(OFFSET($H$3,0,0,'Données projet'!$E$9+1,1))</f>
        <v>223.38593045370783</v>
      </c>
      <c r="T21" s="60">
        <f t="shared" si="34"/>
        <v>161.68519532023998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</v>
      </c>
      <c r="AI21" s="14">
        <f>IF('Données projet'!$A$62&gt;35,AI20+AH21-AQ20,IF(A21&lt;'Données projet'!$A$62,$AF$205^A21,IF(A21='Données projet'!$A$62,'Données projet'!$B$62,AI20+AH21-AQ20)))</f>
        <v>21.95526887254967</v>
      </c>
      <c r="AJ21" s="14">
        <f>AI21*VLOOKUP('Données projet'!$B$10,Paramètres!$A$1:$I$89,3,0)*VLOOKUP('Données projet'!$B$10,Paramètres!$A$1:$I$89,5,0)</f>
        <v>13.129250785784706</v>
      </c>
      <c r="AK21" s="14">
        <f t="shared" si="35"/>
        <v>4.4836208428289908</v>
      </c>
      <c r="AL21" s="22">
        <f t="shared" si="4"/>
        <v>30.675751419835521</v>
      </c>
      <c r="AM21" s="60">
        <f t="shared" si="5"/>
        <v>324.00908475316885</v>
      </c>
      <c r="AN21" s="60">
        <f ca="1">AVERAGE(OFFSET($AM$3,0,0,'Données projet'!$E$10+1,1))-AVERAGE(OFFSET($H$3,0,0,'Données projet'!$E$10+1,1))</f>
        <v>216.19747366796145</v>
      </c>
      <c r="AO21" s="60">
        <f t="shared" si="36"/>
        <v>122.08911898780889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3.4425641025641025</v>
      </c>
      <c r="BD21" s="13">
        <f>IF('Données projet'!$A$88&gt;35,BD20+BC21-BL20,IF(A21&lt;'Données projet'!$A$88,$BA$205^A21,IF(A21='Données projet'!$A$88,'Données projet'!$B$88,BD20+BC21-BL20)))</f>
        <v>16.158534666859676</v>
      </c>
      <c r="BE21" s="14">
        <f>BD21*VLOOKUP('Données projet'!$B$11,Paramètres!$A$1:$I$89,3,0)*VLOOKUP('Données projet'!$B$11,Paramètres!$A$1:$I$89,5,0)</f>
        <v>7.5621942240903284</v>
      </c>
      <c r="BF21" s="14">
        <f t="shared" si="37"/>
        <v>2.7537549140858508</v>
      </c>
      <c r="BG21" s="22">
        <f t="shared" si="7"/>
        <v>17.96694474899018</v>
      </c>
      <c r="BH21" s="60">
        <f t="shared" si="8"/>
        <v>311.30027808232347</v>
      </c>
      <c r="BI21" s="60">
        <f ca="1">AVERAGE(OFFSET($BH$3,0,0,'Données projet'!$E$11+1,1))-AVERAGE(OFFSET($H$3,0,0,'Données projet'!$E$11+1,1))</f>
        <v>179.52358670810645</v>
      </c>
      <c r="BJ21" s="60">
        <f t="shared" si="38"/>
        <v>89.471764801078166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1.8269230769230771</v>
      </c>
      <c r="BY21" s="13">
        <f>IF('Données projet'!$A$114&gt;35,BY20+BX21-CG20,IF(A21&lt;'Données projet'!$A$114,$BV$205^A21,IF(A21='Données projet'!$A$114,'Données projet'!$B$114,BY20+BX21-CG20)))</f>
        <v>25.49618675380416</v>
      </c>
      <c r="BZ21" s="14">
        <f>BY21*VLOOKUP('Données projet'!$B$12,Paramètres!$A$1:$I$89,3,0)*VLOOKUP('Données projet'!$B$12,Paramètres!$A$1:$I$89,5,0)</f>
        <v>26.648614395076113</v>
      </c>
      <c r="CA21" s="14">
        <f t="shared" si="39"/>
        <v>8.3806590044752181</v>
      </c>
      <c r="CB21" s="22">
        <f t="shared" si="10"/>
        <v>61.009317837551897</v>
      </c>
      <c r="CC21" s="60">
        <f t="shared" si="11"/>
        <v>354.34265117088523</v>
      </c>
      <c r="CD21" s="60">
        <f ca="1">AVERAGE(OFFSET($CC$3,0,0,'Données projet'!$E$12+1,1))-AVERAGE(OFFSET($H$3,0,0,'Données projet'!$E$12+1,1))</f>
        <v>304.57411436867147</v>
      </c>
      <c r="CE21" s="60">
        <f t="shared" si="40"/>
        <v>178.19974548556962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1.8269230769230771</v>
      </c>
      <c r="CT21" s="13">
        <f>IF('Données projet'!$A$140&gt;35,CT20+CS21-DB20,IF(A21&lt;'Données projet'!$A$140,$CQ$205^A21,IF(A21='Données projet'!$A$140,'Données projet'!$B$140,CT20+CS21-DB20)))</f>
        <v>25.49618675380416</v>
      </c>
      <c r="CU21" s="18">
        <f>CT21*VLOOKUP('Données projet'!$B$13,Paramètres!$A$1:$I$89,3,0)*VLOOKUP('Données projet'!$B$13,Paramètres!$A$1:$I$89,5,0)</f>
        <v>24.659911828279384</v>
      </c>
      <c r="CV21" s="14">
        <f t="shared" si="41"/>
        <v>7.825566231694987</v>
      </c>
      <c r="CW21" s="22">
        <f t="shared" si="13"/>
        <v>56.578874287788693</v>
      </c>
      <c r="CX21" s="60">
        <f t="shared" si="14"/>
        <v>349.91220762112198</v>
      </c>
      <c r="CY21" s="60">
        <f ca="1">AVERAGE(OFFSET($CX$3,0,0,'Données projet'!$E$13+1,1))-AVERAGE(OFFSET($H$3,0,0,'Données projet'!$E$13+1,1))</f>
        <v>279.37339904167601</v>
      </c>
      <c r="CZ21" s="60">
        <f t="shared" si="42"/>
        <v>163.80861186980007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0" t="e">
        <f t="shared" si="17"/>
        <v>#N/A</v>
      </c>
      <c r="DT21" s="60" t="e">
        <f ca="1">AVERAGE(OFFSET($DS$3,0,0,'Données projet'!$E$14+1,1))-AVERAGE(OFFSET($H$3,0,0,'Données projet'!$E$14+1,1))</f>
        <v>#N/A</v>
      </c>
      <c r="DU21" s="60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5.1870000000000003</v>
      </c>
      <c r="D22" s="12">
        <f t="shared" si="32"/>
        <v>1.9735678492822717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55.2745588365649</v>
      </c>
      <c r="H22" s="68">
        <f t="shared" si="1"/>
        <v>305.80465567083326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6.2569230769230755</v>
      </c>
      <c r="N22" s="14">
        <f>IF('Données projet'!$A$36&gt;35,N21+M22-V21,IF(A22&lt;'Données projet'!$A$36,$K$205^A22,IF(A22='Données projet'!$A$36,'Données projet'!$B$36,N21+M22-V21)))</f>
        <v>42.373846153846145</v>
      </c>
      <c r="O22" s="14">
        <f>N22*VLOOKUP('Données projet'!$B$9,Paramètres!$A$1:$I$89,3,0)*VLOOKUP('Données projet'!$B$9,Paramètres!$A$1:$I$89,5,0)</f>
        <v>25.339559999999999</v>
      </c>
      <c r="P22" s="14">
        <f t="shared" si="33"/>
        <v>8.0158378360400349</v>
      </c>
      <c r="Q22" s="22">
        <f t="shared" si="2"/>
        <v>58.09398456443639</v>
      </c>
      <c r="R22" s="60">
        <f t="shared" si="0"/>
        <v>351.42731789776968</v>
      </c>
      <c r="S22" s="60">
        <f ca="1">AVERAGE(OFFSET($R$3,0,0,'Données projet'!$E$9+1,1))-AVERAGE(OFFSET($H$3,0,0,'Données projet'!$E$9+1,1))</f>
        <v>223.38593045370783</v>
      </c>
      <c r="T22" s="60">
        <f t="shared" si="34"/>
        <v>161.68519532023998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</v>
      </c>
      <c r="AI22" s="14">
        <f>IF('Données projet'!$A$62&gt;35,AI21+AH22-AQ21,IF(A22&lt;'Données projet'!$A$62,$AF$205^A22,IF(A22='Données projet'!$A$62,'Données projet'!$B$62,AI21+AH22-AQ21)))</f>
        <v>26.065657904729665</v>
      </c>
      <c r="AJ22" s="14">
        <f>AI22*VLOOKUP('Données projet'!$B$10,Paramètres!$A$1:$I$89,3,0)*VLOOKUP('Données projet'!$B$10,Paramètres!$A$1:$I$89,5,0)</f>
        <v>15.587263427028342</v>
      </c>
      <c r="AK22" s="14">
        <f t="shared" si="35"/>
        <v>5.2177531209053063</v>
      </c>
      <c r="AL22" s="22">
        <f t="shared" si="4"/>
        <v>36.235403820984438</v>
      </c>
      <c r="AM22" s="60">
        <f t="shared" si="5"/>
        <v>329.56873715431777</v>
      </c>
      <c r="AN22" s="60">
        <f ca="1">AVERAGE(OFFSET($AM$3,0,0,'Données projet'!$E$10+1,1))-AVERAGE(OFFSET($H$3,0,0,'Données projet'!$E$10+1,1))</f>
        <v>216.19747366796145</v>
      </c>
      <c r="AO22" s="60">
        <f t="shared" si="36"/>
        <v>122.08911898780889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3.4425641025641025</v>
      </c>
      <c r="BD22" s="13">
        <f>IF('Données projet'!$A$88&gt;35,BD21+BC22-BL21,IF(A22&lt;'Données projet'!$A$88,$BA$205^A22,IF(A22='Données projet'!$A$88,'Données projet'!$B$88,BD21+BC22-BL21)))</f>
        <v>18.859727670267663</v>
      </c>
      <c r="BE22" s="14">
        <f>BD22*VLOOKUP('Données projet'!$B$11,Paramètres!$A$1:$I$89,3,0)*VLOOKUP('Données projet'!$B$11,Paramètres!$A$1:$I$89,5,0)</f>
        <v>8.8263525496852662</v>
      </c>
      <c r="BF22" s="14">
        <f t="shared" si="37"/>
        <v>3.1567805742066648</v>
      </c>
      <c r="BG22" s="22">
        <f t="shared" si="7"/>
        <v>20.870623524111782</v>
      </c>
      <c r="BH22" s="60">
        <f t="shared" si="8"/>
        <v>314.20395685744512</v>
      </c>
      <c r="BI22" s="60">
        <f ca="1">AVERAGE(OFFSET($BH$3,0,0,'Données projet'!$E$11+1,1))-AVERAGE(OFFSET($H$3,0,0,'Données projet'!$E$11+1,1))</f>
        <v>179.52358670810645</v>
      </c>
      <c r="BJ22" s="60">
        <f t="shared" si="38"/>
        <v>89.471764801078166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1.8269230769230771</v>
      </c>
      <c r="BY22" s="13">
        <f>IF('Données projet'!$A$114&gt;35,BY21+BX22-CG21,IF(A22&lt;'Données projet'!$A$114,$BV$205^A22,IF(A22='Données projet'!$A$114,'Données projet'!$B$114,BY21+BX22-CG21)))</f>
        <v>30.521982882527599</v>
      </c>
      <c r="BZ22" s="14">
        <f>BY22*VLOOKUP('Données projet'!$B$12,Paramètres!$A$1:$I$89,3,0)*VLOOKUP('Données projet'!$B$12,Paramètres!$A$1:$I$89,5,0)</f>
        <v>31.901576508817847</v>
      </c>
      <c r="CA22" s="14">
        <f t="shared" si="39"/>
        <v>9.82472666472189</v>
      </c>
      <c r="CB22" s="22">
        <f t="shared" si="10"/>
        <v>72.673311360581707</v>
      </c>
      <c r="CC22" s="60">
        <f t="shared" si="11"/>
        <v>366.00664469391501</v>
      </c>
      <c r="CD22" s="60">
        <f ca="1">AVERAGE(OFFSET($CC$3,0,0,'Données projet'!$E$12+1,1))-AVERAGE(OFFSET($H$3,0,0,'Données projet'!$E$12+1,1))</f>
        <v>304.57411436867147</v>
      </c>
      <c r="CE22" s="60">
        <f t="shared" si="40"/>
        <v>178.19974548556962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1.8269230769230771</v>
      </c>
      <c r="CT22" s="13">
        <f>IF('Données projet'!$A$140&gt;35,CT21+CS22-DB21,IF(A22&lt;'Données projet'!$A$140,$CQ$205^A22,IF(A22='Données projet'!$A$140,'Données projet'!$B$140,CT21+CS22-DB21)))</f>
        <v>30.521982882527599</v>
      </c>
      <c r="CU22" s="18">
        <f>CT22*VLOOKUP('Données projet'!$B$13,Paramètres!$A$1:$I$89,3,0)*VLOOKUP('Données projet'!$B$13,Paramètres!$A$1:$I$89,5,0)</f>
        <v>29.520861843980693</v>
      </c>
      <c r="CV22" s="14">
        <f t="shared" si="41"/>
        <v>9.1739861008573858</v>
      </c>
      <c r="CW22" s="22">
        <f t="shared" si="13"/>
        <v>67.393526837259657</v>
      </c>
      <c r="CX22" s="60">
        <f t="shared" si="14"/>
        <v>360.726860170593</v>
      </c>
      <c r="CY22" s="60">
        <f ca="1">AVERAGE(OFFSET($CX$3,0,0,'Données projet'!$E$13+1,1))-AVERAGE(OFFSET($H$3,0,0,'Données projet'!$E$13+1,1))</f>
        <v>279.37339904167601</v>
      </c>
      <c r="CZ22" s="60">
        <f t="shared" si="42"/>
        <v>163.80861186980007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0" t="e">
        <f t="shared" si="17"/>
        <v>#N/A</v>
      </c>
      <c r="DT22" s="60" t="e">
        <f ca="1">AVERAGE(OFFSET($DS$3,0,0,'Données projet'!$E$14+1,1))-AVERAGE(OFFSET($H$3,0,0,'Données projet'!$E$14+1,1))</f>
        <v>#N/A</v>
      </c>
      <c r="DU22" s="60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</v>
      </c>
      <c r="D23" s="12">
        <f t="shared" si="32"/>
        <v>2.0650733588092969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58.088285576773522</v>
      </c>
      <c r="H23" s="68">
        <f t="shared" si="1"/>
        <v>306.43950276659285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48.630769230769225</v>
      </c>
      <c r="L23" s="13">
        <f>VLOOKUP(A23,'Données projet'!$A$35:$I$55,9,0)</f>
        <v>6.2569230769230755</v>
      </c>
      <c r="M23" s="13">
        <f t="array" ref="M23">INDEX(L:L,MIN(IF(ISNUMBER(L23:L219),ROW(L23:L219),"")))</f>
        <v>6.2569230769230755</v>
      </c>
      <c r="N23" s="14">
        <f>IF('Données projet'!$A$36&gt;35,N22+M23-V22,IF(A23&lt;'Données projet'!$A$36,$K$205^A23,IF(A23='Données projet'!$A$36,'Données projet'!$B$36,N22+M23-V22)))</f>
        <v>48.630769230769218</v>
      </c>
      <c r="O23" s="14">
        <f>N23*VLOOKUP('Données projet'!$B$9,Paramètres!$A$1:$I$89,3,0)*VLOOKUP('Données projet'!$B$9,Paramètres!$A$1:$I$89,5,0)</f>
        <v>29.081199999999992</v>
      </c>
      <c r="P23" s="14">
        <f t="shared" si="33"/>
        <v>9.0531541161689493</v>
      </c>
      <c r="Q23" s="22">
        <f t="shared" si="2"/>
        <v>66.417333418994247</v>
      </c>
      <c r="R23" s="60">
        <f t="shared" si="0"/>
        <v>359.75066675232756</v>
      </c>
      <c r="S23" s="60">
        <f ca="1">AVERAGE(OFFSET($R$3,0,0,'Données projet'!$E$9+1,1))-AVERAGE(OFFSET($H$3,0,0,'Données projet'!$E$9+1,1))</f>
        <v>223.38593045370783</v>
      </c>
      <c r="T23" s="60">
        <f t="shared" si="34"/>
        <v>161.68519532023998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</v>
      </c>
      <c r="AI23" s="14">
        <f>IF('Données projet'!$A$62&gt;35,AI22+AH23-AQ22,IF(A23&lt;'Données projet'!$A$62,$AF$205^A23,IF(A23='Données projet'!$A$62,'Données projet'!$B$62,AI22+AH23-AQ22)))</f>
        <v>30.945579667023001</v>
      </c>
      <c r="AJ23" s="14">
        <f>AI23*VLOOKUP('Données projet'!$B$10,Paramètres!$A$1:$I$89,3,0)*VLOOKUP('Données projet'!$B$10,Paramètres!$A$1:$I$89,5,0)</f>
        <v>18.505456640879753</v>
      </c>
      <c r="AK23" s="14">
        <f t="shared" si="35"/>
        <v>6.0720896313657011</v>
      </c>
      <c r="AL23" s="22">
        <f t="shared" si="4"/>
        <v>42.805893090827503</v>
      </c>
      <c r="AM23" s="60">
        <f t="shared" si="5"/>
        <v>336.13922642416082</v>
      </c>
      <c r="AN23" s="60">
        <f ca="1">AVERAGE(OFFSET($AM$3,0,0,'Données projet'!$E$10+1,1))-AVERAGE(OFFSET($H$3,0,0,'Données projet'!$E$10+1,1))</f>
        <v>216.19747366796145</v>
      </c>
      <c r="AO23" s="60">
        <f t="shared" si="36"/>
        <v>122.08911898780889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3.4425641025641025</v>
      </c>
      <c r="BD23" s="13">
        <f>IF('Données projet'!$A$88&gt;35,BD22+BC23-BL22,IF(A23&lt;'Données projet'!$A$88,$BA$205^A23,IF(A23='Données projet'!$A$88,'Données projet'!$B$88,BD22+BC23-BL22)))</f>
        <v>22.012474220583886</v>
      </c>
      <c r="BE23" s="14">
        <f>BD23*VLOOKUP('Données projet'!$B$11,Paramètres!$A$1:$I$89,3,0)*VLOOKUP('Données projet'!$B$11,Paramètres!$A$1:$I$89,5,0)</f>
        <v>10.301837935233259</v>
      </c>
      <c r="BF23" s="14">
        <f t="shared" si="37"/>
        <v>3.6187910342764393</v>
      </c>
      <c r="BG23" s="22">
        <f t="shared" si="7"/>
        <v>24.245095455229389</v>
      </c>
      <c r="BH23" s="60">
        <f t="shared" si="8"/>
        <v>317.57842878856269</v>
      </c>
      <c r="BI23" s="60">
        <f ca="1">AVERAGE(OFFSET($BH$3,0,0,'Données projet'!$E$11+1,1))-AVERAGE(OFFSET($H$3,0,0,'Données projet'!$E$11+1,1))</f>
        <v>179.52358670810645</v>
      </c>
      <c r="BJ23" s="60">
        <f t="shared" si="38"/>
        <v>89.471764801078166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36.53846153846154</v>
      </c>
      <c r="BW23" s="13">
        <f>VLOOKUP(A23,'Données projet'!$A$113:$I$133,9,0)</f>
        <v>1.8269230769230771</v>
      </c>
      <c r="BX23" s="13">
        <f t="array" ref="BX23">INDEX(BW:BW,MIN(IF(ISNUMBER(BW23:BW219),ROW(BW23:BW219),"")))</f>
        <v>1.8269230769230771</v>
      </c>
      <c r="BY23" s="13">
        <f>IF('Données projet'!$A$114&gt;35,BY22+BX23-CG22,IF(A23&lt;'Données projet'!$A$114,$BV$205^A23,IF(A23='Données projet'!$A$114,'Données projet'!$B$114,BY22+BX23-CG22)))</f>
        <v>36.53846153846154</v>
      </c>
      <c r="BZ23" s="14">
        <f>BY23*VLOOKUP('Données projet'!$B$12,Paramètres!$A$1:$I$89,3,0)*VLOOKUP('Données projet'!$B$12,Paramètres!$A$1:$I$89,5,0)</f>
        <v>38.190000000000005</v>
      </c>
      <c r="CA23" s="14">
        <f t="shared" si="39"/>
        <v>11.517620987198425</v>
      </c>
      <c r="CB23" s="22">
        <f t="shared" si="10"/>
        <v>86.574106552703938</v>
      </c>
      <c r="CC23" s="60">
        <f t="shared" si="11"/>
        <v>379.90743988603725</v>
      </c>
      <c r="CD23" s="60">
        <f ca="1">AVERAGE(OFFSET($CC$3,0,0,'Données projet'!$E$12+1,1))-AVERAGE(OFFSET($H$3,0,0,'Données projet'!$E$12+1,1))</f>
        <v>304.57411436867147</v>
      </c>
      <c r="CE23" s="60">
        <f t="shared" si="40"/>
        <v>178.19974548556962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36.53846153846154</v>
      </c>
      <c r="CR23" s="13">
        <f>VLOOKUP(A23,'Données projet'!$A$139:$I$159,9,0)</f>
        <v>1.8269230769230771</v>
      </c>
      <c r="CS23" s="13">
        <f t="array" ref="CS23">INDEX(CR:CR,MIN(IF(ISNUMBER(CR23:CR219),ROW(CR23:CR219),"")))</f>
        <v>1.8269230769230771</v>
      </c>
      <c r="CT23" s="13">
        <f>IF('Données projet'!$A$140&gt;35,CT22+CS23-DB22,IF(A23&lt;'Données projet'!$A$140,$CQ$205^A23,IF(A23='Données projet'!$A$140,'Données projet'!$B$140,CT22+CS23-DB22)))</f>
        <v>36.53846153846154</v>
      </c>
      <c r="CU23" s="18">
        <f>CT23*VLOOKUP('Données projet'!$B$13,Paramètres!$A$1:$I$89,3,0)*VLOOKUP('Données projet'!$B$13,Paramètres!$A$1:$I$89,5,0)</f>
        <v>35.340000000000003</v>
      </c>
      <c r="CV23" s="14">
        <f t="shared" si="41"/>
        <v>10.754751603513711</v>
      </c>
      <c r="CW23" s="22">
        <f t="shared" si="13"/>
        <v>80.281692376119707</v>
      </c>
      <c r="CX23" s="60">
        <f t="shared" si="14"/>
        <v>373.61502570945299</v>
      </c>
      <c r="CY23" s="60">
        <f ca="1">AVERAGE(OFFSET($CX$3,0,0,'Données projet'!$E$13+1,1))-AVERAGE(OFFSET($H$3,0,0,'Données projet'!$E$13+1,1))</f>
        <v>279.37339904167601</v>
      </c>
      <c r="CZ23" s="60">
        <f t="shared" si="42"/>
        <v>163.80861186980007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0" t="e">
        <f t="shared" si="17"/>
        <v>#N/A</v>
      </c>
      <c r="DT23" s="60" t="e">
        <f ca="1">AVERAGE(OFFSET($DS$3,0,0,'Données projet'!$E$14+1,1))-AVERAGE(OFFSET($H$3,0,0,'Données projet'!$E$14+1,1))</f>
        <v>#N/A</v>
      </c>
      <c r="DU23" s="60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5.7329999999999997</v>
      </c>
      <c r="D24" s="12">
        <f t="shared" si="32"/>
        <v>2.1560476193270603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60.897911447436968</v>
      </c>
      <c r="H24" s="68">
        <f t="shared" si="1"/>
        <v>307.07342460366129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8.3184615384615412</v>
      </c>
      <c r="N24" s="14">
        <f>IF('Données projet'!$A$36&gt;35,N23+M24-V23,IF(A24&lt;'Données projet'!$A$36,$K$205^A24,IF(A24='Données projet'!$A$36,'Données projet'!$B$36,N23+M24-V23)))</f>
        <v>56.949230769230759</v>
      </c>
      <c r="O24" s="14">
        <f>N24*VLOOKUP('Données projet'!$B$9,Paramètres!$A$1:$I$89,3,0)*VLOOKUP('Données projet'!$B$9,Paramètres!$A$1:$I$89,5,0)</f>
        <v>34.055639999999997</v>
      </c>
      <c r="P24" s="14">
        <f t="shared" si="33"/>
        <v>10.408647625530445</v>
      </c>
      <c r="Q24" s="22">
        <f t="shared" si="2"/>
        <v>77.441967614465526</v>
      </c>
      <c r="R24" s="60">
        <f t="shared" si="0"/>
        <v>370.77530094779883</v>
      </c>
      <c r="S24" s="60">
        <f ca="1">AVERAGE(OFFSET($R$3,0,0,'Données projet'!$E$9+1,1))-AVERAGE(OFFSET($H$3,0,0,'Données projet'!$E$9+1,1))</f>
        <v>223.38593045370783</v>
      </c>
      <c r="T24" s="60">
        <f t="shared" si="34"/>
        <v>161.68519532023998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</v>
      </c>
      <c r="AI24" s="14">
        <f>IF('Données projet'!$A$62&gt;35,AI23+AH24-AQ23,IF(A24&lt;'Données projet'!$A$62,$AF$205^A24,IF(A24='Données projet'!$A$62,'Données projet'!$B$62,AI23+AH24-AQ23)))</f>
        <v>36.739103399124403</v>
      </c>
      <c r="AJ24" s="14">
        <f>AI24*VLOOKUP('Données projet'!$B$10,Paramètres!$A$1:$I$89,3,0)*VLOOKUP('Données projet'!$B$10,Paramètres!$A$1:$I$89,5,0)</f>
        <v>21.969983832676395</v>
      </c>
      <c r="AK24" s="14">
        <f t="shared" si="35"/>
        <v>7.0663121916626217</v>
      </c>
      <c r="AL24" s="22">
        <f t="shared" si="4"/>
        <v>50.571548909057121</v>
      </c>
      <c r="AM24" s="60">
        <f t="shared" si="5"/>
        <v>343.90488224239044</v>
      </c>
      <c r="AN24" s="60">
        <f ca="1">AVERAGE(OFFSET($AM$3,0,0,'Données projet'!$E$10+1,1))-AVERAGE(OFFSET($H$3,0,0,'Données projet'!$E$10+1,1))</f>
        <v>216.19747366796145</v>
      </c>
      <c r="AO24" s="60">
        <f t="shared" si="36"/>
        <v>122.08911898780889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3.4425641025641025</v>
      </c>
      <c r="BD24" s="13">
        <f>IF('Données projet'!$A$88&gt;35,BD23+BC24-BL23,IF(A24&lt;'Données projet'!$A$88,$BA$205^A24,IF(A24='Données projet'!$A$88,'Données projet'!$B$88,BD23+BC24-BL23)))</f>
        <v>25.692259707215236</v>
      </c>
      <c r="BE24" s="14">
        <f>BD24*VLOOKUP('Données projet'!$B$11,Paramètres!$A$1:$I$89,3,0)*VLOOKUP('Données projet'!$B$11,Paramètres!$A$1:$I$89,5,0)</f>
        <v>12.023977542976729</v>
      </c>
      <c r="BF24" s="14">
        <f t="shared" si="37"/>
        <v>4.1484190116858626</v>
      </c>
      <c r="BG24" s="22">
        <f t="shared" si="7"/>
        <v>28.166923999370677</v>
      </c>
      <c r="BH24" s="60">
        <f t="shared" si="8"/>
        <v>321.500257332704</v>
      </c>
      <c r="BI24" s="60">
        <f ca="1">AVERAGE(OFFSET($BH$3,0,0,'Données projet'!$E$11+1,1))-AVERAGE(OFFSET($H$3,0,0,'Données projet'!$E$11+1,1))</f>
        <v>179.52358670810645</v>
      </c>
      <c r="BJ24" s="60">
        <f t="shared" si="38"/>
        <v>89.471764801078166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4.7435897435897427</v>
      </c>
      <c r="BY24" s="13">
        <f>IF('Données projet'!$A$114&gt;35,BY23+BX24-CG23,IF(A24&lt;'Données projet'!$A$114,$BV$205^A24,IF(A24='Données projet'!$A$114,'Données projet'!$B$114,BY23+BX24-CG23)))</f>
        <v>41.282051282051285</v>
      </c>
      <c r="BZ24" s="14">
        <f>BY24*VLOOKUP('Données projet'!$B$12,Paramètres!$A$1:$I$89,3,0)*VLOOKUP('Données projet'!$B$12,Paramètres!$A$1:$I$89,5,0)</f>
        <v>43.148000000000003</v>
      </c>
      <c r="CA24" s="14">
        <f t="shared" si="39"/>
        <v>12.829310402742328</v>
      </c>
      <c r="CB24" s="22">
        <f t="shared" si="10"/>
        <v>97.493815618109565</v>
      </c>
      <c r="CC24" s="60">
        <f t="shared" si="11"/>
        <v>390.82714895144289</v>
      </c>
      <c r="CD24" s="60">
        <f ca="1">AVERAGE(OFFSET($CC$3,0,0,'Données projet'!$E$12+1,1))-AVERAGE(OFFSET($H$3,0,0,'Données projet'!$E$12+1,1))</f>
        <v>304.57411436867147</v>
      </c>
      <c r="CE24" s="60">
        <f t="shared" si="40"/>
        <v>178.19974548556962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4.7435897435897427</v>
      </c>
      <c r="CT24" s="13">
        <f>IF('Données projet'!$A$140&gt;35,CT23+CS24-DB23,IF(A24&lt;'Données projet'!$A$140,$CQ$205^A24,IF(A24='Données projet'!$A$140,'Données projet'!$B$140,CT23+CS24-DB23)))</f>
        <v>41.282051282051285</v>
      </c>
      <c r="CU24" s="18">
        <f>CT24*VLOOKUP('Données projet'!$B$13,Paramètres!$A$1:$I$89,3,0)*VLOOKUP('Données projet'!$B$13,Paramètres!$A$1:$I$89,5,0)</f>
        <v>39.928000000000004</v>
      </c>
      <c r="CV24" s="14">
        <f t="shared" si="41"/>
        <v>11.979561298225171</v>
      </c>
      <c r="CW24" s="22">
        <f t="shared" si="13"/>
        <v>90.405669261075516</v>
      </c>
      <c r="CX24" s="60">
        <f t="shared" si="14"/>
        <v>383.73900259440882</v>
      </c>
      <c r="CY24" s="60">
        <f ca="1">AVERAGE(OFFSET($CX$3,0,0,'Données projet'!$E$13+1,1))-AVERAGE(OFFSET($H$3,0,0,'Données projet'!$E$13+1,1))</f>
        <v>279.37339904167601</v>
      </c>
      <c r="CZ24" s="60">
        <f t="shared" si="42"/>
        <v>163.80861186980007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0" t="e">
        <f t="shared" si="17"/>
        <v>#N/A</v>
      </c>
      <c r="DT24" s="60" t="e">
        <f ca="1">AVERAGE(OFFSET($DS$3,0,0,'Données projet'!$E$14+1,1))-AVERAGE(OFFSET($H$3,0,0,'Données projet'!$E$14+1,1))</f>
        <v>#N/A</v>
      </c>
      <c r="DU24" s="60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6.0059999999999993</v>
      </c>
      <c r="D25" s="12">
        <f t="shared" si="32"/>
        <v>2.2465188167092123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63.70365402372024</v>
      </c>
      <c r="H25" s="68">
        <f t="shared" si="1"/>
        <v>307.70647027243518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8.3184615384615412</v>
      </c>
      <c r="N25" s="14">
        <f>IF('Données projet'!$A$36&gt;35,N24+M25-V24,IF(A25&lt;'Données projet'!$A$36,$K$205^A25,IF(A25='Données projet'!$A$36,'Données projet'!$B$36,N24+M25-V24)))</f>
        <v>65.2676923076923</v>
      </c>
      <c r="O25" s="14">
        <f>N25*VLOOKUP('Données projet'!$B$9,Paramètres!$A$1:$I$89,3,0)*VLOOKUP('Données projet'!$B$9,Paramètres!$A$1:$I$89,5,0)</f>
        <v>39.030079999999998</v>
      </c>
      <c r="P25" s="14">
        <f t="shared" si="33"/>
        <v>11.741203391238923</v>
      </c>
      <c r="Q25" s="22">
        <f t="shared" si="2"/>
        <v>88.426651906407798</v>
      </c>
      <c r="R25" s="60">
        <f t="shared" si="0"/>
        <v>381.75998523974113</v>
      </c>
      <c r="S25" s="60">
        <f ca="1">AVERAGE(OFFSET($R$3,0,0,'Données projet'!$E$9+1,1))-AVERAGE(OFFSET($H$3,0,0,'Données projet'!$E$9+1,1))</f>
        <v>223.38593045370783</v>
      </c>
      <c r="T25" s="60">
        <f t="shared" si="34"/>
        <v>161.68519532023998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</v>
      </c>
      <c r="AI25" s="14">
        <f>IF('Données projet'!$A$62&gt;35,AI24+AH25-AQ24,IF(A25&lt;'Données projet'!$A$62,$AF$205^A25,IF(A25='Données projet'!$A$62,'Données projet'!$B$62,AI24+AH25-AQ24)))</f>
        <v>43.617270482411442</v>
      </c>
      <c r="AJ25" s="14">
        <f>AI25*VLOOKUP('Données projet'!$B$10,Paramètres!$A$1:$I$89,3,0)*VLOOKUP('Données projet'!$B$10,Paramètres!$A$1:$I$89,5,0)</f>
        <v>26.083127748482042</v>
      </c>
      <c r="AK25" s="14">
        <f t="shared" si="35"/>
        <v>8.2233252506862602</v>
      </c>
      <c r="AL25" s="22">
        <f t="shared" si="4"/>
        <v>59.750405640218126</v>
      </c>
      <c r="AM25" s="60">
        <f t="shared" si="5"/>
        <v>353.08373897355142</v>
      </c>
      <c r="AN25" s="60">
        <f ca="1">AVERAGE(OFFSET($AM$3,0,0,'Données projet'!$E$10+1,1))-AVERAGE(OFFSET($H$3,0,0,'Données projet'!$E$10+1,1))</f>
        <v>216.19747366796145</v>
      </c>
      <c r="AO25" s="60">
        <f t="shared" si="36"/>
        <v>122.08911898780889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3.4425641025641025</v>
      </c>
      <c r="BD25" s="13">
        <f>IF('Données projet'!$A$88&gt;35,BD24+BC25-BL24,IF(A25&lt;'Données projet'!$A$88,$BA$205^A25,IF(A25='Données projet'!$A$88,'Données projet'!$B$88,BD24+BC25-BL24)))</f>
        <v>29.987188275534368</v>
      </c>
      <c r="BE25" s="14">
        <f>BD25*VLOOKUP('Données projet'!$B$11,Paramètres!$A$1:$I$89,3,0)*VLOOKUP('Données projet'!$B$11,Paramètres!$A$1:$I$89,5,0)</f>
        <v>14.034004112950084</v>
      </c>
      <c r="BF25" s="14">
        <f t="shared" si="37"/>
        <v>4.7555606647394173</v>
      </c>
      <c r="BG25" s="22">
        <f t="shared" si="7"/>
        <v>32.725158654475884</v>
      </c>
      <c r="BH25" s="60">
        <f t="shared" si="8"/>
        <v>326.05849198780919</v>
      </c>
      <c r="BI25" s="60">
        <f ca="1">AVERAGE(OFFSET($BH$3,0,0,'Données projet'!$E$11+1,1))-AVERAGE(OFFSET($H$3,0,0,'Données projet'!$E$11+1,1))</f>
        <v>179.52358670810645</v>
      </c>
      <c r="BJ25" s="60">
        <f t="shared" si="38"/>
        <v>89.471764801078166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4.7435897435897427</v>
      </c>
      <c r="BY25" s="13">
        <f>IF('Données projet'!$A$114&gt;35,BY24+BX25-CG24,IF(A25&lt;'Données projet'!$A$114,$BV$205^A25,IF(A25='Données projet'!$A$114,'Données projet'!$B$114,BY24+BX25-CG24)))</f>
        <v>46.025641025641029</v>
      </c>
      <c r="BZ25" s="14">
        <f>BY25*VLOOKUP('Données projet'!$B$12,Paramètres!$A$1:$I$89,3,0)*VLOOKUP('Données projet'!$B$12,Paramètres!$A$1:$I$89,5,0)</f>
        <v>48.106000000000009</v>
      </c>
      <c r="CA25" s="14">
        <f t="shared" si="39"/>
        <v>14.123532039098192</v>
      </c>
      <c r="CB25" s="22">
        <f t="shared" si="10"/>
        <v>108.3831016347627</v>
      </c>
      <c r="CC25" s="60">
        <f t="shared" si="11"/>
        <v>401.716434968096</v>
      </c>
      <c r="CD25" s="60">
        <f ca="1">AVERAGE(OFFSET($CC$3,0,0,'Données projet'!$E$12+1,1))-AVERAGE(OFFSET($H$3,0,0,'Données projet'!$E$12+1,1))</f>
        <v>304.57411436867147</v>
      </c>
      <c r="CE25" s="60">
        <f t="shared" si="40"/>
        <v>178.19974548556962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4.7435897435897427</v>
      </c>
      <c r="CT25" s="13">
        <f>IF('Données projet'!$A$140&gt;35,CT24+CS25-DB24,IF(A25&lt;'Données projet'!$A$140,$CQ$205^A25,IF(A25='Données projet'!$A$140,'Données projet'!$B$140,CT24+CS25-DB24)))</f>
        <v>46.025641025641029</v>
      </c>
      <c r="CU25" s="18">
        <f>CT25*VLOOKUP('Données projet'!$B$13,Paramètres!$A$1:$I$89,3,0)*VLOOKUP('Données projet'!$B$13,Paramètres!$A$1:$I$89,5,0)</f>
        <v>44.516000000000005</v>
      </c>
      <c r="CV25" s="14">
        <f t="shared" si="41"/>
        <v>13.188060191735479</v>
      </c>
      <c r="CW25" s="22">
        <f t="shared" si="13"/>
        <v>100.50123816727263</v>
      </c>
      <c r="CX25" s="60">
        <f t="shared" si="14"/>
        <v>393.83457150060593</v>
      </c>
      <c r="CY25" s="60">
        <f ca="1">AVERAGE(OFFSET($CX$3,0,0,'Données projet'!$E$13+1,1))-AVERAGE(OFFSET($H$3,0,0,'Données projet'!$E$13+1,1))</f>
        <v>279.37339904167601</v>
      </c>
      <c r="CZ25" s="60">
        <f t="shared" si="42"/>
        <v>163.80861186980007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0" t="e">
        <f t="shared" si="17"/>
        <v>#N/A</v>
      </c>
      <c r="DT25" s="60" t="e">
        <f ca="1">AVERAGE(OFFSET($DS$3,0,0,'Données projet'!$E$14+1,1))-AVERAGE(OFFSET($H$3,0,0,'Données projet'!$E$14+1,1))</f>
        <v>#N/A</v>
      </c>
      <c r="DU25" s="60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6.278999999999999</v>
      </c>
      <c r="D26" s="12">
        <f t="shared" si="32"/>
        <v>2.336512429637037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66.505709983163086</v>
      </c>
      <c r="H26" s="68">
        <f t="shared" si="1"/>
        <v>308.33868414828447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8.3184615384615412</v>
      </c>
      <c r="N26" s="14">
        <f>IF('Données projet'!$A$36&gt;35,N25+M26-V25,IF(A26&lt;'Données projet'!$A$36,$K$205^A26,IF(A26='Données projet'!$A$36,'Données projet'!$B$36,N25+M26-V25)))</f>
        <v>73.586153846153849</v>
      </c>
      <c r="O26" s="14">
        <f>N26*VLOOKUP('Données projet'!$B$9,Paramètres!$A$1:$I$89,3,0)*VLOOKUP('Données projet'!$B$9,Paramètres!$A$1:$I$89,5,0)</f>
        <v>44.004520000000007</v>
      </c>
      <c r="P26" s="14">
        <f t="shared" si="33"/>
        <v>13.054079962174448</v>
      </c>
      <c r="Q26" s="22">
        <f t="shared" si="2"/>
        <v>99.377061600787158</v>
      </c>
      <c r="R26" s="60">
        <f t="shared" si="0"/>
        <v>392.71039493412047</v>
      </c>
      <c r="S26" s="60">
        <f ca="1">AVERAGE(OFFSET($R$3,0,0,'Données projet'!$E$9+1,1))-AVERAGE(OFFSET($H$3,0,0,'Données projet'!$E$9+1,1))</f>
        <v>223.38593045370783</v>
      </c>
      <c r="T26" s="60">
        <f t="shared" si="34"/>
        <v>161.68519532023998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</v>
      </c>
      <c r="AI26" s="14">
        <f>IF('Données projet'!$A$62&gt;35,AI25+AH26-AQ25,IF(A26&lt;'Données projet'!$A$62,$AF$205^A26,IF(A26='Données projet'!$A$62,'Données projet'!$B$62,AI25+AH26-AQ25)))</f>
        <v>51.783144070445161</v>
      </c>
      <c r="AJ26" s="14">
        <f>AI26*VLOOKUP('Données projet'!$B$10,Paramètres!$A$1:$I$89,3,0)*VLOOKUP('Données projet'!$B$10,Paramètres!$A$1:$I$89,5,0)</f>
        <v>30.966320154126205</v>
      </c>
      <c r="AK26" s="14">
        <f t="shared" si="35"/>
        <v>9.5697835510807412</v>
      </c>
      <c r="AL26" s="22">
        <f t="shared" si="4"/>
        <v>70.600380619902097</v>
      </c>
      <c r="AM26" s="60">
        <f t="shared" si="5"/>
        <v>363.93371395323538</v>
      </c>
      <c r="AN26" s="60">
        <f ca="1">AVERAGE(OFFSET($AM$3,0,0,'Données projet'!$E$10+1,1))-AVERAGE(OFFSET($H$3,0,0,'Données projet'!$E$10+1,1))</f>
        <v>216.19747366796145</v>
      </c>
      <c r="AO26" s="60">
        <f t="shared" si="36"/>
        <v>122.08911898780889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3.4425641025641025</v>
      </c>
      <c r="BD26" s="13">
        <f>IF('Données projet'!$A$88&gt;35,BD25+BC26-BL25,IF(A26&lt;'Données projet'!$A$88,$BA$205^A26,IF(A26='Données projet'!$A$88,'Données projet'!$B$88,BD25+BC26-BL25)))</f>
        <v>35.000092281482424</v>
      </c>
      <c r="BE26" s="14">
        <f>BD26*VLOOKUP('Données projet'!$B$11,Paramètres!$A$1:$I$89,3,0)*VLOOKUP('Données projet'!$B$11,Paramètres!$A$1:$I$89,5,0)</f>
        <v>16.380043187733772</v>
      </c>
      <c r="BF26" s="14">
        <f t="shared" si="37"/>
        <v>5.4515605034859353</v>
      </c>
      <c r="BG26" s="22">
        <f t="shared" si="7"/>
        <v>38.023376428874322</v>
      </c>
      <c r="BH26" s="60">
        <f t="shared" si="8"/>
        <v>331.35670976220763</v>
      </c>
      <c r="BI26" s="60">
        <f ca="1">AVERAGE(OFFSET($BH$3,0,0,'Données projet'!$E$11+1,1))-AVERAGE(OFFSET($H$3,0,0,'Données projet'!$E$11+1,1))</f>
        <v>179.52358670810645</v>
      </c>
      <c r="BJ26" s="60">
        <f t="shared" si="38"/>
        <v>89.471764801078166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4.7435897435897427</v>
      </c>
      <c r="BY26" s="13">
        <f>IF('Données projet'!$A$114&gt;35,BY25+BX26-CG25,IF(A26&lt;'Données projet'!$A$114,$BV$205^A26,IF(A26='Données projet'!$A$114,'Données projet'!$B$114,BY25+BX26-CG25)))</f>
        <v>50.769230769230774</v>
      </c>
      <c r="BZ26" s="14">
        <f>BY26*VLOOKUP('Données projet'!$B$12,Paramètres!$A$1:$I$89,3,0)*VLOOKUP('Données projet'!$B$12,Paramètres!$A$1:$I$89,5,0)</f>
        <v>53.064000000000007</v>
      </c>
      <c r="CA26" s="14">
        <f t="shared" si="39"/>
        <v>15.402291234172077</v>
      </c>
      <c r="CB26" s="22">
        <f t="shared" si="10"/>
        <v>119.24545723284972</v>
      </c>
      <c r="CC26" s="60">
        <f t="shared" si="11"/>
        <v>412.57879056618305</v>
      </c>
      <c r="CD26" s="60">
        <f ca="1">AVERAGE(OFFSET($CC$3,0,0,'Données projet'!$E$12+1,1))-AVERAGE(OFFSET($H$3,0,0,'Données projet'!$E$12+1,1))</f>
        <v>304.57411436867147</v>
      </c>
      <c r="CE26" s="60">
        <f t="shared" si="40"/>
        <v>178.19974548556962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4.7435897435897427</v>
      </c>
      <c r="CT26" s="13">
        <f>IF('Données projet'!$A$140&gt;35,CT25+CS26-DB25,IF(A26&lt;'Données projet'!$A$140,$CQ$205^A26,IF(A26='Données projet'!$A$140,'Données projet'!$B$140,CT25+CS26-DB25)))</f>
        <v>50.769230769230774</v>
      </c>
      <c r="CU26" s="18">
        <f>CT26*VLOOKUP('Données projet'!$B$13,Paramètres!$A$1:$I$89,3,0)*VLOOKUP('Données projet'!$B$13,Paramètres!$A$1:$I$89,5,0)</f>
        <v>49.104000000000006</v>
      </c>
      <c r="CV26" s="14">
        <f t="shared" si="41"/>
        <v>14.382120798436684</v>
      </c>
      <c r="CW26" s="22">
        <f t="shared" si="13"/>
        <v>110.57166039061055</v>
      </c>
      <c r="CX26" s="60">
        <f t="shared" si="14"/>
        <v>403.90499372394385</v>
      </c>
      <c r="CY26" s="60">
        <f ca="1">AVERAGE(OFFSET($CX$3,0,0,'Données projet'!$E$13+1,1))-AVERAGE(OFFSET($H$3,0,0,'Données projet'!$E$13+1,1))</f>
        <v>279.37339904167601</v>
      </c>
      <c r="CZ26" s="60">
        <f t="shared" si="42"/>
        <v>163.80861186980007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0" t="e">
        <f t="shared" si="17"/>
        <v>#N/A</v>
      </c>
      <c r="DT26" s="60" t="e">
        <f ca="1">AVERAGE(OFFSET($DS$3,0,0,'Données projet'!$E$14+1,1))-AVERAGE(OFFSET($H$3,0,0,'Données projet'!$E$14+1,1))</f>
        <v>#N/A</v>
      </c>
      <c r="DU26" s="60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6.5519999999999987</v>
      </c>
      <c r="D27" s="12">
        <f t="shared" si="32"/>
        <v>2.4260515959655726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69.304257933769307</v>
      </c>
      <c r="H27" s="68">
        <f t="shared" si="1"/>
        <v>308.97010652964002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8.3184615384615412</v>
      </c>
      <c r="N27" s="14">
        <f>IF('Données projet'!$A$36&gt;35,N26+M27-V26,IF(A27&lt;'Données projet'!$A$36,$K$205^A27,IF(A27='Données projet'!$A$36,'Données projet'!$B$36,N26+M27-V26)))</f>
        <v>81.904615384615397</v>
      </c>
      <c r="O27" s="14">
        <f>N27*VLOOKUP('Données projet'!$B$9,Paramètres!$A$1:$I$89,3,0)*VLOOKUP('Données projet'!$B$9,Paramètres!$A$1:$I$89,5,0)</f>
        <v>48.978960000000008</v>
      </c>
      <c r="P27" s="14">
        <f t="shared" si="33"/>
        <v>14.349755832591496</v>
      </c>
      <c r="Q27" s="22">
        <f t="shared" si="2"/>
        <v>110.29751340843019</v>
      </c>
      <c r="R27" s="60">
        <f t="shared" si="0"/>
        <v>403.63084674176349</v>
      </c>
      <c r="S27" s="60">
        <f ca="1">AVERAGE(OFFSET($R$3,0,0,'Données projet'!$E$9+1,1))-AVERAGE(OFFSET($H$3,0,0,'Données projet'!$E$9+1,1))</f>
        <v>223.38593045370783</v>
      </c>
      <c r="T27" s="60">
        <f t="shared" si="34"/>
        <v>161.68519532023998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</v>
      </c>
      <c r="AI27" s="14">
        <f>IF('Données projet'!$A$62&gt;35,AI26+AH27-AQ26,IF(A27&lt;'Données projet'!$A$62,$AF$205^A27,IF(A27='Données projet'!$A$62,'Données projet'!$B$62,AI26+AH27-AQ26)))</f>
        <v>61.477804093719847</v>
      </c>
      <c r="AJ27" s="14">
        <f>AI27*VLOOKUP('Données projet'!$B$10,Paramètres!$A$1:$I$89,3,0)*VLOOKUP('Données projet'!$B$10,Paramètres!$A$1:$I$89,5,0)</f>
        <v>36.76372684804447</v>
      </c>
      <c r="AK27" s="14">
        <f t="shared" si="35"/>
        <v>11.136706189128647</v>
      </c>
      <c r="AL27" s="22">
        <f t="shared" si="4"/>
        <v>83.426587539743181</v>
      </c>
      <c r="AM27" s="60">
        <f t="shared" si="5"/>
        <v>376.75992087307651</v>
      </c>
      <c r="AN27" s="60">
        <f ca="1">AVERAGE(OFFSET($AM$3,0,0,'Données projet'!$E$10+1,1))-AVERAGE(OFFSET($H$3,0,0,'Données projet'!$E$10+1,1))</f>
        <v>216.19747366796145</v>
      </c>
      <c r="AO27" s="60">
        <f t="shared" si="36"/>
        <v>122.08911898780889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3.4425641025641025</v>
      </c>
      <c r="BD27" s="13">
        <f>IF('Données projet'!$A$88&gt;35,BD26+BC27-BL26,IF(A27&lt;'Données projet'!$A$88,$BA$205^A27,IF(A27='Données projet'!$A$88,'Données projet'!$B$88,BD26+BC27-BL26)))</f>
        <v>40.850994379880916</v>
      </c>
      <c r="BE27" s="14">
        <f>BD27*VLOOKUP('Données projet'!$B$11,Paramètres!$A$1:$I$89,3,0)*VLOOKUP('Données projet'!$B$11,Paramètres!$A$1:$I$89,5,0)</f>
        <v>19.118265369784268</v>
      </c>
      <c r="BF27" s="14">
        <f t="shared" si="37"/>
        <v>6.2494233631643379</v>
      </c>
      <c r="BG27" s="22">
        <f t="shared" si="7"/>
        <v>44.182057876552157</v>
      </c>
      <c r="BH27" s="60">
        <f t="shared" si="8"/>
        <v>337.51539120988548</v>
      </c>
      <c r="BI27" s="60">
        <f ca="1">AVERAGE(OFFSET($BH$3,0,0,'Données projet'!$E$11+1,1))-AVERAGE(OFFSET($H$3,0,0,'Données projet'!$E$11+1,1))</f>
        <v>179.52358670810645</v>
      </c>
      <c r="BJ27" s="60">
        <f t="shared" si="38"/>
        <v>89.471764801078166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4.7435897435897427</v>
      </c>
      <c r="BY27" s="13">
        <f>IF('Données projet'!$A$114&gt;35,BY26+BX27-CG26,IF(A27&lt;'Données projet'!$A$114,$BV$205^A27,IF(A27='Données projet'!$A$114,'Données projet'!$B$114,BY26+BX27-CG26)))</f>
        <v>55.512820512820518</v>
      </c>
      <c r="BZ27" s="14">
        <f>BY27*VLOOKUP('Données projet'!$B$12,Paramètres!$A$1:$I$89,3,0)*VLOOKUP('Données projet'!$B$12,Paramètres!$A$1:$I$89,5,0)</f>
        <v>58.022000000000006</v>
      </c>
      <c r="CA27" s="14">
        <f t="shared" si="39"/>
        <v>16.667197048955192</v>
      </c>
      <c r="CB27" s="22">
        <f t="shared" si="10"/>
        <v>130.08368486026362</v>
      </c>
      <c r="CC27" s="60">
        <f t="shared" si="11"/>
        <v>423.41701819359696</v>
      </c>
      <c r="CD27" s="60">
        <f ca="1">AVERAGE(OFFSET($CC$3,0,0,'Données projet'!$E$12+1,1))-AVERAGE(OFFSET($H$3,0,0,'Données projet'!$E$12+1,1))</f>
        <v>304.57411436867147</v>
      </c>
      <c r="CE27" s="60">
        <f t="shared" si="40"/>
        <v>178.19974548556962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4.7435897435897427</v>
      </c>
      <c r="CT27" s="13">
        <f>IF('Données projet'!$A$140&gt;35,CT26+CS27-DB26,IF(A27&lt;'Données projet'!$A$140,$CQ$205^A27,IF(A27='Données projet'!$A$140,'Données projet'!$B$140,CT26+CS27-DB26)))</f>
        <v>55.512820512820518</v>
      </c>
      <c r="CU27" s="18">
        <f>CT27*VLOOKUP('Données projet'!$B$13,Paramètres!$A$1:$I$89,3,0)*VLOOKUP('Données projet'!$B$13,Paramètres!$A$1:$I$89,5,0)</f>
        <v>53.692</v>
      </c>
      <c r="CV27" s="14">
        <f t="shared" si="41"/>
        <v>15.563245603199125</v>
      </c>
      <c r="CW27" s="22">
        <f t="shared" si="13"/>
        <v>120.61955275890513</v>
      </c>
      <c r="CX27" s="60">
        <f t="shared" si="14"/>
        <v>413.95288609223843</v>
      </c>
      <c r="CY27" s="60">
        <f ca="1">AVERAGE(OFFSET($CX$3,0,0,'Données projet'!$E$13+1,1))-AVERAGE(OFFSET($H$3,0,0,'Données projet'!$E$13+1,1))</f>
        <v>279.37339904167601</v>
      </c>
      <c r="CZ27" s="60">
        <f t="shared" si="42"/>
        <v>163.80861186980007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0" t="e">
        <f t="shared" si="17"/>
        <v>#N/A</v>
      </c>
      <c r="DT27" s="60" t="e">
        <f ca="1">AVERAGE(OFFSET($DS$3,0,0,'Données projet'!$E$14+1,1))-AVERAGE(OFFSET($H$3,0,0,'Données projet'!$E$14+1,1))</f>
        <v>#N/A</v>
      </c>
      <c r="DU27" s="60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6.8249999999999984</v>
      </c>
      <c r="D28" s="12">
        <f t="shared" si="32"/>
        <v>2.5151574163081292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72.099460757466247</v>
      </c>
      <c r="H28" s="68">
        <f t="shared" si="1"/>
        <v>309.60077416673664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90.223076923076931</v>
      </c>
      <c r="L28" s="13">
        <f>VLOOKUP(A28,'Données projet'!$A$35:$I$55,9,0)</f>
        <v>8.3184615384615412</v>
      </c>
      <c r="M28" s="13">
        <f t="array" ref="M28">INDEX(L:L,MIN(IF(ISNUMBER(L28:L224),ROW(L28:L224),"")))</f>
        <v>8.3184615384615412</v>
      </c>
      <c r="N28" s="14">
        <f>IF('Données projet'!$A$36&gt;35,N27+M28-V27,IF(A28&lt;'Données projet'!$A$36,$K$205^A28,IF(A28='Données projet'!$A$36,'Données projet'!$B$36,N27+M28-V27)))</f>
        <v>90.223076923076945</v>
      </c>
      <c r="O28" s="14">
        <f>N28*VLOOKUP('Données projet'!$B$9,Paramètres!$A$1:$I$89,3,0)*VLOOKUP('Données projet'!$B$9,Paramètres!$A$1:$I$89,5,0)</f>
        <v>53.953400000000016</v>
      </c>
      <c r="P28" s="14">
        <f t="shared" si="33"/>
        <v>15.630176867527169</v>
      </c>
      <c r="Q28" s="22">
        <f t="shared" si="2"/>
        <v>121.19139637760985</v>
      </c>
      <c r="R28" s="60">
        <f t="shared" si="0"/>
        <v>414.52472971094318</v>
      </c>
      <c r="S28" s="60">
        <f ca="1">AVERAGE(OFFSET($R$3,0,0,'Données projet'!$E$9+1,1))-AVERAGE(OFFSET($H$3,0,0,'Données projet'!$E$9+1,1))</f>
        <v>223.38593045370783</v>
      </c>
      <c r="T28" s="60">
        <f t="shared" si="34"/>
        <v>161.68519532023998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5</v>
      </c>
      <c r="AI28" s="14">
        <f>IF('Données projet'!$A$62&gt;35,AI27+AH28-AQ27,IF(A28&lt;'Données projet'!$A$62,$AF$205^A28,IF(A28='Données projet'!$A$62,'Données projet'!$B$62,AI27+AH28-AQ27)))</f>
        <v>72.987464628338969</v>
      </c>
      <c r="AJ28" s="14">
        <f>AI28*VLOOKUP('Données projet'!$B$10,Paramètres!$A$1:$I$89,3,0)*VLOOKUP('Données projet'!$B$10,Paramètres!$A$1:$I$89,5,0)</f>
        <v>43.6465038477467</v>
      </c>
      <c r="AK28" s="14">
        <f t="shared" si="35"/>
        <v>12.96019121863729</v>
      </c>
      <c r="AL28" s="22">
        <f t="shared" si="4"/>
        <v>98.589993907285461</v>
      </c>
      <c r="AM28" s="60">
        <f t="shared" si="5"/>
        <v>391.92332724061879</v>
      </c>
      <c r="AN28" s="60">
        <f ca="1">AVERAGE(OFFSET($AM$3,0,0,'Données projet'!$E$10+1,1))-AVERAGE(OFFSET($H$3,0,0,'Données projet'!$E$10+1,1))</f>
        <v>216.19747366796145</v>
      </c>
      <c r="AO28" s="60">
        <f t="shared" si="36"/>
        <v>122.08911898780889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3.4425641025641025</v>
      </c>
      <c r="BD28" s="13">
        <f>IF('Données projet'!$A$88&gt;35,BD27+BC28-BL27,IF(A28&lt;'Données projet'!$A$88,$BA$205^A28,IF(A28='Données projet'!$A$88,'Données projet'!$B$88,BD27+BC28-BL27)))</f>
        <v>47.679981195591871</v>
      </c>
      <c r="BE28" s="14">
        <f>BD28*VLOOKUP('Données projet'!$B$11,Paramètres!$A$1:$I$89,3,0)*VLOOKUP('Données projet'!$B$11,Paramètres!$A$1:$I$89,5,0)</f>
        <v>22.314231199536998</v>
      </c>
      <c r="BF28" s="14">
        <f t="shared" si="37"/>
        <v>7.1640574010122027</v>
      </c>
      <c r="BG28" s="22">
        <f t="shared" si="7"/>
        <v>51.341352645956526</v>
      </c>
      <c r="BH28" s="60">
        <f t="shared" si="8"/>
        <v>344.67468597928985</v>
      </c>
      <c r="BI28" s="60">
        <f ca="1">AVERAGE(OFFSET($BH$3,0,0,'Données projet'!$E$11+1,1))-AVERAGE(OFFSET($H$3,0,0,'Données projet'!$E$11+1,1))</f>
        <v>179.52358670810645</v>
      </c>
      <c r="BJ28" s="60">
        <f t="shared" si="38"/>
        <v>89.471764801078166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60.256410256410255</v>
      </c>
      <c r="BW28" s="13">
        <f>VLOOKUP(A28,'Données projet'!$A$113:$I$133,9,0)</f>
        <v>4.7435897435897427</v>
      </c>
      <c r="BX28" s="13">
        <f t="array" ref="BX28">INDEX(BW:BW,MIN(IF(ISNUMBER(BW28:BW224),ROW(BW28:BW224),"")))</f>
        <v>4.7435897435897427</v>
      </c>
      <c r="BY28" s="13">
        <f>IF('Données projet'!$A$114&gt;35,BY27+BX28-CG27,IF(A28&lt;'Données projet'!$A$114,$BV$205^A28,IF(A28='Données projet'!$A$114,'Données projet'!$B$114,BY27+BX28-CG27)))</f>
        <v>60.256410256410263</v>
      </c>
      <c r="BZ28" s="14">
        <f>BY28*VLOOKUP('Données projet'!$B$12,Paramètres!$A$1:$I$89,3,0)*VLOOKUP('Données projet'!$B$12,Paramètres!$A$1:$I$89,5,0)</f>
        <v>62.980000000000011</v>
      </c>
      <c r="CA28" s="14">
        <f t="shared" si="39"/>
        <v>17.919567850464976</v>
      </c>
      <c r="CB28" s="22">
        <f t="shared" si="10"/>
        <v>140.90008067289321</v>
      </c>
      <c r="CC28" s="60">
        <f t="shared" si="11"/>
        <v>434.23341400622655</v>
      </c>
      <c r="CD28" s="60">
        <f ca="1">AVERAGE(OFFSET($CC$3,0,0,'Données projet'!$E$12+1,1))-AVERAGE(OFFSET($H$3,0,0,'Données projet'!$E$12+1,1))</f>
        <v>304.57411436867147</v>
      </c>
      <c r="CE28" s="60">
        <f t="shared" si="40"/>
        <v>178.19974548556962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60.256410256410255</v>
      </c>
      <c r="CR28" s="13">
        <f>VLOOKUP(A28,'Données projet'!$A$139:$I$159,9,0)</f>
        <v>4.7435897435897427</v>
      </c>
      <c r="CS28" s="13">
        <f t="array" ref="CS28">INDEX(CR:CR,MIN(IF(ISNUMBER(CR28:CR224),ROW(CR28:CR224),"")))</f>
        <v>4.7435897435897427</v>
      </c>
      <c r="CT28" s="13">
        <f>IF('Données projet'!$A$140&gt;35,CT27+CS28-DB27,IF(A28&lt;'Données projet'!$A$140,$CQ$205^A28,IF(A28='Données projet'!$A$140,'Données projet'!$B$140,CT27+CS28-DB27)))</f>
        <v>60.256410256410263</v>
      </c>
      <c r="CU28" s="18">
        <f>CT28*VLOOKUP('Données projet'!$B$13,Paramètres!$A$1:$I$89,3,0)*VLOOKUP('Données projet'!$B$13,Paramètres!$A$1:$I$89,5,0)</f>
        <v>58.280000000000008</v>
      </c>
      <c r="CV28" s="14">
        <f t="shared" si="41"/>
        <v>16.732665651028586</v>
      </c>
      <c r="CW28" s="22">
        <f t="shared" si="13"/>
        <v>130.64705934220814</v>
      </c>
      <c r="CX28" s="60">
        <f t="shared" si="14"/>
        <v>423.98039267554145</v>
      </c>
      <c r="CY28" s="60">
        <f ca="1">AVERAGE(OFFSET($CX$3,0,0,'Données projet'!$E$13+1,1))-AVERAGE(OFFSET($H$3,0,0,'Données projet'!$E$13+1,1))</f>
        <v>279.37339904167601</v>
      </c>
      <c r="CZ28" s="60">
        <f t="shared" si="42"/>
        <v>163.80861186980007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0" t="e">
        <f t="shared" si="17"/>
        <v>#N/A</v>
      </c>
      <c r="DT28" s="60" t="e">
        <f ca="1">AVERAGE(OFFSET($DS$3,0,0,'Données projet'!$E$14+1,1))-AVERAGE(OFFSET($H$3,0,0,'Données projet'!$E$14+1,1))</f>
        <v>#N/A</v>
      </c>
      <c r="DU28" s="60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7.0979999999999981</v>
      </c>
      <c r="D29" s="12">
        <f t="shared" si="32"/>
        <v>2.6038492076799806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74.891467568055987</v>
      </c>
      <c r="H29" s="68">
        <f t="shared" si="1"/>
        <v>310.23072070337594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9.2061538461538444</v>
      </c>
      <c r="N29" s="14">
        <f>IF('Données projet'!$A$36&gt;35,N28+M29-V28,IF(A29&lt;'Données projet'!$A$36,$K$205^A29,IF(A29='Données projet'!$A$36,'Données projet'!$B$36,N28+M29-V28)))</f>
        <v>99.429230769230784</v>
      </c>
      <c r="O29" s="14">
        <f>N29*VLOOKUP('Données projet'!$B$9,Paramètres!$A$1:$I$89,3,0)*VLOOKUP('Données projet'!$B$9,Paramètres!$A$1:$I$89,5,0)</f>
        <v>59.458680000000015</v>
      </c>
      <c r="P29" s="14">
        <f t="shared" si="33"/>
        <v>17.03133422624343</v>
      </c>
      <c r="Q29" s="22">
        <f t="shared" si="2"/>
        <v>133.22010811070734</v>
      </c>
      <c r="R29" s="60">
        <f t="shared" si="0"/>
        <v>426.55344144404069</v>
      </c>
      <c r="S29" s="60">
        <f ca="1">AVERAGE(OFFSET($R$3,0,0,'Données projet'!$E$9+1,1))-AVERAGE(OFFSET($H$3,0,0,'Données projet'!$E$9+1,1))</f>
        <v>223.38593045370783</v>
      </c>
      <c r="T29" s="60">
        <f t="shared" si="34"/>
        <v>161.68519532023998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5</v>
      </c>
      <c r="AI29" s="14">
        <f>IF('Données projet'!$A$62&gt;35,AI28+AH29-AQ28,IF(A29&lt;'Données projet'!$A$62,$AF$205^A29,IF(A29='Données projet'!$A$62,'Données projet'!$B$62,AI28+AH29-AQ28)))</f>
        <v>86.65192375368558</v>
      </c>
      <c r="AJ29" s="14">
        <f>AI29*VLOOKUP('Données projet'!$B$10,Paramètres!$A$1:$I$89,3,0)*VLOOKUP('Données projet'!$B$10,Paramètres!$A$1:$I$89,5,0)</f>
        <v>51.817850404703975</v>
      </c>
      <c r="AK29" s="14">
        <f t="shared" si="35"/>
        <v>15.082247261547371</v>
      </c>
      <c r="AL29" s="22">
        <f t="shared" si="4"/>
        <v>116.51767010205441</v>
      </c>
      <c r="AM29" s="60">
        <f t="shared" si="5"/>
        <v>409.85100343538772</v>
      </c>
      <c r="AN29" s="60">
        <f ca="1">AVERAGE(OFFSET($AM$3,0,0,'Données projet'!$E$10+1,1))-AVERAGE(OFFSET($H$3,0,0,'Données projet'!$E$10+1,1))</f>
        <v>216.19747366796145</v>
      </c>
      <c r="AO29" s="60">
        <f t="shared" si="36"/>
        <v>122.08911898780889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3.4425641025641025</v>
      </c>
      <c r="BD29" s="13">
        <f>IF('Données projet'!$A$88&gt;35,BD28+BC29-BL28,IF(A29&lt;'Données projet'!$A$88,$BA$205^A29,IF(A29='Données projet'!$A$88,'Données projet'!$B$88,BD28+BC29-BL28)))</f>
        <v>55.650557381086244</v>
      </c>
      <c r="BE29" s="14">
        <f>BD29*VLOOKUP('Données projet'!$B$11,Paramètres!$A$1:$I$89,3,0)*VLOOKUP('Données projet'!$B$11,Paramètres!$A$1:$I$89,5,0)</f>
        <v>26.044460854348362</v>
      </c>
      <c r="BF29" s="14">
        <f t="shared" si="37"/>
        <v>8.2125526568599181</v>
      </c>
      <c r="BG29" s="22">
        <f t="shared" si="7"/>
        <v>59.664298532021071</v>
      </c>
      <c r="BH29" s="60">
        <f t="shared" si="8"/>
        <v>352.99763186535438</v>
      </c>
      <c r="BI29" s="60">
        <f ca="1">AVERAGE(OFFSET($BH$3,0,0,'Données projet'!$E$11+1,1))-AVERAGE(OFFSET($H$3,0,0,'Données projet'!$E$11+1,1))</f>
        <v>179.52358670810645</v>
      </c>
      <c r="BJ29" s="60">
        <f t="shared" si="38"/>
        <v>89.471764801078166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4.9999999999999982</v>
      </c>
      <c r="BY29" s="13">
        <f>IF('Données projet'!$A$114&gt;35,BY28+BX29-CG28,IF(A29&lt;'Données projet'!$A$114,$BV$205^A29,IF(A29='Données projet'!$A$114,'Données projet'!$B$114,BY28+BX29-CG28)))</f>
        <v>65.256410256410263</v>
      </c>
      <c r="BZ29" s="14">
        <f>BY29*VLOOKUP('Données projet'!$B$12,Paramètres!$A$1:$I$89,3,0)*VLOOKUP('Données projet'!$B$12,Paramètres!$A$1:$I$89,5,0)</f>
        <v>68.206000000000017</v>
      </c>
      <c r="CA29" s="14">
        <f t="shared" si="39"/>
        <v>19.227273197650447</v>
      </c>
      <c r="CB29" s="22">
        <f t="shared" si="10"/>
        <v>152.27961748590789</v>
      </c>
      <c r="CC29" s="60">
        <f t="shared" si="11"/>
        <v>445.61295081924118</v>
      </c>
      <c r="CD29" s="60">
        <f ca="1">AVERAGE(OFFSET($CC$3,0,0,'Données projet'!$E$12+1,1))-AVERAGE(OFFSET($H$3,0,0,'Données projet'!$E$12+1,1))</f>
        <v>304.57411436867147</v>
      </c>
      <c r="CE29" s="60">
        <f t="shared" si="40"/>
        <v>178.19974548556962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4.9999999999999982</v>
      </c>
      <c r="CT29" s="13">
        <f>IF('Données projet'!$A$140&gt;35,CT28+CS29-DB28,IF(A29&lt;'Données projet'!$A$140,$CQ$205^A29,IF(A29='Données projet'!$A$140,'Données projet'!$B$140,CT28+CS29-DB28)))</f>
        <v>65.256410256410263</v>
      </c>
      <c r="CU29" s="18">
        <f>CT29*VLOOKUP('Données projet'!$B$13,Paramètres!$A$1:$I$89,3,0)*VLOOKUP('Données projet'!$B$13,Paramètres!$A$1:$I$89,5,0)</f>
        <v>63.116</v>
      </c>
      <c r="CV29" s="14">
        <f t="shared" si="41"/>
        <v>17.953755162065473</v>
      </c>
      <c r="CW29" s="22">
        <f t="shared" si="13"/>
        <v>141.19649024059737</v>
      </c>
      <c r="CX29" s="60">
        <f t="shared" si="14"/>
        <v>434.52982357393068</v>
      </c>
      <c r="CY29" s="60">
        <f ca="1">AVERAGE(OFFSET($CX$3,0,0,'Données projet'!$E$13+1,1))-AVERAGE(OFFSET($H$3,0,0,'Données projet'!$E$13+1,1))</f>
        <v>279.37339904167601</v>
      </c>
      <c r="CZ29" s="60">
        <f t="shared" si="42"/>
        <v>163.80861186980007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0" t="e">
        <f t="shared" si="17"/>
        <v>#N/A</v>
      </c>
      <c r="DT29" s="60" t="e">
        <f ca="1">AVERAGE(OFFSET($DS$3,0,0,'Données projet'!$E$14+1,1))-AVERAGE(OFFSET($H$3,0,0,'Données projet'!$E$14+1,1))</f>
        <v>#N/A</v>
      </c>
      <c r="DU29" s="60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7.3709999999999978</v>
      </c>
      <c r="D30" s="12">
        <f t="shared" si="32"/>
        <v>2.6921447170223822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77.680415359471013</v>
      </c>
      <c r="H30" s="68">
        <f t="shared" si="1"/>
        <v>310.85997704881396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9.2061538461538444</v>
      </c>
      <c r="N30" s="14">
        <f>IF('Données projet'!$A$36&gt;35,N29+M30-V29,IF(A30&lt;'Données projet'!$A$36,$K$205^A30,IF(A30='Données projet'!$A$36,'Données projet'!$B$36,N29+M30-V29)))</f>
        <v>108.63538461538462</v>
      </c>
      <c r="O30" s="14">
        <f>N30*VLOOKUP('Données projet'!$B$9,Paramètres!$A$1:$I$89,3,0)*VLOOKUP('Données projet'!$B$9,Paramètres!$A$1:$I$89,5,0)</f>
        <v>64.96396</v>
      </c>
      <c r="P30" s="14">
        <f t="shared" si="33"/>
        <v>18.417449057593839</v>
      </c>
      <c r="Q30" s="22">
        <f t="shared" si="2"/>
        <v>145.22262077530925</v>
      </c>
      <c r="R30" s="60">
        <f t="shared" si="0"/>
        <v>438.5559541086426</v>
      </c>
      <c r="S30" s="60">
        <f ca="1">AVERAGE(OFFSET($R$3,0,0,'Données projet'!$E$9+1,1))-AVERAGE(OFFSET($H$3,0,0,'Données projet'!$E$9+1,1))</f>
        <v>223.38593045370783</v>
      </c>
      <c r="T30" s="60">
        <f t="shared" si="34"/>
        <v>161.68519532023998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5</v>
      </c>
      <c r="AI30" s="14">
        <f>IF('Données projet'!$A$62&gt;35,AI29+AH30-AQ29,IF(A30&lt;'Données projet'!$A$62,$AF$205^A30,IF(A30='Données projet'!$A$62,'Données projet'!$B$62,AI29+AH30-AQ29)))</f>
        <v>102.87459536303965</v>
      </c>
      <c r="AJ30" s="14">
        <f>AI30*VLOOKUP('Données projet'!$B$10,Paramètres!$A$1:$I$89,3,0)*VLOOKUP('Données projet'!$B$10,Paramètres!$A$1:$I$89,5,0)</f>
        <v>61.519008027097712</v>
      </c>
      <c r="AK30" s="14">
        <f t="shared" si="35"/>
        <v>17.551761283532294</v>
      </c>
      <c r="AL30" s="22">
        <f t="shared" si="4"/>
        <v>137.71492321601389</v>
      </c>
      <c r="AM30" s="60">
        <f t="shared" si="5"/>
        <v>431.04825654934723</v>
      </c>
      <c r="AN30" s="60">
        <f ca="1">AVERAGE(OFFSET($AM$3,0,0,'Données projet'!$E$10+1,1))-AVERAGE(OFFSET($H$3,0,0,'Données projet'!$E$10+1,1))</f>
        <v>216.19747366796145</v>
      </c>
      <c r="AO30" s="60">
        <f t="shared" si="36"/>
        <v>122.08911898780889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3.4425641025641025</v>
      </c>
      <c r="BD30" s="13">
        <f>IF('Données projet'!$A$88&gt;35,BD29+BC30-BL29,IF(A30&lt;'Données projet'!$A$88,$BA$205^A30,IF(A30='Données projet'!$A$88,'Données projet'!$B$88,BD29+BC30-BL29)))</f>
        <v>64.953560365747308</v>
      </c>
      <c r="BE30" s="14">
        <f>BD30*VLOOKUP('Données projet'!$B$11,Paramètres!$A$1:$I$89,3,0)*VLOOKUP('Données projet'!$B$11,Paramètres!$A$1:$I$89,5,0)</f>
        <v>30.398266251169741</v>
      </c>
      <c r="BF30" s="14">
        <f t="shared" si="37"/>
        <v>9.4145003824463398</v>
      </c>
      <c r="BG30" s="22">
        <f t="shared" si="7"/>
        <v>69.340568553547996</v>
      </c>
      <c r="BH30" s="60">
        <f t="shared" si="8"/>
        <v>362.67390188688131</v>
      </c>
      <c r="BI30" s="60">
        <f ca="1">AVERAGE(OFFSET($BH$3,0,0,'Données projet'!$E$11+1,1))-AVERAGE(OFFSET($H$3,0,0,'Données projet'!$E$11+1,1))</f>
        <v>179.52358670810645</v>
      </c>
      <c r="BJ30" s="60">
        <f t="shared" si="38"/>
        <v>89.471764801078166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4.9999999999999982</v>
      </c>
      <c r="BY30" s="13">
        <f>IF('Données projet'!$A$114&gt;35,BY29+BX30-CG29,IF(A30&lt;'Données projet'!$A$114,$BV$205^A30,IF(A30='Données projet'!$A$114,'Données projet'!$B$114,BY29+BX30-CG29)))</f>
        <v>70.256410256410263</v>
      </c>
      <c r="BZ30" s="14">
        <f>BY30*VLOOKUP('Données projet'!$B$12,Paramètres!$A$1:$I$89,3,0)*VLOOKUP('Données projet'!$B$12,Paramètres!$A$1:$I$89,5,0)</f>
        <v>73.432000000000016</v>
      </c>
      <c r="CA30" s="14">
        <f t="shared" si="39"/>
        <v>20.523355416867822</v>
      </c>
      <c r="CB30" s="22">
        <f t="shared" si="10"/>
        <v>163.63891068437815</v>
      </c>
      <c r="CC30" s="60">
        <f t="shared" si="11"/>
        <v>456.97224401771143</v>
      </c>
      <c r="CD30" s="60">
        <f ca="1">AVERAGE(OFFSET($CC$3,0,0,'Données projet'!$E$12+1,1))-AVERAGE(OFFSET($H$3,0,0,'Données projet'!$E$12+1,1))</f>
        <v>304.57411436867147</v>
      </c>
      <c r="CE30" s="60">
        <f t="shared" si="40"/>
        <v>178.19974548556962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4.9999999999999982</v>
      </c>
      <c r="CT30" s="13">
        <f>IF('Données projet'!$A$140&gt;35,CT29+CS30-DB29,IF(A30&lt;'Données projet'!$A$140,$CQ$205^A30,IF(A30='Données projet'!$A$140,'Données projet'!$B$140,CT29+CS30-DB29)))</f>
        <v>70.256410256410263</v>
      </c>
      <c r="CU30" s="18">
        <f>CT30*VLOOKUP('Données projet'!$B$13,Paramètres!$A$1:$I$89,3,0)*VLOOKUP('Données projet'!$B$13,Paramètres!$A$1:$I$89,5,0)</f>
        <v>67.951999999999998</v>
      </c>
      <c r="CV30" s="14">
        <f t="shared" si="41"/>
        <v>19.163991402770616</v>
      </c>
      <c r="CW30" s="22">
        <f t="shared" si="13"/>
        <v>151.72701835982551</v>
      </c>
      <c r="CX30" s="60">
        <f t="shared" si="14"/>
        <v>445.06035169315885</v>
      </c>
      <c r="CY30" s="60">
        <f ca="1">AVERAGE(OFFSET($CX$3,0,0,'Données projet'!$E$13+1,1))-AVERAGE(OFFSET($H$3,0,0,'Données projet'!$E$13+1,1))</f>
        <v>279.37339904167601</v>
      </c>
      <c r="CZ30" s="60">
        <f t="shared" si="42"/>
        <v>163.80861186980007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0" t="e">
        <f t="shared" si="17"/>
        <v>#N/A</v>
      </c>
      <c r="DT30" s="60" t="e">
        <f ca="1">AVERAGE(OFFSET($DS$3,0,0,'Données projet'!$E$14+1,1))-AVERAGE(OFFSET($H$3,0,0,'Données projet'!$E$14+1,1))</f>
        <v>#N/A</v>
      </c>
      <c r="DU30" s="60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7.6439999999999975</v>
      </c>
      <c r="D31" s="12">
        <f t="shared" si="32"/>
        <v>2.7800603022041299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80.466430402979242</v>
      </c>
      <c r="H31" s="68">
        <f t="shared" si="1"/>
        <v>311.4885716930055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9.2061538461538444</v>
      </c>
      <c r="N31" s="14">
        <f>IF('Données projet'!$A$36&gt;35,N30+M31-V30,IF(A31&lt;'Données projet'!$A$36,$K$205^A31,IF(A31='Données projet'!$A$36,'Données projet'!$B$36,N30+M31-V30)))</f>
        <v>117.84153846153846</v>
      </c>
      <c r="O31" s="14">
        <f>N31*VLOOKUP('Données projet'!$B$9,Paramètres!$A$1:$I$89,3,0)*VLOOKUP('Données projet'!$B$9,Paramètres!$A$1:$I$89,5,0)</f>
        <v>70.469239999999999</v>
      </c>
      <c r="P31" s="14">
        <f t="shared" si="33"/>
        <v>19.789941051979458</v>
      </c>
      <c r="Q31" s="22">
        <f t="shared" si="2"/>
        <v>157.2014069988642</v>
      </c>
      <c r="R31" s="60">
        <f t="shared" si="0"/>
        <v>450.53474033219754</v>
      </c>
      <c r="S31" s="60">
        <f ca="1">AVERAGE(OFFSET($R$3,0,0,'Données projet'!$E$9+1,1))-AVERAGE(OFFSET($H$3,0,0,'Données projet'!$E$9+1,1))</f>
        <v>223.38593045370783</v>
      </c>
      <c r="T31" s="60">
        <f t="shared" si="34"/>
        <v>161.68519532023998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5</v>
      </c>
      <c r="AI31" s="14">
        <f>IF('Données projet'!$A$62&gt;35,AI30+AH31-AQ30,IF(A31&lt;'Données projet'!$A$62,$AF$205^A31,IF(A31='Données projet'!$A$62,'Données projet'!$B$62,AI30+AH31-AQ30)))</f>
        <v>122.13441909486748</v>
      </c>
      <c r="AJ31" s="14">
        <f>AI31*VLOOKUP('Données projet'!$B$10,Paramètres!$A$1:$I$89,3,0)*VLOOKUP('Données projet'!$B$10,Paramètres!$A$1:$I$89,5,0)</f>
        <v>73.036382618730755</v>
      </c>
      <c r="AK31" s="14">
        <f t="shared" si="35"/>
        <v>20.425624829764068</v>
      </c>
      <c r="AL31" s="22">
        <f t="shared" si="4"/>
        <v>162.77966297279517</v>
      </c>
      <c r="AM31" s="60">
        <f t="shared" si="5"/>
        <v>456.11299630612848</v>
      </c>
      <c r="AN31" s="60">
        <f ca="1">AVERAGE(OFFSET($AM$3,0,0,'Données projet'!$E$10+1,1))-AVERAGE(OFFSET($H$3,0,0,'Données projet'!$E$10+1,1))</f>
        <v>216.19747366796145</v>
      </c>
      <c r="AO31" s="60">
        <f t="shared" si="36"/>
        <v>122.08911898780889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3.4425641025641025</v>
      </c>
      <c r="BD31" s="13">
        <f>IF('Données projet'!$A$88&gt;35,BD30+BC31-BL30,IF(A31&lt;'Données projet'!$A$88,$BA$205^A31,IF(A31='Données projet'!$A$88,'Données projet'!$B$88,BD30+BC31-BL30)))</f>
        <v>75.81172952673181</v>
      </c>
      <c r="BE31" s="14">
        <f>BD31*VLOOKUP('Données projet'!$B$11,Paramètres!$A$1:$I$89,3,0)*VLOOKUP('Données projet'!$B$11,Paramètres!$A$1:$I$89,5,0)</f>
        <v>35.479889418510488</v>
      </c>
      <c r="BF31" s="14">
        <f t="shared" si="37"/>
        <v>10.7923591061602</v>
      </c>
      <c r="BG31" s="22">
        <f t="shared" si="7"/>
        <v>80.590832847134777</v>
      </c>
      <c r="BH31" s="60">
        <f t="shared" si="8"/>
        <v>373.92416618046809</v>
      </c>
      <c r="BI31" s="60">
        <f ca="1">AVERAGE(OFFSET($BH$3,0,0,'Données projet'!$E$11+1,1))-AVERAGE(OFFSET($H$3,0,0,'Données projet'!$E$11+1,1))</f>
        <v>179.52358670810645</v>
      </c>
      <c r="BJ31" s="60">
        <f t="shared" si="38"/>
        <v>89.471764801078166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4.9999999999999982</v>
      </c>
      <c r="BY31" s="13">
        <f>IF('Données projet'!$A$114&gt;35,BY30+BX31-CG30,IF(A31&lt;'Données projet'!$A$114,$BV$205^A31,IF(A31='Données projet'!$A$114,'Données projet'!$B$114,BY30+BX31-CG30)))</f>
        <v>75.256410256410263</v>
      </c>
      <c r="BZ31" s="14">
        <f>BY31*VLOOKUP('Données projet'!$B$12,Paramètres!$A$1:$I$89,3,0)*VLOOKUP('Données projet'!$B$12,Paramètres!$A$1:$I$89,5,0)</f>
        <v>78.658000000000015</v>
      </c>
      <c r="CA31" s="14">
        <f t="shared" si="39"/>
        <v>21.808735783232525</v>
      </c>
      <c r="CB31" s="22">
        <f t="shared" si="10"/>
        <v>174.97956482246332</v>
      </c>
      <c r="CC31" s="60">
        <f t="shared" si="11"/>
        <v>468.31289815579663</v>
      </c>
      <c r="CD31" s="60">
        <f ca="1">AVERAGE(OFFSET($CC$3,0,0,'Données projet'!$E$12+1,1))-AVERAGE(OFFSET($H$3,0,0,'Données projet'!$E$12+1,1))</f>
        <v>304.57411436867147</v>
      </c>
      <c r="CE31" s="60">
        <f t="shared" si="40"/>
        <v>178.19974548556962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4.9999999999999982</v>
      </c>
      <c r="CT31" s="13">
        <f>IF('Données projet'!$A$140&gt;35,CT30+CS31-DB30,IF(A31&lt;'Données projet'!$A$140,$CQ$205^A31,IF(A31='Données projet'!$A$140,'Données projet'!$B$140,CT30+CS31-DB30)))</f>
        <v>75.256410256410263</v>
      </c>
      <c r="CU31" s="18">
        <f>CT31*VLOOKUP('Données projet'!$B$13,Paramètres!$A$1:$I$89,3,0)*VLOOKUP('Données projet'!$B$13,Paramètres!$A$1:$I$89,5,0)</f>
        <v>72.788000000000011</v>
      </c>
      <c r="CV31" s="14">
        <f t="shared" si="41"/>
        <v>20.364234627621538</v>
      </c>
      <c r="CW31" s="22">
        <f t="shared" si="13"/>
        <v>162.24014197644087</v>
      </c>
      <c r="CX31" s="60">
        <f t="shared" si="14"/>
        <v>455.57347530977415</v>
      </c>
      <c r="CY31" s="60">
        <f ca="1">AVERAGE(OFFSET($CX$3,0,0,'Données projet'!$E$13+1,1))-AVERAGE(OFFSET($H$3,0,0,'Données projet'!$E$13+1,1))</f>
        <v>279.37339904167601</v>
      </c>
      <c r="CZ31" s="60">
        <f t="shared" si="42"/>
        <v>163.80861186980007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0" t="e">
        <f t="shared" si="17"/>
        <v>#N/A</v>
      </c>
      <c r="DT31" s="60" t="e">
        <f ca="1">AVERAGE(OFFSET($DS$3,0,0,'Données projet'!$E$14+1,1))-AVERAGE(OFFSET($H$3,0,0,'Données projet'!$E$14+1,1))</f>
        <v>#N/A</v>
      </c>
      <c r="DU31" s="60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7.9169999999999972</v>
      </c>
      <c r="D32" s="12">
        <f t="shared" si="32"/>
        <v>2.8676110864391293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83.24962943917923</v>
      </c>
      <c r="H32" s="68">
        <f t="shared" si="1"/>
        <v>312.11653097554813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9.2061538461538444</v>
      </c>
      <c r="N32" s="14">
        <f>IF('Données projet'!$A$36&gt;35,N31+M32-V31,IF(A32&lt;'Données projet'!$A$36,$K$205^A32,IF(A32='Données projet'!$A$36,'Données projet'!$B$36,N31+M32-V31)))</f>
        <v>127.0476923076923</v>
      </c>
      <c r="O32" s="14">
        <f>N32*VLOOKUP('Données projet'!$B$9,Paramètres!$A$1:$I$89,3,0)*VLOOKUP('Données projet'!$B$9,Paramètres!$A$1:$I$89,5,0)</f>
        <v>75.974519999999998</v>
      </c>
      <c r="P32" s="14">
        <f t="shared" si="33"/>
        <v>21.149995469424425</v>
      </c>
      <c r="Q32" s="22">
        <f t="shared" si="2"/>
        <v>169.15853110924755</v>
      </c>
      <c r="R32" s="60">
        <f t="shared" si="0"/>
        <v>462.49186444258089</v>
      </c>
      <c r="S32" s="60">
        <f ca="1">AVERAGE(OFFSET($R$3,0,0,'Données projet'!$E$9+1,1))-AVERAGE(OFFSET($H$3,0,0,'Données projet'!$E$9+1,1))</f>
        <v>223.38593045370783</v>
      </c>
      <c r="T32" s="60">
        <f t="shared" si="34"/>
        <v>161.68519532023998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>
        <f>VLOOKUP(A32,'Données projet'!$A$61:$I$81,2,0)</f>
        <v>145</v>
      </c>
      <c r="AG32" s="13">
        <f>VLOOKUP(A32,'Données projet'!$A$61:$I$81,9,0)</f>
        <v>5</v>
      </c>
      <c r="AH32" s="13">
        <f t="array" ref="AH32">INDEX(AG:AG,MIN(IF(ISNUMBER(AG32:AG228),ROW(AG32:AG228),"")))</f>
        <v>5</v>
      </c>
      <c r="AI32" s="14">
        <f>IF('Données projet'!$A$62&gt;35,AI31+AH32-AQ31,IF(A32&lt;'Données projet'!$A$62,$AF$205^A32,IF(A32='Données projet'!$A$62,'Données projet'!$B$62,AI31+AH32-AQ31)))</f>
        <v>145</v>
      </c>
      <c r="AJ32" s="14">
        <f>AI32*VLOOKUP('Données projet'!$B$10,Paramètres!$A$1:$I$89,3,0)*VLOOKUP('Données projet'!$B$10,Paramètres!$A$1:$I$89,5,0)</f>
        <v>86.710000000000008</v>
      </c>
      <c r="AK32" s="14">
        <f t="shared" si="35"/>
        <v>23.770044666555087</v>
      </c>
      <c r="AL32" s="22">
        <f t="shared" si="4"/>
        <v>192.41941112758346</v>
      </c>
      <c r="AM32" s="60">
        <f t="shared" si="5"/>
        <v>485.7527444609168</v>
      </c>
      <c r="AN32" s="60">
        <f ca="1">AVERAGE(OFFSET($AM$3,0,0,'Données projet'!$E$10+1,1))-AVERAGE(OFFSET($H$3,0,0,'Données projet'!$E$10+1,1))</f>
        <v>216.19747366796145</v>
      </c>
      <c r="AO32" s="60">
        <f t="shared" si="36"/>
        <v>122.08911898780889</v>
      </c>
      <c r="AP32" s="16">
        <f>IF(ISNA(VLOOKUP(A32,'Données projet'!$A$61:$I$81,3,0)),0,VLOOKUP(A32,'Données projet'!$A$61:$I$81,3,0))</f>
        <v>1</v>
      </c>
      <c r="AQ32" s="16">
        <f>IF(ISNA(VLOOKUP(A32,'Données projet'!$A$61:$I$81,4,0)),0,VLOOKUP(A32,'Données projet'!$A$61:$I$81,4,0))</f>
        <v>52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0.5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17.603947761941495</v>
      </c>
      <c r="AX32" s="23">
        <f t="shared" si="6"/>
        <v>17.603947761941495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3.4425641025641025</v>
      </c>
      <c r="BD32" s="13">
        <f>IF('Données projet'!$A$88&gt;35,BD31+BC32-BL31,IF(A32&lt;'Données projet'!$A$88,$BA$205^A32,IF(A32='Données projet'!$A$88,'Données projet'!$B$88,BD31+BC32-BL31)))</f>
        <v>88.485039179856727</v>
      </c>
      <c r="BE32" s="14">
        <f>BD32*VLOOKUP('Données projet'!$B$11,Paramètres!$A$1:$I$89,3,0)*VLOOKUP('Données projet'!$B$11,Paramètres!$A$1:$I$89,5,0)</f>
        <v>41.410998336172952</v>
      </c>
      <c r="BF32" s="14">
        <f t="shared" si="37"/>
        <v>12.371874273168087</v>
      </c>
      <c r="BG32" s="22">
        <f t="shared" si="7"/>
        <v>93.671836461268967</v>
      </c>
      <c r="BH32" s="60">
        <f t="shared" si="8"/>
        <v>387.0051697946023</v>
      </c>
      <c r="BI32" s="60">
        <f ca="1">AVERAGE(OFFSET($BH$3,0,0,'Données projet'!$E$11+1,1))-AVERAGE(OFFSET($H$3,0,0,'Données projet'!$E$11+1,1))</f>
        <v>179.52358670810645</v>
      </c>
      <c r="BJ32" s="60">
        <f t="shared" si="38"/>
        <v>89.471764801078166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4.9999999999999982</v>
      </c>
      <c r="BY32" s="13">
        <f>IF('Données projet'!$A$114&gt;35,BY31+BX32-CG31,IF(A32&lt;'Données projet'!$A$114,$BV$205^A32,IF(A32='Données projet'!$A$114,'Données projet'!$B$114,BY31+BX32-CG31)))</f>
        <v>80.256410256410263</v>
      </c>
      <c r="BZ32" s="14">
        <f>BY32*VLOOKUP('Données projet'!$B$12,Paramètres!$A$1:$I$89,3,0)*VLOOKUP('Données projet'!$B$12,Paramètres!$A$1:$I$89,5,0)</f>
        <v>83.884000000000015</v>
      </c>
      <c r="CA32" s="14">
        <f t="shared" si="39"/>
        <v>23.08420622837572</v>
      </c>
      <c r="CB32" s="22">
        <f t="shared" si="10"/>
        <v>186.30295918108774</v>
      </c>
      <c r="CC32" s="60">
        <f t="shared" si="11"/>
        <v>479.63629251442103</v>
      </c>
      <c r="CD32" s="60">
        <f ca="1">AVERAGE(OFFSET($CC$3,0,0,'Données projet'!$E$12+1,1))-AVERAGE(OFFSET($H$3,0,0,'Données projet'!$E$12+1,1))</f>
        <v>304.57411436867147</v>
      </c>
      <c r="CE32" s="60">
        <f t="shared" si="40"/>
        <v>178.19974548556962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4.9999999999999982</v>
      </c>
      <c r="CT32" s="13">
        <f>IF('Données projet'!$A$140&gt;35,CT31+CS32-DB31,IF(A32&lt;'Données projet'!$A$140,$CQ$205^A32,IF(A32='Données projet'!$A$140,'Données projet'!$B$140,CT31+CS32-DB31)))</f>
        <v>80.256410256410263</v>
      </c>
      <c r="CU32" s="18">
        <f>CT32*VLOOKUP('Données projet'!$B$13,Paramètres!$A$1:$I$89,3,0)*VLOOKUP('Données projet'!$B$13,Paramètres!$A$1:$I$89,5,0)</f>
        <v>77.624000000000009</v>
      </c>
      <c r="CV32" s="14">
        <f t="shared" si="41"/>
        <v>21.555224314674533</v>
      </c>
      <c r="CW32" s="22">
        <f t="shared" si="13"/>
        <v>172.73714901472479</v>
      </c>
      <c r="CX32" s="60">
        <f t="shared" si="14"/>
        <v>466.07048234805814</v>
      </c>
      <c r="CY32" s="60">
        <f ca="1">AVERAGE(OFFSET($CX$3,0,0,'Données projet'!$E$13+1,1))-AVERAGE(OFFSET($H$3,0,0,'Données projet'!$E$13+1,1))</f>
        <v>279.37339904167601</v>
      </c>
      <c r="CZ32" s="60">
        <f t="shared" si="42"/>
        <v>163.80861186980007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0" t="e">
        <f t="shared" si="17"/>
        <v>#N/A</v>
      </c>
      <c r="DT32" s="60" t="e">
        <f ca="1">AVERAGE(OFFSET($DS$3,0,0,'Données projet'!$E$14+1,1))-AVERAGE(OFFSET($H$3,0,0,'Données projet'!$E$14+1,1))</f>
        <v>#N/A</v>
      </c>
      <c r="DU32" s="60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8.1899999999999977</v>
      </c>
      <c r="D33" s="12">
        <f t="shared" si="32"/>
        <v>2.9548110908066181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86.030120700963366</v>
      </c>
      <c r="H33" s="68">
        <f t="shared" si="1"/>
        <v>312.74387931648818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136.25384615384615</v>
      </c>
      <c r="L33" s="13">
        <f>VLOOKUP(A33,'Données projet'!$A$35:$I$55,9,0)</f>
        <v>9.2061538461538444</v>
      </c>
      <c r="M33" s="13">
        <f t="array" ref="M33">INDEX(L:L,MIN(IF(ISNUMBER(L33:L229),ROW(L33:L229),"")))</f>
        <v>9.2061538461538444</v>
      </c>
      <c r="N33" s="14">
        <f>IF('Données projet'!$A$36&gt;35,N32+M33-V32,IF(A33&lt;'Données projet'!$A$36,$K$205^A33,IF(A33='Données projet'!$A$36,'Données projet'!$B$36,N32+M33-V32)))</f>
        <v>136.25384615384615</v>
      </c>
      <c r="O33" s="14">
        <f>N33*VLOOKUP('Données projet'!$B$9,Paramètres!$A$1:$I$89,3,0)*VLOOKUP('Données projet'!$B$9,Paramètres!$A$1:$I$89,5,0)</f>
        <v>81.479799999999997</v>
      </c>
      <c r="P33" s="14">
        <f t="shared" si="33"/>
        <v>22.498616059365453</v>
      </c>
      <c r="Q33" s="22">
        <f t="shared" si="2"/>
        <v>181.09574130339482</v>
      </c>
      <c r="R33" s="60">
        <f t="shared" si="0"/>
        <v>474.42907463672816</v>
      </c>
      <c r="S33" s="60">
        <f ca="1">AVERAGE(OFFSET($R$3,0,0,'Données projet'!$E$9+1,1))-AVERAGE(OFFSET($H$3,0,0,'Données projet'!$E$9+1,1))</f>
        <v>223.38593045370783</v>
      </c>
      <c r="T33" s="60">
        <f t="shared" si="34"/>
        <v>161.68519532023998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12.777777777777779</v>
      </c>
      <c r="AI33" s="14">
        <f>IF('Données projet'!$A$62&gt;35,AI32+AH33-AQ32,IF(A33&lt;'Données projet'!$A$62,$AF$205^A33,IF(A33='Données projet'!$A$62,'Données projet'!$B$62,AI32+AH33-AQ32)))</f>
        <v>105.77777777777777</v>
      </c>
      <c r="AJ33" s="14">
        <f>AI33*VLOOKUP('Données projet'!$B$10,Paramètres!$A$1:$I$89,3,0)*VLOOKUP('Données projet'!$B$10,Paramètres!$A$1:$I$89,5,0)</f>
        <v>63.255111111111106</v>
      </c>
      <c r="AK33" s="14">
        <f t="shared" si="35"/>
        <v>17.988715666475738</v>
      </c>
      <c r="AL33" s="22">
        <f t="shared" si="4"/>
        <v>141.49966497096375</v>
      </c>
      <c r="AM33" s="60">
        <f t="shared" si="5"/>
        <v>434.83299830429706</v>
      </c>
      <c r="AN33" s="60">
        <f ca="1">AVERAGE(OFFSET($AM$3,0,0,'Données projet'!$E$10+1,1))-AVERAGE(OFFSET($H$3,0,0,'Données projet'!$E$10+1,1))</f>
        <v>216.19747366796145</v>
      </c>
      <c r="AO33" s="60">
        <f t="shared" si="36"/>
        <v>122.08911898780889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12.447870838122578</v>
      </c>
      <c r="AX33" s="23">
        <f t="shared" si="6"/>
        <v>12.447870838122578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103.27692307692307</v>
      </c>
      <c r="BB33" s="13">
        <f>VLOOKUP(A33,'Données projet'!$A$87:$I$107,9,0)</f>
        <v>3.4425641025641025</v>
      </c>
      <c r="BC33" s="13">
        <f t="array" ref="BC33">INDEX(BB:BB,MIN(IF(ISNUMBER(BB33:BB229),ROW(BB33:BB229),"")))</f>
        <v>3.4425641025641025</v>
      </c>
      <c r="BD33" s="13">
        <f>IF('Données projet'!$A$88&gt;35,BD32+BC33-BL32,IF(A33&lt;'Données projet'!$A$88,$BA$205^A33,IF(A33='Données projet'!$A$88,'Données projet'!$B$88,BD32+BC33-BL32)))</f>
        <v>103.27692307692307</v>
      </c>
      <c r="BE33" s="14">
        <f>BD33*VLOOKUP('Données projet'!$B$11,Paramètres!$A$1:$I$89,3,0)*VLOOKUP('Données projet'!$B$11,Paramètres!$A$1:$I$89,5,0)</f>
        <v>48.333599999999997</v>
      </c>
      <c r="BF33" s="14">
        <f t="shared" si="37"/>
        <v>14.182559301951969</v>
      </c>
      <c r="BG33" s="22">
        <f t="shared" si="7"/>
        <v>108.88231078423301</v>
      </c>
      <c r="BH33" s="60">
        <f t="shared" si="8"/>
        <v>402.21564411756634</v>
      </c>
      <c r="BI33" s="60">
        <f ca="1">AVERAGE(OFFSET($BH$3,0,0,'Données projet'!$E$11+1,1))-AVERAGE(OFFSET($H$3,0,0,'Données projet'!$E$11+1,1))</f>
        <v>179.52358670810645</v>
      </c>
      <c r="BJ33" s="60">
        <f t="shared" si="38"/>
        <v>89.471764801078166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85.256410256410248</v>
      </c>
      <c r="BW33" s="13">
        <f>VLOOKUP(A33,'Données projet'!$A$113:$I$133,9,0)</f>
        <v>4.9999999999999982</v>
      </c>
      <c r="BX33" s="13">
        <f t="array" ref="BX33">INDEX(BW:BW,MIN(IF(ISNUMBER(BW33:BW229),ROW(BW33:BW229),"")))</f>
        <v>4.9999999999999982</v>
      </c>
      <c r="BY33" s="13">
        <f>IF('Données projet'!$A$114&gt;35,BY32+BX33-CG32,IF(A33&lt;'Données projet'!$A$114,$BV$205^A33,IF(A33='Données projet'!$A$114,'Données projet'!$B$114,BY32+BX33-CG32)))</f>
        <v>85.256410256410263</v>
      </c>
      <c r="BZ33" s="14">
        <f>BY33*VLOOKUP('Données projet'!$B$12,Paramètres!$A$1:$I$89,3,0)*VLOOKUP('Données projet'!$B$12,Paramètres!$A$1:$I$89,5,0)</f>
        <v>89.110000000000014</v>
      </c>
      <c r="CA33" s="14">
        <f t="shared" si="39"/>
        <v>24.350454431803538</v>
      </c>
      <c r="CB33" s="22">
        <f t="shared" si="10"/>
        <v>197.61029146872451</v>
      </c>
      <c r="CC33" s="60">
        <f t="shared" si="11"/>
        <v>490.9436248020578</v>
      </c>
      <c r="CD33" s="60">
        <f ca="1">AVERAGE(OFFSET($CC$3,0,0,'Données projet'!$E$12+1,1))-AVERAGE(OFFSET($H$3,0,0,'Données projet'!$E$12+1,1))</f>
        <v>304.57411436867147</v>
      </c>
      <c r="CE33" s="60">
        <f t="shared" si="40"/>
        <v>178.19974548556962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17.307692307692307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85.256410256410248</v>
      </c>
      <c r="CR33" s="13">
        <f>VLOOKUP(A33,'Données projet'!$A$139:$I$159,9,0)</f>
        <v>4.9999999999999982</v>
      </c>
      <c r="CS33" s="13">
        <f t="array" ref="CS33">INDEX(CR:CR,MIN(IF(ISNUMBER(CR33:CR229),ROW(CR33:CR229),"")))</f>
        <v>4.9999999999999982</v>
      </c>
      <c r="CT33" s="13">
        <f>IF('Données projet'!$A$140&gt;35,CT32+CS33-DB32,IF(A33&lt;'Données projet'!$A$140,$CQ$205^A33,IF(A33='Données projet'!$A$140,'Données projet'!$B$140,CT32+CS33-DB32)))</f>
        <v>85.256410256410263</v>
      </c>
      <c r="CU33" s="18">
        <f>CT33*VLOOKUP('Données projet'!$B$13,Paramètres!$A$1:$I$89,3,0)*VLOOKUP('Données projet'!$B$13,Paramètres!$A$1:$I$89,5,0)</f>
        <v>82.460000000000008</v>
      </c>
      <c r="CV33" s="14">
        <f t="shared" si="41"/>
        <v>22.737602594998041</v>
      </c>
      <c r="CW33" s="22">
        <f t="shared" si="13"/>
        <v>183.21915785295494</v>
      </c>
      <c r="CX33" s="60">
        <f t="shared" si="14"/>
        <v>476.55249118628825</v>
      </c>
      <c r="CY33" s="60">
        <f ca="1">AVERAGE(OFFSET($CX$3,0,0,'Données projet'!$E$13+1,1))-AVERAGE(OFFSET($H$3,0,0,'Données projet'!$E$13+1,1))</f>
        <v>279.37339904167601</v>
      </c>
      <c r="CZ33" s="60">
        <f t="shared" si="42"/>
        <v>163.80861186980007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17.307692307692307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0" t="e">
        <f t="shared" si="17"/>
        <v>#N/A</v>
      </c>
      <c r="DT33" s="60" t="e">
        <f ca="1">AVERAGE(OFFSET($DS$3,0,0,'Données projet'!$E$14+1,1))-AVERAGE(OFFSET($H$3,0,0,'Données projet'!$E$14+1,1))</f>
        <v>#N/A</v>
      </c>
      <c r="DU33" s="60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8.4629999999999974</v>
      </c>
      <c r="D34" s="12">
        <f t="shared" si="32"/>
        <v>3.0416733486056478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88.808004796254124</v>
      </c>
      <c r="H34" s="68">
        <f t="shared" si="1"/>
        <v>313.37063941548814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9.667692307692306</v>
      </c>
      <c r="N34" s="14">
        <f>IF('Données projet'!$A$36&gt;35,N33+M34-V33,IF(A34&lt;'Données projet'!$A$36,$K$205^A34,IF(A34='Données projet'!$A$36,'Données projet'!$B$36,N33+M34-V33)))</f>
        <v>145.92153846153846</v>
      </c>
      <c r="O34" s="14">
        <f>N34*VLOOKUP('Données projet'!$B$9,Paramètres!$A$1:$I$89,3,0)*VLOOKUP('Données projet'!$B$9,Paramètres!$A$1:$I$89,5,0)</f>
        <v>87.261080000000007</v>
      </c>
      <c r="P34" s="14">
        <f t="shared" si="33"/>
        <v>23.903480010051169</v>
      </c>
      <c r="Q34" s="22">
        <f t="shared" si="2"/>
        <v>193.61160868417244</v>
      </c>
      <c r="R34" s="60">
        <f t="shared" si="0"/>
        <v>486.94494201750575</v>
      </c>
      <c r="S34" s="60">
        <f ca="1">AVERAGE(OFFSET($R$3,0,0,'Données projet'!$E$9+1,1))-AVERAGE(OFFSET($H$3,0,0,'Données projet'!$E$9+1,1))</f>
        <v>223.38593045370783</v>
      </c>
      <c r="T34" s="60">
        <f t="shared" si="34"/>
        <v>161.68519532023998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12.777777777777779</v>
      </c>
      <c r="AI34" s="14">
        <f>IF('Données projet'!$A$62&gt;35,AI33+AH34-AQ33,IF(A34&lt;'Données projet'!$A$62,$AF$205^A34,IF(A34='Données projet'!$A$62,'Données projet'!$B$62,AI33+AH34-AQ33)))</f>
        <v>118.55555555555554</v>
      </c>
      <c r="AJ34" s="14">
        <f>AI34*VLOOKUP('Données projet'!$B$10,Paramètres!$A$1:$I$89,3,0)*VLOOKUP('Données projet'!$B$10,Paramètres!$A$1:$I$89,5,0)</f>
        <v>70.896222222222221</v>
      </c>
      <c r="AK34" s="14">
        <f t="shared" si="35"/>
        <v>19.895856078765743</v>
      </c>
      <c r="AL34" s="22">
        <f t="shared" si="4"/>
        <v>158.12953637422072</v>
      </c>
      <c r="AM34" s="60">
        <f t="shared" si="5"/>
        <v>451.46286970755403</v>
      </c>
      <c r="AN34" s="60">
        <f ca="1">AVERAGE(OFFSET($AM$3,0,0,'Données projet'!$E$10+1,1))-AVERAGE(OFFSET($H$3,0,0,'Données projet'!$E$10+1,1))</f>
        <v>216.19747366796145</v>
      </c>
      <c r="AO34" s="60">
        <f t="shared" si="36"/>
        <v>122.08911898780889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8.8019738809707473</v>
      </c>
      <c r="AX34" s="23">
        <f t="shared" si="6"/>
        <v>8.8019738809707473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8.9230769230769198</v>
      </c>
      <c r="BD34" s="13">
        <f>IF('Données projet'!$A$88&gt;35,BD33+BC34-BL33,IF(A34&lt;'Données projet'!$A$88,$BA$205^A34,IF(A34='Données projet'!$A$88,'Données projet'!$B$88,BD33+BC34-BL33)))</f>
        <v>112.19999999999999</v>
      </c>
      <c r="BE34" s="14">
        <f>BD34*VLOOKUP('Données projet'!$B$11,Paramètres!$A$1:$I$89,3,0)*VLOOKUP('Données projet'!$B$11,Paramètres!$A$1:$I$89,5,0)</f>
        <v>52.509599999999999</v>
      </c>
      <c r="BF34" s="14">
        <f t="shared" si="37"/>
        <v>15.260016001659478</v>
      </c>
      <c r="BG34" s="22">
        <f t="shared" si="7"/>
        <v>118.03208120289025</v>
      </c>
      <c r="BH34" s="60">
        <f t="shared" si="8"/>
        <v>411.36541453622357</v>
      </c>
      <c r="BI34" s="60">
        <f ca="1">AVERAGE(OFFSET($BH$3,0,0,'Données projet'!$E$11+1,1))-AVERAGE(OFFSET($H$3,0,0,'Données projet'!$E$11+1,1))</f>
        <v>179.52358670810645</v>
      </c>
      <c r="BJ34" s="60">
        <f t="shared" si="38"/>
        <v>89.471764801078166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5.1282051282051295</v>
      </c>
      <c r="BY34" s="13">
        <f>IF('Données projet'!$A$114&gt;35,BY33+BX34-CG33,IF(A34&lt;'Données projet'!$A$114,$BV$205^A34,IF(A34='Données projet'!$A$114,'Données projet'!$B$114,BY33+BX34-CG33)))</f>
        <v>73.07692307692308</v>
      </c>
      <c r="BZ34" s="14">
        <f>BY34*VLOOKUP('Données projet'!$B$12,Paramètres!$A$1:$I$89,3,0)*VLOOKUP('Données projet'!$B$12,Paramètres!$A$1:$I$89,5,0)</f>
        <v>76.38000000000001</v>
      </c>
      <c r="CA34" s="14">
        <f t="shared" si="39"/>
        <v>21.249704112506787</v>
      </c>
      <c r="CB34" s="22">
        <f t="shared" si="10"/>
        <v>170.03840132928266</v>
      </c>
      <c r="CC34" s="60">
        <f t="shared" si="11"/>
        <v>463.37173466261595</v>
      </c>
      <c r="CD34" s="60">
        <f ca="1">AVERAGE(OFFSET($CC$3,0,0,'Données projet'!$E$12+1,1))-AVERAGE(OFFSET($H$3,0,0,'Données projet'!$E$12+1,1))</f>
        <v>304.57411436867147</v>
      </c>
      <c r="CE34" s="60">
        <f t="shared" si="40"/>
        <v>178.19974548556962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5.1282051282051295</v>
      </c>
      <c r="CT34" s="13">
        <f>IF('Données projet'!$A$140&gt;35,CT33+CS34-DB33,IF(A34&lt;'Données projet'!$A$140,$CQ$205^A34,IF(A34='Données projet'!$A$140,'Données projet'!$B$140,CT33+CS34-DB33)))</f>
        <v>73.07692307692308</v>
      </c>
      <c r="CU34" s="18">
        <f>CT34*VLOOKUP('Données projet'!$B$13,Paramètres!$A$1:$I$89,3,0)*VLOOKUP('Données projet'!$B$13,Paramètres!$A$1:$I$89,5,0)</f>
        <v>70.680000000000007</v>
      </c>
      <c r="CV34" s="14">
        <f t="shared" si="41"/>
        <v>19.842230407840816</v>
      </c>
      <c r="CW34" s="22">
        <f t="shared" si="13"/>
        <v>157.65955129365608</v>
      </c>
      <c r="CX34" s="60">
        <f t="shared" si="14"/>
        <v>450.99288462698939</v>
      </c>
      <c r="CY34" s="60">
        <f ca="1">AVERAGE(OFFSET($CX$3,0,0,'Données projet'!$E$13+1,1))-AVERAGE(OFFSET($H$3,0,0,'Données projet'!$E$13+1,1))</f>
        <v>279.37339904167601</v>
      </c>
      <c r="CZ34" s="60">
        <f t="shared" si="42"/>
        <v>163.80861186980007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0" t="e">
        <f t="shared" si="17"/>
        <v>#N/A</v>
      </c>
      <c r="DT34" s="60" t="e">
        <f ca="1">AVERAGE(OFFSET($DS$3,0,0,'Données projet'!$E$14+1,1))-AVERAGE(OFFSET($H$3,0,0,'Données projet'!$E$14+1,1))</f>
        <v>#N/A</v>
      </c>
      <c r="DU34" s="60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8.7359999999999971</v>
      </c>
      <c r="D35" s="12">
        <f t="shared" si="32"/>
        <v>3.1282100045396772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91.583375473639606</v>
      </c>
      <c r="H35" s="68">
        <f t="shared" si="1"/>
        <v>313.99683242457326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9.667692307692306</v>
      </c>
      <c r="N35" s="14">
        <f>IF('Données projet'!$A$36&gt;35,N34+M35-V34,IF(A35&lt;'Données projet'!$A$36,$K$205^A35,IF(A35='Données projet'!$A$36,'Données projet'!$B$36,N34+M35-V34)))</f>
        <v>155.58923076923077</v>
      </c>
      <c r="O35" s="14">
        <f>N35*VLOOKUP('Données projet'!$B$9,Paramètres!$A$1:$I$89,3,0)*VLOOKUP('Données projet'!$B$9,Paramètres!$A$1:$I$89,5,0)</f>
        <v>93.042360000000002</v>
      </c>
      <c r="P35" s="14">
        <f t="shared" si="33"/>
        <v>25.297543244756408</v>
      </c>
      <c r="Q35" s="22">
        <f t="shared" ref="Q35:Q66" si="53">(O35+P35)*0.475*44/12</f>
        <v>206.10866481795074</v>
      </c>
      <c r="R35" s="60">
        <f t="shared" si="0"/>
        <v>499.44199815128405</v>
      </c>
      <c r="S35" s="60">
        <f ca="1">AVERAGE(OFFSET($R$3,0,0,'Données projet'!$E$9+1,1))-AVERAGE(OFFSET($H$3,0,0,'Données projet'!$E$9+1,1))</f>
        <v>223.38593045370783</v>
      </c>
      <c r="T35" s="60">
        <f t="shared" si="34"/>
        <v>161.68519532023998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12.777777777777779</v>
      </c>
      <c r="AI35" s="14">
        <f>IF('Données projet'!$A$62&gt;35,AI34+AH35-AQ34,IF(A35&lt;'Données projet'!$A$62,$AF$205^A35,IF(A35='Données projet'!$A$62,'Données projet'!$B$62,AI34+AH35-AQ34)))</f>
        <v>131.33333333333331</v>
      </c>
      <c r="AJ35" s="14">
        <f>AI35*VLOOKUP('Données projet'!$B$10,Paramètres!$A$1:$I$89,3,0)*VLOOKUP('Données projet'!$B$10,Paramètres!$A$1:$I$89,5,0)</f>
        <v>78.537333333333322</v>
      </c>
      <c r="AK35" s="14">
        <f t="shared" si="35"/>
        <v>21.779171360072009</v>
      </c>
      <c r="AL35" s="22">
        <f t="shared" si="4"/>
        <v>174.71791234101428</v>
      </c>
      <c r="AM35" s="60">
        <f t="shared" si="5"/>
        <v>468.05124567434757</v>
      </c>
      <c r="AN35" s="60">
        <f ca="1">AVERAGE(OFFSET($AM$3,0,0,'Données projet'!$E$10+1,1))-AVERAGE(OFFSET($H$3,0,0,'Données projet'!$E$10+1,1))</f>
        <v>216.19747366796145</v>
      </c>
      <c r="AO35" s="60">
        <f t="shared" si="36"/>
        <v>122.08911898780889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6.2239354190612888</v>
      </c>
      <c r="AX35" s="23">
        <f t="shared" si="6"/>
        <v>6.2239354190612888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8.9230769230769198</v>
      </c>
      <c r="BD35" s="13">
        <f>IF('Données projet'!$A$88&gt;35,BD34+BC35-BL34,IF(A35&lt;'Données projet'!$A$88,$BA$205^A35,IF(A35='Données projet'!$A$88,'Données projet'!$B$88,BD34+BC35-BL34)))</f>
        <v>121.12307692307691</v>
      </c>
      <c r="BE35" s="14">
        <f>BD35*VLOOKUP('Données projet'!$B$11,Paramètres!$A$1:$I$89,3,0)*VLOOKUP('Données projet'!$B$11,Paramètres!$A$1:$I$89,5,0)</f>
        <v>56.685599999999994</v>
      </c>
      <c r="BF35" s="14">
        <f t="shared" si="37"/>
        <v>16.327533552386551</v>
      </c>
      <c r="BG35" s="22">
        <f t="shared" si="7"/>
        <v>127.16454093707324</v>
      </c>
      <c r="BH35" s="60">
        <f t="shared" si="8"/>
        <v>420.49787427040656</v>
      </c>
      <c r="BI35" s="60">
        <f ca="1">AVERAGE(OFFSET($BH$3,0,0,'Données projet'!$E$11+1,1))-AVERAGE(OFFSET($H$3,0,0,'Données projet'!$E$11+1,1))</f>
        <v>179.52358670810645</v>
      </c>
      <c r="BJ35" s="60">
        <f t="shared" si="38"/>
        <v>89.471764801078166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5.1282051282051295</v>
      </c>
      <c r="BY35" s="13">
        <f>IF('Données projet'!$A$114&gt;35,BY34+BX35-CG34,IF(A35&lt;'Données projet'!$A$114,$BV$205^A35,IF(A35='Données projet'!$A$114,'Données projet'!$B$114,BY34+BX35-CG34)))</f>
        <v>78.205128205128204</v>
      </c>
      <c r="BZ35" s="14">
        <f>BY35*VLOOKUP('Données projet'!$B$12,Paramètres!$A$1:$I$89,3,0)*VLOOKUP('Données projet'!$B$12,Paramètres!$A$1:$I$89,5,0)</f>
        <v>81.740000000000009</v>
      </c>
      <c r="CA35" s="14">
        <f t="shared" si="39"/>
        <v>22.56208894179845</v>
      </c>
      <c r="CB35" s="22">
        <f t="shared" si="10"/>
        <v>181.65947157363232</v>
      </c>
      <c r="CC35" s="60">
        <f t="shared" si="11"/>
        <v>474.9928049069656</v>
      </c>
      <c r="CD35" s="60">
        <f ca="1">AVERAGE(OFFSET($CC$3,0,0,'Données projet'!$E$12+1,1))-AVERAGE(OFFSET($H$3,0,0,'Données projet'!$E$12+1,1))</f>
        <v>304.57411436867147</v>
      </c>
      <c r="CE35" s="60">
        <f t="shared" si="40"/>
        <v>178.19974548556962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5.1282051282051295</v>
      </c>
      <c r="CT35" s="13">
        <f>IF('Données projet'!$A$140&gt;35,CT34+CS35-DB34,IF(A35&lt;'Données projet'!$A$140,$CQ$205^A35,IF(A35='Données projet'!$A$140,'Données projet'!$B$140,CT34+CS35-DB34)))</f>
        <v>78.205128205128204</v>
      </c>
      <c r="CU35" s="18">
        <f>CT35*VLOOKUP('Données projet'!$B$13,Paramètres!$A$1:$I$89,3,0)*VLOOKUP('Données projet'!$B$13,Paramètres!$A$1:$I$89,5,0)</f>
        <v>75.64</v>
      </c>
      <c r="CV35" s="14">
        <f t="shared" si="41"/>
        <v>21.067689455585086</v>
      </c>
      <c r="CW35" s="22">
        <f t="shared" si="13"/>
        <v>168.43255913514403</v>
      </c>
      <c r="CX35" s="60">
        <f t="shared" si="14"/>
        <v>461.76589246847732</v>
      </c>
      <c r="CY35" s="60">
        <f ca="1">AVERAGE(OFFSET($CX$3,0,0,'Données projet'!$E$13+1,1))-AVERAGE(OFFSET($H$3,0,0,'Données projet'!$E$13+1,1))</f>
        <v>279.37339904167601</v>
      </c>
      <c r="CZ35" s="60">
        <f t="shared" si="42"/>
        <v>163.80861186980007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0" t="e">
        <f t="shared" si="17"/>
        <v>#N/A</v>
      </c>
      <c r="DT35" s="60" t="e">
        <f ca="1">AVERAGE(OFFSET($DS$3,0,0,'Données projet'!$E$14+1,1))-AVERAGE(OFFSET($H$3,0,0,'Données projet'!$E$14+1,1))</f>
        <v>#N/A</v>
      </c>
      <c r="DU35" s="60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9.0089999999999968</v>
      </c>
      <c r="D36" s="12">
        <f t="shared" si="32"/>
        <v>3.214432401154784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94.356320289615851</v>
      </c>
      <c r="H36" s="68">
        <f t="shared" si="1"/>
        <v>314.6224780986779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9.667692307692306</v>
      </c>
      <c r="N36" s="14">
        <f>IF('Données projet'!$A$36&gt;35,N35+M36-V35,IF(A36&lt;'Données projet'!$A$36,$K$205^A36,IF(A36='Données projet'!$A$36,'Données projet'!$B$36,N35+M36-V35)))</f>
        <v>165.25692307692307</v>
      </c>
      <c r="O36" s="14">
        <f>N36*VLOOKUP('Données projet'!$B$9,Paramètres!$A$1:$I$89,3,0)*VLOOKUP('Données projet'!$B$9,Paramètres!$A$1:$I$89,5,0)</f>
        <v>98.823639999999997</v>
      </c>
      <c r="P36" s="14">
        <f t="shared" si="33"/>
        <v>26.681553282902549</v>
      </c>
      <c r="Q36" s="22">
        <f t="shared" si="53"/>
        <v>218.58821163438859</v>
      </c>
      <c r="R36" s="60">
        <f t="shared" si="0"/>
        <v>511.9215449677219</v>
      </c>
      <c r="S36" s="60">
        <f ca="1">AVERAGE(OFFSET($R$3,0,0,'Données projet'!$E$9+1,1))-AVERAGE(OFFSET($H$3,0,0,'Données projet'!$E$9+1,1))</f>
        <v>223.38593045370783</v>
      </c>
      <c r="T36" s="60">
        <f t="shared" si="34"/>
        <v>161.68519532023998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12.777777777777779</v>
      </c>
      <c r="AI36" s="14">
        <f>IF('Données projet'!$A$62&gt;35,AI35+AH36-AQ35,IF(A36&lt;'Données projet'!$A$62,$AF$205^A36,IF(A36='Données projet'!$A$62,'Données projet'!$B$62,AI35+AH36-AQ35)))</f>
        <v>144.11111111111109</v>
      </c>
      <c r="AJ36" s="14">
        <f>AI36*VLOOKUP('Données projet'!$B$10,Paramètres!$A$1:$I$89,3,0)*VLOOKUP('Données projet'!$B$10,Paramètres!$A$1:$I$89,5,0)</f>
        <v>86.178444444444438</v>
      </c>
      <c r="AK36" s="14">
        <f t="shared" si="35"/>
        <v>23.641243304547441</v>
      </c>
      <c r="AL36" s="22">
        <f t="shared" si="4"/>
        <v>191.26928949616084</v>
      </c>
      <c r="AM36" s="60">
        <f t="shared" si="5"/>
        <v>484.60262282949418</v>
      </c>
      <c r="AN36" s="60">
        <f ca="1">AVERAGE(OFFSET($AM$3,0,0,'Données projet'!$E$10+1,1))-AVERAGE(OFFSET($H$3,0,0,'Données projet'!$E$10+1,1))</f>
        <v>216.19747366796145</v>
      </c>
      <c r="AO36" s="60">
        <f t="shared" si="36"/>
        <v>122.08911898780889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4.4009869404853736</v>
      </c>
      <c r="AX36" s="23">
        <f t="shared" si="6"/>
        <v>4.4009869404853736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8.9230769230769198</v>
      </c>
      <c r="BD36" s="13">
        <f>IF('Données projet'!$A$88&gt;35,BD35+BC36-BL35,IF(A36&lt;'Données projet'!$A$88,$BA$205^A36,IF(A36='Données projet'!$A$88,'Données projet'!$B$88,BD35+BC36-BL35)))</f>
        <v>130.04615384615383</v>
      </c>
      <c r="BE36" s="14">
        <f>BD36*VLOOKUP('Données projet'!$B$11,Paramètres!$A$1:$I$89,3,0)*VLOOKUP('Données projet'!$B$11,Paramètres!$A$1:$I$89,5,0)</f>
        <v>60.861599999999989</v>
      </c>
      <c r="BF36" s="14">
        <f t="shared" si="37"/>
        <v>17.385927430951966</v>
      </c>
      <c r="BG36" s="22">
        <f t="shared" si="7"/>
        <v>136.28111027557466</v>
      </c>
      <c r="BH36" s="60">
        <f t="shared" si="8"/>
        <v>429.614443608908</v>
      </c>
      <c r="BI36" s="60">
        <f ca="1">AVERAGE(OFFSET($BH$3,0,0,'Données projet'!$E$11+1,1))-AVERAGE(OFFSET($H$3,0,0,'Données projet'!$E$11+1,1))</f>
        <v>179.52358670810645</v>
      </c>
      <c r="BJ36" s="60">
        <f t="shared" si="38"/>
        <v>89.471764801078166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5.1282051282051295</v>
      </c>
      <c r="BY36" s="13">
        <f>IF('Données projet'!$A$114&gt;35,BY35+BX36-CG35,IF(A36&lt;'Données projet'!$A$114,$BV$205^A36,IF(A36='Données projet'!$A$114,'Données projet'!$B$114,BY35+BX36-CG35)))</f>
        <v>83.333333333333329</v>
      </c>
      <c r="BZ36" s="14">
        <f>BY36*VLOOKUP('Données projet'!$B$12,Paramètres!$A$1:$I$89,3,0)*VLOOKUP('Données projet'!$B$12,Paramètres!$A$1:$I$89,5,0)</f>
        <v>87.100000000000009</v>
      </c>
      <c r="CA36" s="14">
        <f t="shared" si="39"/>
        <v>23.864487197240759</v>
      </c>
      <c r="CB36" s="22">
        <f t="shared" si="10"/>
        <v>193.26314853519432</v>
      </c>
      <c r="CC36" s="60">
        <f t="shared" si="11"/>
        <v>486.59648186852763</v>
      </c>
      <c r="CD36" s="60">
        <f ca="1">AVERAGE(OFFSET($CC$3,0,0,'Données projet'!$E$12+1,1))-AVERAGE(OFFSET($H$3,0,0,'Données projet'!$E$12+1,1))</f>
        <v>304.57411436867147</v>
      </c>
      <c r="CE36" s="60">
        <f t="shared" si="40"/>
        <v>178.19974548556962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5.1282051282051295</v>
      </c>
      <c r="CT36" s="13">
        <f>IF('Données projet'!$A$140&gt;35,CT35+CS36-DB35,IF(A36&lt;'Données projet'!$A$140,$CQ$205^A36,IF(A36='Données projet'!$A$140,'Données projet'!$B$140,CT35+CS36-DB35)))</f>
        <v>83.333333333333329</v>
      </c>
      <c r="CU36" s="18">
        <f>CT36*VLOOKUP('Données projet'!$B$13,Paramètres!$A$1:$I$89,3,0)*VLOOKUP('Données projet'!$B$13,Paramètres!$A$1:$I$89,5,0)</f>
        <v>80.599999999999994</v>
      </c>
      <c r="CV36" s="14">
        <f t="shared" si="41"/>
        <v>22.283823389988751</v>
      </c>
      <c r="CW36" s="22">
        <f t="shared" si="13"/>
        <v>179.18932573756373</v>
      </c>
      <c r="CX36" s="60">
        <f t="shared" si="14"/>
        <v>472.52265907089702</v>
      </c>
      <c r="CY36" s="60">
        <f ca="1">AVERAGE(OFFSET($CX$3,0,0,'Données projet'!$E$13+1,1))-AVERAGE(OFFSET($H$3,0,0,'Données projet'!$E$13+1,1))</f>
        <v>279.37339904167601</v>
      </c>
      <c r="CZ36" s="60">
        <f t="shared" si="42"/>
        <v>163.80861186980007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0" t="e">
        <f t="shared" si="17"/>
        <v>#N/A</v>
      </c>
      <c r="DT36" s="60" t="e">
        <f ca="1">AVERAGE(OFFSET($DS$3,0,0,'Données projet'!$E$14+1,1))-AVERAGE(OFFSET($H$3,0,0,'Données projet'!$E$14+1,1))</f>
        <v>#N/A</v>
      </c>
      <c r="DU36" s="60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9.2819999999999965</v>
      </c>
      <c r="D37" s="12">
        <f t="shared" si="32"/>
        <v>3.3003511545061546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97.126921192679063</v>
      </c>
      <c r="H37" s="68">
        <f t="shared" si="1"/>
        <v>315.24759492743152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9.667692307692306</v>
      </c>
      <c r="N37" s="14">
        <f>IF('Données projet'!$A$36&gt;35,N36+M37-V36,IF(A37&lt;'Données projet'!$A$36,$K$205^A37,IF(A37='Données projet'!$A$36,'Données projet'!$B$36,N36+M37-V36)))</f>
        <v>174.92461538461538</v>
      </c>
      <c r="O37" s="14">
        <f>N37*VLOOKUP('Données projet'!$B$9,Paramètres!$A$1:$I$89,3,0)*VLOOKUP('Données projet'!$B$9,Paramètres!$A$1:$I$89,5,0)</f>
        <v>104.60492000000001</v>
      </c>
      <c r="P37" s="14">
        <f t="shared" si="33"/>
        <v>28.056165242075178</v>
      </c>
      <c r="Q37" s="22">
        <f t="shared" si="53"/>
        <v>231.05139012994758</v>
      </c>
      <c r="R37" s="60">
        <f t="shared" si="0"/>
        <v>524.38472346328092</v>
      </c>
      <c r="S37" s="60">
        <f ca="1">AVERAGE(OFFSET($R$3,0,0,'Données projet'!$E$9+1,1))-AVERAGE(OFFSET($H$3,0,0,'Données projet'!$E$9+1,1))</f>
        <v>223.38593045370783</v>
      </c>
      <c r="T37" s="60">
        <f t="shared" si="34"/>
        <v>161.68519532023998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12.777777777777779</v>
      </c>
      <c r="AI37" s="14">
        <f>IF('Données projet'!$A$62&gt;35,AI36+AH37-AQ36,IF(A37&lt;'Données projet'!$A$62,$AF$205^A37,IF(A37='Données projet'!$A$62,'Données projet'!$B$62,AI36+AH37-AQ36)))</f>
        <v>156.88888888888886</v>
      </c>
      <c r="AJ37" s="14">
        <f>AI37*VLOOKUP('Données projet'!$B$10,Paramètres!$A$1:$I$89,3,0)*VLOOKUP('Données projet'!$B$10,Paramètres!$A$1:$I$89,5,0)</f>
        <v>93.819555555555539</v>
      </c>
      <c r="AK37" s="14">
        <f t="shared" si="35"/>
        <v>25.484169659923545</v>
      </c>
      <c r="AL37" s="22">
        <f t="shared" si="4"/>
        <v>207.78732141695943</v>
      </c>
      <c r="AM37" s="60">
        <f t="shared" si="5"/>
        <v>501.12065475029272</v>
      </c>
      <c r="AN37" s="60">
        <f ca="1">AVERAGE(OFFSET($AM$3,0,0,'Données projet'!$E$10+1,1))-AVERAGE(OFFSET($H$3,0,0,'Données projet'!$E$10+1,1))</f>
        <v>216.19747366796145</v>
      </c>
      <c r="AO37" s="60">
        <f t="shared" si="36"/>
        <v>122.08911898780889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3.1119677095306444</v>
      </c>
      <c r="AX37" s="23">
        <f t="shared" si="6"/>
        <v>3.1119677095306444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8.9230769230769198</v>
      </c>
      <c r="BD37" s="13">
        <f>IF('Données projet'!$A$88&gt;35,BD36+BC37-BL36,IF(A37&lt;'Données projet'!$A$88,$BA$205^A37,IF(A37='Données projet'!$A$88,'Données projet'!$B$88,BD36+BC37-BL36)))</f>
        <v>138.96923076923076</v>
      </c>
      <c r="BE37" s="14">
        <f>BD37*VLOOKUP('Données projet'!$B$11,Paramètres!$A$1:$I$89,3,0)*VLOOKUP('Données projet'!$B$11,Paramètres!$A$1:$I$89,5,0)</f>
        <v>65.037599999999998</v>
      </c>
      <c r="BF37" s="14">
        <f t="shared" si="37"/>
        <v>18.435894871955274</v>
      </c>
      <c r="BG37" s="22">
        <f t="shared" si="7"/>
        <v>145.38300356865543</v>
      </c>
      <c r="BH37" s="60">
        <f t="shared" si="8"/>
        <v>438.71633690198871</v>
      </c>
      <c r="BI37" s="60">
        <f ca="1">AVERAGE(OFFSET($BH$3,0,0,'Données projet'!$E$11+1,1))-AVERAGE(OFFSET($H$3,0,0,'Données projet'!$E$11+1,1))</f>
        <v>179.52358670810645</v>
      </c>
      <c r="BJ37" s="60">
        <f t="shared" si="38"/>
        <v>89.471764801078166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5.1282051282051295</v>
      </c>
      <c r="BY37" s="13">
        <f>IF('Données projet'!$A$114&gt;35,BY36+BX37-CG36,IF(A37&lt;'Données projet'!$A$114,$BV$205^A37,IF(A37='Données projet'!$A$114,'Données projet'!$B$114,BY36+BX37-CG36)))</f>
        <v>88.461538461538453</v>
      </c>
      <c r="BZ37" s="14">
        <f>BY37*VLOOKUP('Données projet'!$B$12,Paramètres!$A$1:$I$89,3,0)*VLOOKUP('Données projet'!$B$12,Paramètres!$A$1:$I$89,5,0)</f>
        <v>92.46</v>
      </c>
      <c r="CA37" s="14">
        <f t="shared" si="39"/>
        <v>25.157583410693299</v>
      </c>
      <c r="CB37" s="22">
        <f t="shared" si="10"/>
        <v>204.85062444029083</v>
      </c>
      <c r="CC37" s="60">
        <f t="shared" si="11"/>
        <v>498.18395777362412</v>
      </c>
      <c r="CD37" s="60">
        <f ca="1">AVERAGE(OFFSET($CC$3,0,0,'Données projet'!$E$12+1,1))-AVERAGE(OFFSET($H$3,0,0,'Données projet'!$E$12+1,1))</f>
        <v>304.57411436867147</v>
      </c>
      <c r="CE37" s="60">
        <f t="shared" si="40"/>
        <v>178.19974548556962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5.1282051282051295</v>
      </c>
      <c r="CT37" s="13">
        <f>IF('Données projet'!$A$140&gt;35,CT36+CS37-DB36,IF(A37&lt;'Données projet'!$A$140,$CQ$205^A37,IF(A37='Données projet'!$A$140,'Données projet'!$B$140,CT36+CS37-DB36)))</f>
        <v>88.461538461538453</v>
      </c>
      <c r="CU37" s="18">
        <f>CT37*VLOOKUP('Données projet'!$B$13,Paramètres!$A$1:$I$89,3,0)*VLOOKUP('Données projet'!$B$13,Paramètres!$A$1:$I$89,5,0)</f>
        <v>85.559999999999988</v>
      </c>
      <c r="CV37" s="14">
        <f t="shared" si="41"/>
        <v>23.491271402958052</v>
      </c>
      <c r="CW37" s="22">
        <f t="shared" si="13"/>
        <v>189.93096436015193</v>
      </c>
      <c r="CX37" s="60">
        <f t="shared" si="14"/>
        <v>483.26429769348522</v>
      </c>
      <c r="CY37" s="60">
        <f ca="1">AVERAGE(OFFSET($CX$3,0,0,'Données projet'!$E$13+1,1))-AVERAGE(OFFSET($H$3,0,0,'Données projet'!$E$13+1,1))</f>
        <v>279.37339904167601</v>
      </c>
      <c r="CZ37" s="60">
        <f t="shared" si="42"/>
        <v>163.80861186980007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0" t="e">
        <f t="shared" si="17"/>
        <v>#N/A</v>
      </c>
      <c r="DT37" s="60" t="e">
        <f ca="1">AVERAGE(OFFSET($DS$3,0,0,'Données projet'!$E$14+1,1))-AVERAGE(OFFSET($H$3,0,0,'Données projet'!$E$14+1,1))</f>
        <v>#N/A</v>
      </c>
      <c r="DU37" s="60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9.5549999999999962</v>
      </c>
      <c r="D38" s="12">
        <f t="shared" si="32"/>
        <v>3.3859762206724846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99.895255036770024</v>
      </c>
      <c r="H38" s="68">
        <f t="shared" si="1"/>
        <v>315.87220025100453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184.59230769230768</v>
      </c>
      <c r="L38" s="13">
        <f>VLOOKUP(A38,'Données projet'!$A$35:$I$55,9,0)</f>
        <v>9.667692307692306</v>
      </c>
      <c r="M38" s="13">
        <f t="array" ref="M38">INDEX(L:L,MIN(IF(ISNUMBER(L38:L234),ROW(L38:L234),"")))</f>
        <v>9.667692307692306</v>
      </c>
      <c r="N38" s="14">
        <f>IF('Données projet'!$A$36&gt;35,N37+M38-V37,IF(A38&lt;'Données projet'!$A$36,$K$205^A38,IF(A38='Données projet'!$A$36,'Données projet'!$B$36,N37+M38-V37)))</f>
        <v>184.59230769230768</v>
      </c>
      <c r="O38" s="14">
        <f>N38*VLOOKUP('Données projet'!$B$9,Paramètres!$A$1:$I$89,3,0)*VLOOKUP('Données projet'!$B$9,Paramètres!$A$1:$I$89,5,0)</f>
        <v>110.3862</v>
      </c>
      <c r="P38" s="14">
        <f t="shared" si="33"/>
        <v>29.421957736267377</v>
      </c>
      <c r="Q38" s="22">
        <f t="shared" si="53"/>
        <v>243.49920805733234</v>
      </c>
      <c r="R38" s="60">
        <f t="shared" si="0"/>
        <v>536.83254139066571</v>
      </c>
      <c r="S38" s="60">
        <f ca="1">AVERAGE(OFFSET($R$3,0,0,'Données projet'!$E$9+1,1))-AVERAGE(OFFSET($H$3,0,0,'Données projet'!$E$9+1,1))</f>
        <v>223.38593045370783</v>
      </c>
      <c r="T38" s="60">
        <f t="shared" si="34"/>
        <v>161.68519532023998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12.777777777777779</v>
      </c>
      <c r="AI38" s="14">
        <f>IF('Données projet'!$A$62&gt;35,AI37+AH38-AQ37,IF(A38&lt;'Données projet'!$A$62,$AF$205^A38,IF(A38='Données projet'!$A$62,'Données projet'!$B$62,AI37+AH38-AQ37)))</f>
        <v>169.66666666666663</v>
      </c>
      <c r="AJ38" s="14">
        <f>AI38*VLOOKUP('Données projet'!$B$10,Paramètres!$A$1:$I$89,3,0)*VLOOKUP('Données projet'!$B$10,Paramètres!$A$1:$I$89,5,0)</f>
        <v>101.46066666666665</v>
      </c>
      <c r="AK38" s="14">
        <f t="shared" si="35"/>
        <v>27.309687011536219</v>
      </c>
      <c r="AL38" s="22">
        <f t="shared" si="4"/>
        <v>224.27503265620331</v>
      </c>
      <c r="AM38" s="60">
        <f t="shared" si="5"/>
        <v>517.60836598953665</v>
      </c>
      <c r="AN38" s="60">
        <f ca="1">AVERAGE(OFFSET($AM$3,0,0,'Données projet'!$E$10+1,1))-AVERAGE(OFFSET($H$3,0,0,'Données projet'!$E$10+1,1))</f>
        <v>216.19747366796145</v>
      </c>
      <c r="AO38" s="60">
        <f t="shared" si="36"/>
        <v>122.08911898780889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2.2004934702426868</v>
      </c>
      <c r="AX38" s="23">
        <f t="shared" si="6"/>
        <v>2.2004934702426868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147.89230769230767</v>
      </c>
      <c r="BB38" s="13">
        <f>VLOOKUP(A38,'Données projet'!$A$87:$I$107,9,0)</f>
        <v>8.9230769230769198</v>
      </c>
      <c r="BC38" s="13">
        <f t="array" ref="BC38">INDEX(BB:BB,MIN(IF(ISNUMBER(BB38:BB234),ROW(BB38:BB234),"")))</f>
        <v>8.9230769230769198</v>
      </c>
      <c r="BD38" s="13">
        <f>IF('Données projet'!$A$88&gt;35,BD37+BC38-BL37,IF(A38&lt;'Données projet'!$A$88,$BA$205^A38,IF(A38='Données projet'!$A$88,'Données projet'!$B$88,BD37+BC38-BL37)))</f>
        <v>147.89230769230767</v>
      </c>
      <c r="BE38" s="14">
        <f>BD38*VLOOKUP('Données projet'!$B$11,Paramètres!$A$1:$I$89,3,0)*VLOOKUP('Données projet'!$B$11,Paramètres!$A$1:$I$89,5,0)</f>
        <v>69.213599999999985</v>
      </c>
      <c r="BF38" s="14">
        <f t="shared" si="37"/>
        <v>19.478038510077166</v>
      </c>
      <c r="BG38" s="22">
        <f t="shared" si="7"/>
        <v>154.47127040505103</v>
      </c>
      <c r="BH38" s="60">
        <f t="shared" si="8"/>
        <v>447.80460373838434</v>
      </c>
      <c r="BI38" s="60">
        <f ca="1">AVERAGE(OFFSET($BH$3,0,0,'Données projet'!$E$11+1,1))-AVERAGE(OFFSET($H$3,0,0,'Données projet'!$E$11+1,1))</f>
        <v>179.52358670810645</v>
      </c>
      <c r="BJ38" s="60">
        <f t="shared" si="38"/>
        <v>89.471764801078166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93.589743589743591</v>
      </c>
      <c r="BW38" s="13">
        <f>VLOOKUP(A38,'Données projet'!$A$113:$I$133,9,0)</f>
        <v>5.1282051282051295</v>
      </c>
      <c r="BX38" s="13">
        <f t="array" ref="BX38">INDEX(BW:BW,MIN(IF(ISNUMBER(BW38:BW234),ROW(BW38:BW234),"")))</f>
        <v>5.1282051282051295</v>
      </c>
      <c r="BY38" s="13">
        <f>IF('Données projet'!$A$114&gt;35,BY37+BX38-CG37,IF(A38&lt;'Données projet'!$A$114,$BV$205^A38,IF(A38='Données projet'!$A$114,'Données projet'!$B$114,BY37+BX38-CG37)))</f>
        <v>93.589743589743577</v>
      </c>
      <c r="BZ38" s="14">
        <f>BY38*VLOOKUP('Données projet'!$B$12,Paramètres!$A$1:$I$89,3,0)*VLOOKUP('Données projet'!$B$12,Paramètres!$A$1:$I$89,5,0)</f>
        <v>97.82</v>
      </c>
      <c r="CA38" s="14">
        <f t="shared" si="39"/>
        <v>26.44197826490603</v>
      </c>
      <c r="CB38" s="22">
        <f t="shared" si="10"/>
        <v>216.42294547804465</v>
      </c>
      <c r="CC38" s="60">
        <f t="shared" si="11"/>
        <v>509.75627881137797</v>
      </c>
      <c r="CD38" s="60">
        <f ca="1">AVERAGE(OFFSET($CC$3,0,0,'Données projet'!$E$12+1,1))-AVERAGE(OFFSET($H$3,0,0,'Données projet'!$E$12+1,1))</f>
        <v>304.57411436867147</v>
      </c>
      <c r="CE38" s="60">
        <f t="shared" si="40"/>
        <v>178.19974548556962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93.589743589743591</v>
      </c>
      <c r="CR38" s="13">
        <f>VLOOKUP(A38,'Données projet'!$A$139:$I$159,9,0)</f>
        <v>5.1282051282051295</v>
      </c>
      <c r="CS38" s="13">
        <f t="array" ref="CS38">INDEX(CR:CR,MIN(IF(ISNUMBER(CR38:CR234),ROW(CR38:CR234),"")))</f>
        <v>5.1282051282051295</v>
      </c>
      <c r="CT38" s="13">
        <f>IF('Données projet'!$A$140&gt;35,CT37+CS38-DB37,IF(A38&lt;'Données projet'!$A$140,$CQ$205^A38,IF(A38='Données projet'!$A$140,'Données projet'!$B$140,CT37+CS38-DB37)))</f>
        <v>93.589743589743577</v>
      </c>
      <c r="CU38" s="18">
        <f>CT38*VLOOKUP('Données projet'!$B$13,Paramètres!$A$1:$I$89,3,0)*VLOOKUP('Données projet'!$B$13,Paramètres!$A$1:$I$89,5,0)</f>
        <v>90.519999999999982</v>
      </c>
      <c r="CV38" s="14">
        <f t="shared" si="41"/>
        <v>24.690594391033635</v>
      </c>
      <c r="CW38" s="22">
        <f t="shared" si="13"/>
        <v>200.65845189771687</v>
      </c>
      <c r="CX38" s="60">
        <f t="shared" si="14"/>
        <v>493.99178523105019</v>
      </c>
      <c r="CY38" s="60">
        <f ca="1">AVERAGE(OFFSET($CX$3,0,0,'Données projet'!$E$13+1,1))-AVERAGE(OFFSET($H$3,0,0,'Données projet'!$E$13+1,1))</f>
        <v>279.37339904167601</v>
      </c>
      <c r="CZ38" s="60">
        <f t="shared" si="42"/>
        <v>163.80861186980007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0" t="e">
        <f t="shared" si="17"/>
        <v>#N/A</v>
      </c>
      <c r="DT38" s="60" t="e">
        <f ca="1">AVERAGE(OFFSET($DS$3,0,0,'Données projet'!$E$14+1,1))-AVERAGE(OFFSET($H$3,0,0,'Données projet'!$E$14+1,1))</f>
        <v>#N/A</v>
      </c>
      <c r="DU38" s="60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9.8279999999999959</v>
      </c>
      <c r="D39" s="12">
        <f t="shared" si="32"/>
        <v>3.4713169544550615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102.66139403438994</v>
      </c>
      <c r="H39" s="68">
        <f t="shared" si="1"/>
        <v>316.49631036234257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9.5030769230769234</v>
      </c>
      <c r="N39" s="14">
        <f>IF('Données projet'!$A$36&gt;35,N38+M39-V38,IF(A39&lt;'Données projet'!$A$36,$K$205^A39,IF(A39='Données projet'!$A$36,'Données projet'!$B$36,N38+M39-V38)))</f>
        <v>194.0953846153846</v>
      </c>
      <c r="O39" s="14">
        <f>N39*VLOOKUP('Données projet'!$B$9,Paramètres!$A$1:$I$89,3,0)*VLOOKUP('Données projet'!$B$9,Paramètres!$A$1:$I$89,5,0)</f>
        <v>116.06904</v>
      </c>
      <c r="P39" s="14">
        <f t="shared" si="33"/>
        <v>30.756397788363014</v>
      </c>
      <c r="Q39" s="22">
        <f t="shared" si="53"/>
        <v>255.72097081473225</v>
      </c>
      <c r="R39" s="60">
        <f t="shared" si="0"/>
        <v>549.05430414806551</v>
      </c>
      <c r="S39" s="60">
        <f ca="1">AVERAGE(OFFSET($R$3,0,0,'Données projet'!$E$9+1,1))-AVERAGE(OFFSET($H$3,0,0,'Données projet'!$E$9+1,1))</f>
        <v>223.38593045370783</v>
      </c>
      <c r="T39" s="60">
        <f t="shared" si="34"/>
        <v>161.68519532023998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12.777777777777779</v>
      </c>
      <c r="AI39" s="14">
        <f>IF('Données projet'!$A$62&gt;35,AI38+AH39-AQ38,IF(A39&lt;'Données projet'!$A$62,$AF$205^A39,IF(A39='Données projet'!$A$62,'Données projet'!$B$62,AI38+AH39-AQ38)))</f>
        <v>182.4444444444444</v>
      </c>
      <c r="AJ39" s="14">
        <f>AI39*VLOOKUP('Données projet'!$B$10,Paramètres!$A$1:$I$89,3,0)*VLOOKUP('Données projet'!$B$10,Paramètres!$A$1:$I$89,5,0)</f>
        <v>109.10177777777777</v>
      </c>
      <c r="AK39" s="14">
        <f t="shared" si="35"/>
        <v>29.119255529760959</v>
      </c>
      <c r="AL39" s="22">
        <f t="shared" si="4"/>
        <v>240.73496634396329</v>
      </c>
      <c r="AM39" s="60">
        <f t="shared" si="5"/>
        <v>534.06829967729664</v>
      </c>
      <c r="AN39" s="60">
        <f ca="1">AVERAGE(OFFSET($AM$3,0,0,'Données projet'!$E$10+1,1))-AVERAGE(OFFSET($H$3,0,0,'Données projet'!$E$10+1,1))</f>
        <v>216.19747366796145</v>
      </c>
      <c r="AO39" s="60">
        <f t="shared" si="36"/>
        <v>122.08911898780889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1.5559838547653222</v>
      </c>
      <c r="AX39" s="23">
        <f t="shared" si="6"/>
        <v>1.5559838547653222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9.981538461538463</v>
      </c>
      <c r="BD39" s="13">
        <f>IF('Données projet'!$A$88&gt;35,BD38+BC39-BL38,IF(A39&lt;'Données projet'!$A$88,$BA$205^A39,IF(A39='Données projet'!$A$88,'Données projet'!$B$88,BD38+BC39-BL38)))</f>
        <v>157.87384615384613</v>
      </c>
      <c r="BE39" s="14">
        <f>BD39*VLOOKUP('Données projet'!$B$11,Paramètres!$A$1:$I$89,3,0)*VLOOKUP('Données projet'!$B$11,Paramètres!$A$1:$I$89,5,0)</f>
        <v>73.884959999999992</v>
      </c>
      <c r="BF39" s="14">
        <f t="shared" si="37"/>
        <v>20.635176317181511</v>
      </c>
      <c r="BG39" s="22">
        <f t="shared" si="7"/>
        <v>164.62257075242445</v>
      </c>
      <c r="BH39" s="60">
        <f t="shared" si="8"/>
        <v>457.95590408575777</v>
      </c>
      <c r="BI39" s="60">
        <f ca="1">AVERAGE(OFFSET($BH$3,0,0,'Données projet'!$E$11+1,1))-AVERAGE(OFFSET($H$3,0,0,'Données projet'!$E$11+1,1))</f>
        <v>179.52358670810645</v>
      </c>
      <c r="BJ39" s="60">
        <f t="shared" si="38"/>
        <v>89.471764801078166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5.1282051282051269</v>
      </c>
      <c r="BY39" s="13">
        <f>IF('Données projet'!$A$114&gt;35,BY38+BX39-CG38,IF(A39&lt;'Données projet'!$A$114,$BV$205^A39,IF(A39='Données projet'!$A$114,'Données projet'!$B$114,BY38+BX39-CG38)))</f>
        <v>98.717948717948701</v>
      </c>
      <c r="BZ39" s="14">
        <f>BY39*VLOOKUP('Données projet'!$B$12,Paramètres!$A$1:$I$89,3,0)*VLOOKUP('Données projet'!$B$12,Paramètres!$A$1:$I$89,5,0)</f>
        <v>103.17999999999999</v>
      </c>
      <c r="CA39" s="14">
        <f t="shared" si="39"/>
        <v>27.718202896526208</v>
      </c>
      <c r="CB39" s="22">
        <f t="shared" si="10"/>
        <v>227.98103671144975</v>
      </c>
      <c r="CC39" s="60">
        <f t="shared" si="11"/>
        <v>521.31437004478312</v>
      </c>
      <c r="CD39" s="60">
        <f ca="1">AVERAGE(OFFSET($CC$3,0,0,'Données projet'!$E$12+1,1))-AVERAGE(OFFSET($H$3,0,0,'Données projet'!$E$12+1,1))</f>
        <v>304.57411436867147</v>
      </c>
      <c r="CE39" s="60">
        <f t="shared" si="40"/>
        <v>178.19974548556962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5.1282051282051269</v>
      </c>
      <c r="CT39" s="13">
        <f>IF('Données projet'!$A$140&gt;35,CT38+CS39-DB38,IF(A39&lt;'Données projet'!$A$140,$CQ$205^A39,IF(A39='Données projet'!$A$140,'Données projet'!$B$140,CT38+CS39-DB38)))</f>
        <v>98.717948717948701</v>
      </c>
      <c r="CU39" s="18">
        <f>CT39*VLOOKUP('Données projet'!$B$13,Paramètres!$A$1:$I$89,3,0)*VLOOKUP('Données projet'!$B$13,Paramètres!$A$1:$I$89,5,0)</f>
        <v>95.47999999999999</v>
      </c>
      <c r="CV39" s="14">
        <f t="shared" si="41"/>
        <v>25.882288311038174</v>
      </c>
      <c r="CW39" s="22">
        <f t="shared" si="13"/>
        <v>211.37265214172476</v>
      </c>
      <c r="CX39" s="60">
        <f t="shared" si="14"/>
        <v>504.70598547505807</v>
      </c>
      <c r="CY39" s="60">
        <f ca="1">AVERAGE(OFFSET($CX$3,0,0,'Données projet'!$E$13+1,1))-AVERAGE(OFFSET($H$3,0,0,'Données projet'!$E$13+1,1))</f>
        <v>279.37339904167601</v>
      </c>
      <c r="CZ39" s="60">
        <f t="shared" si="42"/>
        <v>163.80861186980007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0" t="e">
        <f t="shared" si="17"/>
        <v>#N/A</v>
      </c>
      <c r="DT39" s="60" t="e">
        <f ca="1">AVERAGE(OFFSET($DS$3,0,0,'Données projet'!$E$14+1,1))-AVERAGE(OFFSET($H$3,0,0,'Données projet'!$E$14+1,1))</f>
        <v>#N/A</v>
      </c>
      <c r="DU39" s="60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10.100999999999996</v>
      </c>
      <c r="D40" s="12">
        <f t="shared" si="32"/>
        <v>3.556382161371384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105.42540615795451</v>
      </c>
      <c r="H40" s="68">
        <f t="shared" si="1"/>
        <v>317.11994059772178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9.5030769230769234</v>
      </c>
      <c r="N40" s="14">
        <f>IF('Données projet'!$A$36&gt;35,N39+M40-V39,IF(A40&lt;'Données projet'!$A$36,$K$205^A40,IF(A40='Données projet'!$A$36,'Données projet'!$B$36,N39+M40-V39)))</f>
        <v>203.59846153846152</v>
      </c>
      <c r="O40" s="14">
        <f>N40*VLOOKUP('Données projet'!$B$9,Paramètres!$A$1:$I$89,3,0)*VLOOKUP('Données projet'!$B$9,Paramètres!$A$1:$I$89,5,0)</f>
        <v>121.75188</v>
      </c>
      <c r="P40" s="14">
        <f t="shared" si="33"/>
        <v>32.083251237176221</v>
      </c>
      <c r="Q40" s="22">
        <f t="shared" si="53"/>
        <v>267.92952023808192</v>
      </c>
      <c r="R40" s="60">
        <f t="shared" si="0"/>
        <v>561.26285357141523</v>
      </c>
      <c r="S40" s="60">
        <f ca="1">AVERAGE(OFFSET($R$3,0,0,'Données projet'!$E$9+1,1))-AVERAGE(OFFSET($H$3,0,0,'Données projet'!$E$9+1,1))</f>
        <v>223.38593045370783</v>
      </c>
      <c r="T40" s="60">
        <f t="shared" si="34"/>
        <v>161.68519532023998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12.777777777777779</v>
      </c>
      <c r="AI40" s="14">
        <f>IF('Données projet'!$A$62&gt;35,AI39+AH40-AQ39,IF(A40&lt;'Données projet'!$A$62,$AF$205^A40,IF(A40='Données projet'!$A$62,'Données projet'!$B$62,AI39+AH40-AQ39)))</f>
        <v>195.22222222222217</v>
      </c>
      <c r="AJ40" s="14">
        <f>AI40*VLOOKUP('Données projet'!$B$10,Paramètres!$A$1:$I$89,3,0)*VLOOKUP('Données projet'!$B$10,Paramètres!$A$1:$I$89,5,0)</f>
        <v>116.74288888888886</v>
      </c>
      <c r="AK40" s="14">
        <f t="shared" si="35"/>
        <v>30.914119270766037</v>
      </c>
      <c r="AL40" s="22">
        <f t="shared" si="4"/>
        <v>257.1692892113989</v>
      </c>
      <c r="AM40" s="60">
        <f t="shared" si="5"/>
        <v>550.50262254473228</v>
      </c>
      <c r="AN40" s="60">
        <f ca="1">AVERAGE(OFFSET($AM$3,0,0,'Données projet'!$E$10+1,1))-AVERAGE(OFFSET($H$3,0,0,'Données projet'!$E$10+1,1))</f>
        <v>216.19747366796145</v>
      </c>
      <c r="AO40" s="60">
        <f t="shared" si="36"/>
        <v>122.08911898780889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1.1002467351213434</v>
      </c>
      <c r="AX40" s="23">
        <f t="shared" si="6"/>
        <v>1.1002467351213434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9.981538461538463</v>
      </c>
      <c r="BD40" s="13">
        <f>IF('Données projet'!$A$88&gt;35,BD39+BC40-BL39,IF(A40&lt;'Données projet'!$A$88,$BA$205^A40,IF(A40='Données projet'!$A$88,'Données projet'!$B$88,BD39+BC40-BL39)))</f>
        <v>167.85538461538459</v>
      </c>
      <c r="BE40" s="14">
        <f>BD40*VLOOKUP('Données projet'!$B$11,Paramètres!$A$1:$I$89,3,0)*VLOOKUP('Données projet'!$B$11,Paramètres!$A$1:$I$89,5,0)</f>
        <v>78.556319999999985</v>
      </c>
      <c r="BF40" s="14">
        <f t="shared" si="37"/>
        <v>21.783823615207403</v>
      </c>
      <c r="BG40" s="22">
        <f t="shared" si="7"/>
        <v>174.75908346315285</v>
      </c>
      <c r="BH40" s="60">
        <f t="shared" si="8"/>
        <v>468.09241679648619</v>
      </c>
      <c r="BI40" s="60">
        <f ca="1">AVERAGE(OFFSET($BH$3,0,0,'Données projet'!$E$11+1,1))-AVERAGE(OFFSET($H$3,0,0,'Données projet'!$E$11+1,1))</f>
        <v>179.52358670810645</v>
      </c>
      <c r="BJ40" s="60">
        <f t="shared" si="38"/>
        <v>89.471764801078166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5.1282051282051269</v>
      </c>
      <c r="BY40" s="13">
        <f>IF('Données projet'!$A$114&gt;35,BY39+BX40-CG39,IF(A40&lt;'Données projet'!$A$114,$BV$205^A40,IF(A40='Données projet'!$A$114,'Données projet'!$B$114,BY39+BX40-CG39)))</f>
        <v>103.84615384615383</v>
      </c>
      <c r="BZ40" s="14">
        <f>BY40*VLOOKUP('Données projet'!$B$12,Paramètres!$A$1:$I$89,3,0)*VLOOKUP('Données projet'!$B$12,Paramètres!$A$1:$I$89,5,0)</f>
        <v>108.53999999999999</v>
      </c>
      <c r="CA40" s="14">
        <f t="shared" si="39"/>
        <v>28.986730142355373</v>
      </c>
      <c r="CB40" s="22">
        <f t="shared" si="10"/>
        <v>239.52572166460229</v>
      </c>
      <c r="CC40" s="60">
        <f t="shared" si="11"/>
        <v>532.85905499793557</v>
      </c>
      <c r="CD40" s="60">
        <f ca="1">AVERAGE(OFFSET($CC$3,0,0,'Données projet'!$E$12+1,1))-AVERAGE(OFFSET($H$3,0,0,'Données projet'!$E$12+1,1))</f>
        <v>304.57411436867147</v>
      </c>
      <c r="CE40" s="60">
        <f t="shared" si="40"/>
        <v>178.19974548556962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5.1282051282051269</v>
      </c>
      <c r="CT40" s="13">
        <f>IF('Données projet'!$A$140&gt;35,CT39+CS40-DB39,IF(A40&lt;'Données projet'!$A$140,$CQ$205^A40,IF(A40='Données projet'!$A$140,'Données projet'!$B$140,CT39+CS40-DB39)))</f>
        <v>103.84615384615383</v>
      </c>
      <c r="CU40" s="18">
        <f>CT40*VLOOKUP('Données projet'!$B$13,Paramètres!$A$1:$I$89,3,0)*VLOOKUP('Données projet'!$B$13,Paramètres!$A$1:$I$89,5,0)</f>
        <v>100.43999999999998</v>
      </c>
      <c r="CV40" s="14">
        <f t="shared" si="41"/>
        <v>27.06679468143755</v>
      </c>
      <c r="CW40" s="22">
        <f t="shared" si="13"/>
        <v>222.07433407017035</v>
      </c>
      <c r="CX40" s="60">
        <f t="shared" si="14"/>
        <v>515.40766740350364</v>
      </c>
      <c r="CY40" s="60">
        <f ca="1">AVERAGE(OFFSET($CX$3,0,0,'Données projet'!$E$13+1,1))-AVERAGE(OFFSET($H$3,0,0,'Données projet'!$E$13+1,1))</f>
        <v>279.37339904167601</v>
      </c>
      <c r="CZ40" s="60">
        <f t="shared" si="42"/>
        <v>163.80861186980007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0" t="e">
        <f t="shared" si="17"/>
        <v>#N/A</v>
      </c>
      <c r="DT40" s="60" t="e">
        <f ca="1">AVERAGE(OFFSET($DS$3,0,0,'Données projet'!$E$14+1,1))-AVERAGE(OFFSET($H$3,0,0,'Données projet'!$E$14+1,1))</f>
        <v>#N/A</v>
      </c>
      <c r="DU40" s="60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10.373999999999995</v>
      </c>
      <c r="D41" s="12">
        <f t="shared" si="32"/>
        <v>3.6411801438697711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108.18735549653856</v>
      </c>
      <c r="H41" s="68">
        <f t="shared" si="1"/>
        <v>317.7431054172398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9.5030769230769234</v>
      </c>
      <c r="N41" s="14">
        <f>IF('Données projet'!$A$36&gt;35,N40+M41-V40,IF(A41&lt;'Données projet'!$A$36,$K$205^A41,IF(A41='Données projet'!$A$36,'Données projet'!$B$36,N40+M41-V40)))</f>
        <v>213.10153846153844</v>
      </c>
      <c r="O41" s="14">
        <f>N41*VLOOKUP('Données projet'!$B$9,Paramètres!$A$1:$I$89,3,0)*VLOOKUP('Données projet'!$B$9,Paramètres!$A$1:$I$89,5,0)</f>
        <v>127.43471999999998</v>
      </c>
      <c r="P41" s="14">
        <f t="shared" si="33"/>
        <v>33.402912631097919</v>
      </c>
      <c r="Q41" s="22">
        <f t="shared" si="53"/>
        <v>280.12554349916218</v>
      </c>
      <c r="R41" s="60">
        <f t="shared" si="0"/>
        <v>573.45887683249543</v>
      </c>
      <c r="S41" s="60">
        <f ca="1">AVERAGE(OFFSET($R$3,0,0,'Données projet'!$E$9+1,1))-AVERAGE(OFFSET($H$3,0,0,'Données projet'!$E$9+1,1))</f>
        <v>223.38593045370783</v>
      </c>
      <c r="T41" s="60">
        <f t="shared" si="34"/>
        <v>161.68519532023998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208</v>
      </c>
      <c r="AG41" s="13">
        <f>VLOOKUP(A41,'Données projet'!$A$61:$I$81,9,0)</f>
        <v>12.777777777777779</v>
      </c>
      <c r="AH41" s="13">
        <f t="array" ref="AH41">INDEX(AG:AG,MIN(IF(ISNUMBER(AG41:AG237),ROW(AG41:AG237),"")))</f>
        <v>12.777777777777779</v>
      </c>
      <c r="AI41" s="14">
        <f>IF('Données projet'!$A$62&gt;35,AI40+AH41-AQ40,IF(A41&lt;'Données projet'!$A$62,$AF$205^A41,IF(A41='Données projet'!$A$62,'Données projet'!$B$62,AI40+AH41-AQ40)))</f>
        <v>207.99999999999994</v>
      </c>
      <c r="AJ41" s="14">
        <f>AI41*VLOOKUP('Données projet'!$B$10,Paramètres!$A$1:$I$89,3,0)*VLOOKUP('Données projet'!$B$10,Paramètres!$A$1:$I$89,5,0)</f>
        <v>124.38399999999997</v>
      </c>
      <c r="AK41" s="14">
        <f t="shared" si="35"/>
        <v>32.695350227217666</v>
      </c>
      <c r="AL41" s="22">
        <f t="shared" si="4"/>
        <v>273.57986831240407</v>
      </c>
      <c r="AM41" s="60">
        <f t="shared" si="5"/>
        <v>566.91320164573744</v>
      </c>
      <c r="AN41" s="60">
        <f ca="1">AVERAGE(OFFSET($AM$3,0,0,'Données projet'!$E$10+1,1))-AVERAGE(OFFSET($H$3,0,0,'Données projet'!$E$10+1,1))</f>
        <v>216.19747366796145</v>
      </c>
      <c r="AO41" s="60">
        <f t="shared" si="36"/>
        <v>122.08911898780889</v>
      </c>
      <c r="AP41" s="16">
        <f>IF(ISNA(VLOOKUP(A41,'Données projet'!$A$61:$I$81,3,0)),0,VLOOKUP(A41,'Données projet'!$A$61:$I$81,3,0))</f>
        <v>2</v>
      </c>
      <c r="AQ41" s="16">
        <f>IF(ISNA(VLOOKUP(A41,'Données projet'!$A$61:$I$81,4,0)),0,VLOOKUP(A41,'Données projet'!$A$61:$I$81,4,0))</f>
        <v>73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0.7779919273826611</v>
      </c>
      <c r="AX41" s="23">
        <f t="shared" si="6"/>
        <v>0.7779919273826611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9.981538461538463</v>
      </c>
      <c r="BD41" s="13">
        <f>IF('Données projet'!$A$88&gt;35,BD40+BC41-BL40,IF(A41&lt;'Données projet'!$A$88,$BA$205^A41,IF(A41='Données projet'!$A$88,'Données projet'!$B$88,BD40+BC41-BL40)))</f>
        <v>177.83692307692306</v>
      </c>
      <c r="BE41" s="14">
        <f>BD41*VLOOKUP('Données projet'!$B$11,Paramètres!$A$1:$I$89,3,0)*VLOOKUP('Données projet'!$B$11,Paramètres!$A$1:$I$89,5,0)</f>
        <v>83.227679999999978</v>
      </c>
      <c r="BF41" s="14">
        <f t="shared" si="37"/>
        <v>22.924542798244513</v>
      </c>
      <c r="BG41" s="22">
        <f t="shared" si="7"/>
        <v>184.88178804027584</v>
      </c>
      <c r="BH41" s="60">
        <f t="shared" si="8"/>
        <v>478.21512137360912</v>
      </c>
      <c r="BI41" s="60">
        <f ca="1">AVERAGE(OFFSET($BH$3,0,0,'Données projet'!$E$11+1,1))-AVERAGE(OFFSET($H$3,0,0,'Données projet'!$E$11+1,1))</f>
        <v>179.52358670810645</v>
      </c>
      <c r="BJ41" s="60">
        <f t="shared" si="38"/>
        <v>89.471764801078166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5.1282051282051269</v>
      </c>
      <c r="BY41" s="13">
        <f>IF('Données projet'!$A$114&gt;35,BY40+BX41-CG40,IF(A41&lt;'Données projet'!$A$114,$BV$205^A41,IF(A41='Données projet'!$A$114,'Données projet'!$B$114,BY40+BX41-CG40)))</f>
        <v>108.97435897435895</v>
      </c>
      <c r="BZ41" s="14">
        <f>BY41*VLOOKUP('Données projet'!$B$12,Paramètres!$A$1:$I$89,3,0)*VLOOKUP('Données projet'!$B$12,Paramètres!$A$1:$I$89,5,0)</f>
        <v>113.89999999999998</v>
      </c>
      <c r="CA41" s="14">
        <f t="shared" si="39"/>
        <v>30.247983501044125</v>
      </c>
      <c r="CB41" s="22">
        <f t="shared" si="10"/>
        <v>251.05773793098513</v>
      </c>
      <c r="CC41" s="60">
        <f t="shared" si="11"/>
        <v>544.3910712643185</v>
      </c>
      <c r="CD41" s="60">
        <f ca="1">AVERAGE(OFFSET($CC$3,0,0,'Données projet'!$E$12+1,1))-AVERAGE(OFFSET($H$3,0,0,'Données projet'!$E$12+1,1))</f>
        <v>304.57411436867147</v>
      </c>
      <c r="CE41" s="60">
        <f t="shared" si="40"/>
        <v>178.19974548556962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5.1282051282051269</v>
      </c>
      <c r="CT41" s="13">
        <f>IF('Données projet'!$A$140&gt;35,CT40+CS41-DB40,IF(A41&lt;'Données projet'!$A$140,$CQ$205^A41,IF(A41='Données projet'!$A$140,'Données projet'!$B$140,CT40+CS41-DB40)))</f>
        <v>108.97435897435895</v>
      </c>
      <c r="CU41" s="18">
        <f>CT41*VLOOKUP('Données projet'!$B$13,Paramètres!$A$1:$I$89,3,0)*VLOOKUP('Données projet'!$B$13,Paramètres!$A$1:$I$89,5,0)</f>
        <v>105.39999999999999</v>
      </c>
      <c r="CV41" s="14">
        <f t="shared" si="41"/>
        <v>28.244508950458165</v>
      </c>
      <c r="CW41" s="22">
        <f t="shared" si="13"/>
        <v>232.76418642204794</v>
      </c>
      <c r="CX41" s="60">
        <f t="shared" si="14"/>
        <v>526.0975197553812</v>
      </c>
      <c r="CY41" s="60">
        <f ca="1">AVERAGE(OFFSET($CX$3,0,0,'Données projet'!$E$13+1,1))-AVERAGE(OFFSET($H$3,0,0,'Données projet'!$E$13+1,1))</f>
        <v>279.37339904167601</v>
      </c>
      <c r="CZ41" s="60">
        <f t="shared" si="42"/>
        <v>163.80861186980007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0" t="e">
        <f t="shared" si="17"/>
        <v>#N/A</v>
      </c>
      <c r="DT41" s="60" t="e">
        <f ca="1">AVERAGE(OFFSET($DS$3,0,0,'Données projet'!$E$14+1,1))-AVERAGE(OFFSET($H$3,0,0,'Données projet'!$E$14+1,1))</f>
        <v>#N/A</v>
      </c>
      <c r="DU41" s="60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10.646999999999995</v>
      </c>
      <c r="D42" s="12">
        <f t="shared" si="32"/>
        <v>3.7257187425424232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110.94730257401164</v>
      </c>
      <c r="H42" s="68">
        <f t="shared" si="1"/>
        <v>318.36581847659471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9.5030769230769234</v>
      </c>
      <c r="N42" s="14">
        <f>IF('Données projet'!$A$36&gt;35,N41+M42-V41,IF(A42&lt;'Données projet'!$A$36,$K$205^A42,IF(A42='Données projet'!$A$36,'Données projet'!$B$36,N41+M42-V41)))</f>
        <v>222.60461538461536</v>
      </c>
      <c r="O42" s="14">
        <f>N42*VLOOKUP('Données projet'!$B$9,Paramètres!$A$1:$I$89,3,0)*VLOOKUP('Données projet'!$B$9,Paramètres!$A$1:$I$89,5,0)</f>
        <v>133.11756</v>
      </c>
      <c r="P42" s="14">
        <f t="shared" si="33"/>
        <v>34.715739339986079</v>
      </c>
      <c r="Q42" s="22">
        <f t="shared" si="53"/>
        <v>292.30966301714238</v>
      </c>
      <c r="R42" s="60">
        <f t="shared" si="0"/>
        <v>585.64299635047564</v>
      </c>
      <c r="S42" s="60">
        <f ca="1">AVERAGE(OFFSET($R$3,0,0,'Données projet'!$E$9+1,1))-AVERAGE(OFFSET($H$3,0,0,'Données projet'!$E$9+1,1))</f>
        <v>223.38593045370783</v>
      </c>
      <c r="T42" s="60">
        <f t="shared" si="34"/>
        <v>161.68519532023998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12.818181818181818</v>
      </c>
      <c r="AI42" s="14">
        <f>IF('Données projet'!$A$62&gt;35,AI41+AH42-AQ41,IF(A42&lt;'Données projet'!$A$62,$AF$205^A42,IF(A42='Données projet'!$A$62,'Données projet'!$B$62,AI41+AH42-AQ41)))</f>
        <v>147.81818181818176</v>
      </c>
      <c r="AJ42" s="14">
        <f>AI42*VLOOKUP('Données projet'!$B$10,Paramètres!$A$1:$I$89,3,0)*VLOOKUP('Données projet'!$B$10,Paramètres!$A$1:$I$89,5,0)</f>
        <v>88.395272727272697</v>
      </c>
      <c r="AK42" s="14">
        <f t="shared" si="35"/>
        <v>24.177799105758492</v>
      </c>
      <c r="AL42" s="22">
        <f t="shared" si="4"/>
        <v>196.06476677586264</v>
      </c>
      <c r="AM42" s="60">
        <f t="shared" si="5"/>
        <v>489.39810010919598</v>
      </c>
      <c r="AN42" s="60">
        <f ca="1">AVERAGE(OFFSET($AM$3,0,0,'Données projet'!$E$10+1,1))-AVERAGE(OFFSET($H$3,0,0,'Données projet'!$E$10+1,1))</f>
        <v>216.19747366796145</v>
      </c>
      <c r="AO42" s="60">
        <f t="shared" si="36"/>
        <v>122.08911898780889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0.55012336756067171</v>
      </c>
      <c r="AX42" s="23">
        <f t="shared" si="6"/>
        <v>0.55012336756067171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9.981538461538463</v>
      </c>
      <c r="BD42" s="13">
        <f>IF('Données projet'!$A$88&gt;35,BD41+BC42-BL41,IF(A42&lt;'Données projet'!$A$88,$BA$205^A42,IF(A42='Données projet'!$A$88,'Données projet'!$B$88,BD41+BC42-BL41)))</f>
        <v>187.81846153846152</v>
      </c>
      <c r="BE42" s="14">
        <f>BD42*VLOOKUP('Données projet'!$B$11,Paramètres!$A$1:$I$89,3,0)*VLOOKUP('Données projet'!$B$11,Paramètres!$A$1:$I$89,5,0)</f>
        <v>87.899039999999985</v>
      </c>
      <c r="BF42" s="14">
        <f t="shared" si="37"/>
        <v>24.05782956318463</v>
      </c>
      <c r="BG42" s="22">
        <f t="shared" si="7"/>
        <v>194.99154782254652</v>
      </c>
      <c r="BH42" s="60">
        <f t="shared" si="8"/>
        <v>488.32488115587984</v>
      </c>
      <c r="BI42" s="60">
        <f ca="1">AVERAGE(OFFSET($BH$3,0,0,'Données projet'!$E$11+1,1))-AVERAGE(OFFSET($H$3,0,0,'Données projet'!$E$11+1,1))</f>
        <v>179.52358670810645</v>
      </c>
      <c r="BJ42" s="60">
        <f t="shared" si="38"/>
        <v>89.471764801078166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5.1282051282051269</v>
      </c>
      <c r="BY42" s="13">
        <f>IF('Données projet'!$A$114&gt;35,BY41+BX42-CG41,IF(A42&lt;'Données projet'!$A$114,$BV$205^A42,IF(A42='Données projet'!$A$114,'Données projet'!$B$114,BY41+BX42-CG41)))</f>
        <v>114.10256410256407</v>
      </c>
      <c r="BZ42" s="14">
        <f>BY42*VLOOKUP('Données projet'!$B$12,Paramètres!$A$1:$I$89,3,0)*VLOOKUP('Données projet'!$B$12,Paramètres!$A$1:$I$89,5,0)</f>
        <v>119.25999999999998</v>
      </c>
      <c r="CA42" s="14">
        <f t="shared" si="39"/>
        <v>31.50234436011446</v>
      </c>
      <c r="CB42" s="22">
        <f t="shared" si="10"/>
        <v>262.57774976053264</v>
      </c>
      <c r="CC42" s="60">
        <f t="shared" si="11"/>
        <v>555.91108309386595</v>
      </c>
      <c r="CD42" s="60">
        <f ca="1">AVERAGE(OFFSET($CC$3,0,0,'Données projet'!$E$12+1,1))-AVERAGE(OFFSET($H$3,0,0,'Données projet'!$E$12+1,1))</f>
        <v>304.57411436867147</v>
      </c>
      <c r="CE42" s="60">
        <f t="shared" si="40"/>
        <v>178.19974548556962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5.1282051282051269</v>
      </c>
      <c r="CT42" s="13">
        <f>IF('Données projet'!$A$140&gt;35,CT41+CS42-DB41,IF(A42&lt;'Données projet'!$A$140,$CQ$205^A42,IF(A42='Données projet'!$A$140,'Données projet'!$B$140,CT41+CS42-DB41)))</f>
        <v>114.10256410256407</v>
      </c>
      <c r="CU42" s="18">
        <f>CT42*VLOOKUP('Données projet'!$B$13,Paramètres!$A$1:$I$89,3,0)*VLOOKUP('Données projet'!$B$13,Paramètres!$A$1:$I$89,5,0)</f>
        <v>110.35999999999997</v>
      </c>
      <c r="CV42" s="14">
        <f t="shared" si="41"/>
        <v>29.415787244427506</v>
      </c>
      <c r="CW42" s="22">
        <f t="shared" si="13"/>
        <v>243.44282945071117</v>
      </c>
      <c r="CX42" s="60">
        <f t="shared" si="14"/>
        <v>536.77616278404446</v>
      </c>
      <c r="CY42" s="60">
        <f ca="1">AVERAGE(OFFSET($CX$3,0,0,'Données projet'!$E$13+1,1))-AVERAGE(OFFSET($H$3,0,0,'Données projet'!$E$13+1,1))</f>
        <v>279.37339904167601</v>
      </c>
      <c r="CZ42" s="60">
        <f t="shared" si="42"/>
        <v>163.80861186980007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0" t="e">
        <f t="shared" si="17"/>
        <v>#N/A</v>
      </c>
      <c r="DT42" s="60" t="e">
        <f ca="1">AVERAGE(OFFSET($DS$3,0,0,'Données projet'!$E$14+1,1))-AVERAGE(OFFSET($H$3,0,0,'Données projet'!$E$14+1,1))</f>
        <v>#N/A</v>
      </c>
      <c r="DU42" s="60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10.919999999999995</v>
      </c>
      <c r="D43" s="12">
        <f t="shared" si="32"/>
        <v>3.8100053729925785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113.70530463362688</v>
      </c>
      <c r="H43" s="68">
        <f t="shared" si="1"/>
        <v>318.98809269129538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232.1076923076923</v>
      </c>
      <c r="L43" s="13">
        <f>VLOOKUP(A43,'Données projet'!$A$35:$I$55,9,0)</f>
        <v>9.5030769230769234</v>
      </c>
      <c r="M43" s="13">
        <f t="array" ref="M43">INDEX(L:L,MIN(IF(ISNUMBER(L43:L239),ROW(L43:L239),"")))</f>
        <v>9.5030769230769234</v>
      </c>
      <c r="N43" s="14">
        <f>IF('Données projet'!$A$36&gt;35,N42+M43-V42,IF(A43&lt;'Données projet'!$A$36,$K$205^A43,IF(A43='Données projet'!$A$36,'Données projet'!$B$36,N42+M43-V42)))</f>
        <v>232.10769230769228</v>
      </c>
      <c r="O43" s="14">
        <f>N43*VLOOKUP('Données projet'!$B$9,Paramètres!$A$1:$I$89,3,0)*VLOOKUP('Données projet'!$B$9,Paramètres!$A$1:$I$89,5,0)</f>
        <v>138.8004</v>
      </c>
      <c r="P43" s="14">
        <f t="shared" si="33"/>
        <v>36.022056495371388</v>
      </c>
      <c r="Q43" s="22">
        <f t="shared" si="53"/>
        <v>304.48244506277183</v>
      </c>
      <c r="R43" s="60">
        <f t="shared" si="0"/>
        <v>597.81577839610509</v>
      </c>
      <c r="S43" s="60">
        <f ca="1">AVERAGE(OFFSET($R$3,0,0,'Données projet'!$E$9+1,1))-AVERAGE(OFFSET($H$3,0,0,'Données projet'!$E$9+1,1))</f>
        <v>223.38593045370783</v>
      </c>
      <c r="T43" s="60">
        <f t="shared" si="34"/>
        <v>161.68519532023998</v>
      </c>
      <c r="U43" s="16">
        <f>IF(ISNA(VLOOKUP(A43,'Données projet'!$A$35:$I$55,3,0)),0,VLOOKUP(A43,'Données projet'!$A$35:$I$55,3,0))</f>
        <v>1</v>
      </c>
      <c r="V43" s="16">
        <f>IF(ISNA(VLOOKUP(A43,'Données projet'!$A$35:$I$55,4,0)),0,VLOOKUP(A43,'Données projet'!$A$35:$I$55,4,0))</f>
        <v>65.969230769230776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12.818181818181818</v>
      </c>
      <c r="AI43" s="14">
        <f>IF('Données projet'!$A$62&gt;35,AI42+AH43-AQ42,IF(A43&lt;'Données projet'!$A$62,$AF$205^A43,IF(A43='Données projet'!$A$62,'Données projet'!$B$62,AI42+AH43-AQ42)))</f>
        <v>160.63636363636357</v>
      </c>
      <c r="AJ43" s="14">
        <f>AI43*VLOOKUP('Données projet'!$B$10,Paramètres!$A$1:$I$89,3,0)*VLOOKUP('Données projet'!$B$10,Paramètres!$A$1:$I$89,5,0)</f>
        <v>96.060545454545419</v>
      </c>
      <c r="AK43" s="14">
        <f t="shared" si="35"/>
        <v>26.021292801855225</v>
      </c>
      <c r="AL43" s="22">
        <f t="shared" si="4"/>
        <v>212.62586829656445</v>
      </c>
      <c r="AM43" s="60">
        <f t="shared" si="5"/>
        <v>505.95920162989773</v>
      </c>
      <c r="AN43" s="60">
        <f ca="1">AVERAGE(OFFSET($AM$3,0,0,'Données projet'!$E$10+1,1))-AVERAGE(OFFSET($H$3,0,0,'Données projet'!$E$10+1,1))</f>
        <v>216.19747366796145</v>
      </c>
      <c r="AO43" s="60">
        <f t="shared" si="36"/>
        <v>122.08911898780889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0.38899596369133055</v>
      </c>
      <c r="AX43" s="23">
        <f t="shared" si="6"/>
        <v>0.38899596369133055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197.79999999999998</v>
      </c>
      <c r="BB43" s="13">
        <f>VLOOKUP(A43,'Données projet'!$A$87:$I$107,9,0)</f>
        <v>9.981538461538463</v>
      </c>
      <c r="BC43" s="13">
        <f t="array" ref="BC43">INDEX(BB:BB,MIN(IF(ISNUMBER(BB43:BB239),ROW(BB43:BB239),"")))</f>
        <v>9.981538461538463</v>
      </c>
      <c r="BD43" s="13">
        <f>IF('Données projet'!$A$88&gt;35,BD42+BC43-BL42,IF(A43&lt;'Données projet'!$A$88,$BA$205^A43,IF(A43='Données projet'!$A$88,'Données projet'!$B$88,BD42+BC43-BL42)))</f>
        <v>197.79999999999998</v>
      </c>
      <c r="BE43" s="14">
        <f>BD43*VLOOKUP('Données projet'!$B$11,Paramètres!$A$1:$I$89,3,0)*VLOOKUP('Données projet'!$B$11,Paramètres!$A$1:$I$89,5,0)</f>
        <v>92.570399999999978</v>
      </c>
      <c r="BF43" s="14">
        <f t="shared" si="37"/>
        <v>25.184123943972491</v>
      </c>
      <c r="BG43" s="22">
        <f t="shared" si="7"/>
        <v>205.08912920241869</v>
      </c>
      <c r="BH43" s="60">
        <f t="shared" si="8"/>
        <v>498.422462535752</v>
      </c>
      <c r="BI43" s="60">
        <f ca="1">AVERAGE(OFFSET($BH$3,0,0,'Données projet'!$E$11+1,1))-AVERAGE(OFFSET($H$3,0,0,'Données projet'!$E$11+1,1))</f>
        <v>179.52358670810645</v>
      </c>
      <c r="BJ43" s="60">
        <f t="shared" si="38"/>
        <v>89.471764801078166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119.23076923076923</v>
      </c>
      <c r="BW43" s="13">
        <f>VLOOKUP(A43,'Données projet'!$A$113:$I$133,9,0)</f>
        <v>5.1282051282051269</v>
      </c>
      <c r="BX43" s="13">
        <f t="array" ref="BX43">INDEX(BW:BW,MIN(IF(ISNUMBER(BW43:BW239),ROW(BW43:BW239),"")))</f>
        <v>5.1282051282051269</v>
      </c>
      <c r="BY43" s="13">
        <f>IF('Données projet'!$A$114&gt;35,BY42+BX43-CG42,IF(A43&lt;'Données projet'!$A$114,$BV$205^A43,IF(A43='Données projet'!$A$114,'Données projet'!$B$114,BY42+BX43-CG42)))</f>
        <v>119.2307692307692</v>
      </c>
      <c r="BZ43" s="14">
        <f>BY43*VLOOKUP('Données projet'!$B$12,Paramètres!$A$1:$I$89,3,0)*VLOOKUP('Données projet'!$B$12,Paramètres!$A$1:$I$89,5,0)</f>
        <v>124.61999999999999</v>
      </c>
      <c r="CA43" s="14">
        <f t="shared" si="39"/>
        <v>32.750157887033581</v>
      </c>
      <c r="CB43" s="22">
        <f t="shared" si="10"/>
        <v>274.08635831991677</v>
      </c>
      <c r="CC43" s="60">
        <f t="shared" si="11"/>
        <v>567.41969165325008</v>
      </c>
      <c r="CD43" s="60">
        <f ca="1">AVERAGE(OFFSET($CC$3,0,0,'Données projet'!$E$12+1,1))-AVERAGE(OFFSET($H$3,0,0,'Données projet'!$E$12+1,1))</f>
        <v>304.57411436867147</v>
      </c>
      <c r="CE43" s="60">
        <f t="shared" si="40"/>
        <v>178.19974548556962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17.307692307692307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119.23076923076923</v>
      </c>
      <c r="CR43" s="13">
        <f>VLOOKUP(A43,'Données projet'!$A$139:$I$159,9,0)</f>
        <v>5.1282051282051269</v>
      </c>
      <c r="CS43" s="13">
        <f t="array" ref="CS43">INDEX(CR:CR,MIN(IF(ISNUMBER(CR43:CR239),ROW(CR43:CR239),"")))</f>
        <v>5.1282051282051269</v>
      </c>
      <c r="CT43" s="13">
        <f>IF('Données projet'!$A$140&gt;35,CT42+CS43-DB42,IF(A43&lt;'Données projet'!$A$140,$CQ$205^A43,IF(A43='Données projet'!$A$140,'Données projet'!$B$140,CT42+CS43-DB42)))</f>
        <v>119.2307692307692</v>
      </c>
      <c r="CU43" s="18">
        <f>CT43*VLOOKUP('Données projet'!$B$13,Paramètres!$A$1:$I$89,3,0)*VLOOKUP('Données projet'!$B$13,Paramètres!$A$1:$I$89,5,0)</f>
        <v>115.31999999999998</v>
      </c>
      <c r="CV43" s="14">
        <f t="shared" si="41"/>
        <v>30.580951868652921</v>
      </c>
      <c r="CW43" s="22">
        <f t="shared" si="13"/>
        <v>254.11082450457045</v>
      </c>
      <c r="CX43" s="60">
        <f t="shared" si="14"/>
        <v>547.44415783790373</v>
      </c>
      <c r="CY43" s="60">
        <f ca="1">AVERAGE(OFFSET($CX$3,0,0,'Données projet'!$E$13+1,1))-AVERAGE(OFFSET($H$3,0,0,'Données projet'!$E$13+1,1))</f>
        <v>279.37339904167601</v>
      </c>
      <c r="CZ43" s="60">
        <f t="shared" si="42"/>
        <v>163.80861186980007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17.307692307692307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0" t="e">
        <f t="shared" si="17"/>
        <v>#N/A</v>
      </c>
      <c r="DT43" s="60" t="e">
        <f ca="1">AVERAGE(OFFSET($DS$3,0,0,'Données projet'!$E$14+1,1))-AVERAGE(OFFSET($H$3,0,0,'Données projet'!$E$14+1,1))</f>
        <v>#N/A</v>
      </c>
      <c r="DU43" s="60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11.192999999999994</v>
      </c>
      <c r="D44" s="12">
        <f t="shared" si="32"/>
        <v>3.8940470589111658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116.46141589334933</v>
      </c>
      <c r="H44" s="68">
        <f t="shared" si="1"/>
        <v>319.60994029427025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8.1876923076923109</v>
      </c>
      <c r="N44" s="14">
        <f>IF('Données projet'!$A$36&gt;35,N43+M44-V43,IF(A44&lt;'Données projet'!$A$36,$K$205^A44,IF(A44='Données projet'!$A$36,'Données projet'!$B$36,N43+M44-V43)))</f>
        <v>174.32615384615383</v>
      </c>
      <c r="O44" s="14">
        <f>N44*VLOOKUP('Données projet'!$B$9,Paramètres!$A$1:$I$89,3,0)*VLOOKUP('Données projet'!$B$9,Paramètres!$A$1:$I$89,5,0)</f>
        <v>104.24703999999998</v>
      </c>
      <c r="P44" s="14">
        <f t="shared" si="33"/>
        <v>27.971333983172304</v>
      </c>
      <c r="Q44" s="22">
        <f t="shared" si="53"/>
        <v>230.28033468735839</v>
      </c>
      <c r="R44" s="60">
        <f t="shared" si="0"/>
        <v>523.61366802069165</v>
      </c>
      <c r="S44" s="60">
        <f ca="1">AVERAGE(OFFSET($R$3,0,0,'Données projet'!$E$9+1,1))-AVERAGE(OFFSET($H$3,0,0,'Données projet'!$E$9+1,1))</f>
        <v>223.38593045370783</v>
      </c>
      <c r="T44" s="60">
        <f t="shared" si="34"/>
        <v>161.68519532023998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12.818181818181818</v>
      </c>
      <c r="AI44" s="14">
        <f>IF('Données projet'!$A$62&gt;35,AI43+AH44-AQ43,IF(A44&lt;'Données projet'!$A$62,$AF$205^A44,IF(A44='Données projet'!$A$62,'Données projet'!$B$62,AI43+AH44-AQ43)))</f>
        <v>173.45454545454538</v>
      </c>
      <c r="AJ44" s="14">
        <f>AI44*VLOOKUP('Données projet'!$B$10,Paramètres!$A$1:$I$89,3,0)*VLOOKUP('Données projet'!$B$10,Paramètres!$A$1:$I$89,5,0)</f>
        <v>103.72581818181814</v>
      </c>
      <c r="AK44" s="14">
        <f t="shared" si="35"/>
        <v>27.847723776023592</v>
      </c>
      <c r="AL44" s="22">
        <f t="shared" si="4"/>
        <v>229.157252243241</v>
      </c>
      <c r="AM44" s="60">
        <f t="shared" si="5"/>
        <v>522.49058557657429</v>
      </c>
      <c r="AN44" s="60">
        <f ca="1">AVERAGE(OFFSET($AM$3,0,0,'Données projet'!$E$10+1,1))-AVERAGE(OFFSET($H$3,0,0,'Données projet'!$E$10+1,1))</f>
        <v>216.19747366796145</v>
      </c>
      <c r="AO44" s="60">
        <f t="shared" si="36"/>
        <v>122.08911898780889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0.27506168378033585</v>
      </c>
      <c r="AX44" s="23">
        <f t="shared" si="6"/>
        <v>0.27506168378033585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10.869230769230773</v>
      </c>
      <c r="BD44" s="13">
        <f>IF('Données projet'!$A$88&gt;35,BD43+BC44-BL43,IF(A44&lt;'Données projet'!$A$88,$BA$205^A44,IF(A44='Données projet'!$A$88,'Données projet'!$B$88,BD43+BC44-BL43)))</f>
        <v>208.66923076923075</v>
      </c>
      <c r="BE44" s="14">
        <f>BD44*VLOOKUP('Données projet'!$B$11,Paramètres!$A$1:$I$89,3,0)*VLOOKUP('Données projet'!$B$11,Paramètres!$A$1:$I$89,5,0)</f>
        <v>97.657199999999989</v>
      </c>
      <c r="BF44" s="14">
        <f t="shared" si="37"/>
        <v>26.403090007431878</v>
      </c>
      <c r="BG44" s="22">
        <f t="shared" si="7"/>
        <v>216.07167176294379</v>
      </c>
      <c r="BH44" s="60">
        <f t="shared" si="8"/>
        <v>509.40500509627714</v>
      </c>
      <c r="BI44" s="60">
        <f ca="1">AVERAGE(OFFSET($BH$3,0,0,'Données projet'!$E$11+1,1))-AVERAGE(OFFSET($H$3,0,0,'Données projet'!$E$11+1,1))</f>
        <v>179.52358670810645</v>
      </c>
      <c r="BJ44" s="60">
        <f t="shared" si="38"/>
        <v>89.471764801078166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4.8717948717948731</v>
      </c>
      <c r="BY44" s="13">
        <f>IF('Données projet'!$A$114&gt;35,BY43+BX44-CG43,IF(A44&lt;'Données projet'!$A$114,$BV$205^A44,IF(A44='Données projet'!$A$114,'Données projet'!$B$114,BY43+BX44-CG43)))</f>
        <v>106.79487179487177</v>
      </c>
      <c r="BZ44" s="14">
        <f>BY44*VLOOKUP('Données projet'!$B$12,Paramètres!$A$1:$I$89,3,0)*VLOOKUP('Données projet'!$B$12,Paramètres!$A$1:$I$89,5,0)</f>
        <v>111.62199999999999</v>
      </c>
      <c r="CA44" s="14">
        <f t="shared" si="39"/>
        <v>29.712814248796512</v>
      </c>
      <c r="CB44" s="22">
        <f t="shared" si="10"/>
        <v>246.15813481665387</v>
      </c>
      <c r="CC44" s="60">
        <f t="shared" si="11"/>
        <v>539.49146814998721</v>
      </c>
      <c r="CD44" s="60">
        <f ca="1">AVERAGE(OFFSET($CC$3,0,0,'Données projet'!$E$12+1,1))-AVERAGE(OFFSET($H$3,0,0,'Données projet'!$E$12+1,1))</f>
        <v>304.57411436867147</v>
      </c>
      <c r="CE44" s="60">
        <f t="shared" si="40"/>
        <v>178.19974548556962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4.8717948717948731</v>
      </c>
      <c r="CT44" s="13">
        <f>IF('Données projet'!$A$140&gt;35,CT43+CS44-DB43,IF(A44&lt;'Données projet'!$A$140,$CQ$205^A44,IF(A44='Données projet'!$A$140,'Données projet'!$B$140,CT43+CS44-DB43)))</f>
        <v>106.79487179487177</v>
      </c>
      <c r="CU44" s="18">
        <f>CT44*VLOOKUP('Données projet'!$B$13,Paramètres!$A$1:$I$89,3,0)*VLOOKUP('Données projet'!$B$13,Paramètres!$A$1:$I$89,5,0)</f>
        <v>103.29199999999999</v>
      </c>
      <c r="CV44" s="14">
        <f t="shared" si="41"/>
        <v>27.744786622369883</v>
      </c>
      <c r="CW44" s="22">
        <f t="shared" si="13"/>
        <v>228.22240336729419</v>
      </c>
      <c r="CX44" s="60">
        <f t="shared" si="14"/>
        <v>521.55573670062745</v>
      </c>
      <c r="CY44" s="60">
        <f ca="1">AVERAGE(OFFSET($CX$3,0,0,'Données projet'!$E$13+1,1))-AVERAGE(OFFSET($H$3,0,0,'Données projet'!$E$13+1,1))</f>
        <v>279.37339904167601</v>
      </c>
      <c r="CZ44" s="60">
        <f t="shared" si="42"/>
        <v>163.80861186980007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0" t="e">
        <f t="shared" si="17"/>
        <v>#N/A</v>
      </c>
      <c r="DT44" s="60" t="e">
        <f ca="1">AVERAGE(OFFSET($DS$3,0,0,'Données projet'!$E$14+1,1))-AVERAGE(OFFSET($H$3,0,0,'Données projet'!$E$14+1,1))</f>
        <v>#N/A</v>
      </c>
      <c r="DU44" s="60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11.465999999999994</v>
      </c>
      <c r="D45" s="12">
        <f t="shared" si="32"/>
        <v>3.9778504618356023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119.21568777557304</v>
      </c>
      <c r="H45" s="68">
        <f t="shared" si="1"/>
        <v>320.23137288769698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8.1876923076923109</v>
      </c>
      <c r="N45" s="14">
        <f>IF('Données projet'!$A$36&gt;35,N44+M45-V44,IF(A45&lt;'Données projet'!$A$36,$K$205^A45,IF(A45='Données projet'!$A$36,'Données projet'!$B$36,N44+M45-V44)))</f>
        <v>182.51384615384615</v>
      </c>
      <c r="O45" s="14">
        <f>N45*VLOOKUP('Données projet'!$B$9,Paramètres!$A$1:$I$89,3,0)*VLOOKUP('Données projet'!$B$9,Paramètres!$A$1:$I$89,5,0)</f>
        <v>109.14328</v>
      </c>
      <c r="P45" s="14">
        <f t="shared" si="33"/>
        <v>29.129042897023677</v>
      </c>
      <c r="Q45" s="22">
        <f t="shared" si="53"/>
        <v>240.82429571231623</v>
      </c>
      <c r="R45" s="60">
        <f t="shared" si="0"/>
        <v>534.15762904564951</v>
      </c>
      <c r="S45" s="60">
        <f ca="1">AVERAGE(OFFSET($R$3,0,0,'Données projet'!$E$9+1,1))-AVERAGE(OFFSET($H$3,0,0,'Données projet'!$E$9+1,1))</f>
        <v>223.38593045370783</v>
      </c>
      <c r="T45" s="60">
        <f t="shared" si="34"/>
        <v>161.68519532023998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12.818181818181818</v>
      </c>
      <c r="AI45" s="14">
        <f>IF('Données projet'!$A$62&gt;35,AI44+AH45-AQ44,IF(A45&lt;'Données projet'!$A$62,$AF$205^A45,IF(A45='Données projet'!$A$62,'Données projet'!$B$62,AI44+AH45-AQ44)))</f>
        <v>186.2727272727272</v>
      </c>
      <c r="AJ45" s="14">
        <f>AI45*VLOOKUP('Données projet'!$B$10,Paramètres!$A$1:$I$89,3,0)*VLOOKUP('Données projet'!$B$10,Paramètres!$A$1:$I$89,5,0)</f>
        <v>111.39109090909088</v>
      </c>
      <c r="AK45" s="14">
        <f t="shared" si="35"/>
        <v>29.658496338747419</v>
      </c>
      <c r="AL45" s="22">
        <f t="shared" si="4"/>
        <v>245.66136445665168</v>
      </c>
      <c r="AM45" s="60">
        <f t="shared" si="5"/>
        <v>538.99469778998503</v>
      </c>
      <c r="AN45" s="60">
        <f ca="1">AVERAGE(OFFSET($AM$3,0,0,'Données projet'!$E$10+1,1))-AVERAGE(OFFSET($H$3,0,0,'Données projet'!$E$10+1,1))</f>
        <v>216.19747366796145</v>
      </c>
      <c r="AO45" s="60">
        <f t="shared" si="36"/>
        <v>122.08911898780889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0.19449798184566527</v>
      </c>
      <c r="AX45" s="23">
        <f t="shared" si="6"/>
        <v>0.19449798184566527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10.869230769230773</v>
      </c>
      <c r="BD45" s="13">
        <f>IF('Données projet'!$A$88&gt;35,BD44+BC45-BL44,IF(A45&lt;'Données projet'!$A$88,$BA$205^A45,IF(A45='Données projet'!$A$88,'Données projet'!$B$88,BD44+BC45-BL44)))</f>
        <v>219.53846153846152</v>
      </c>
      <c r="BE45" s="14">
        <f>BD45*VLOOKUP('Données projet'!$B$11,Paramètres!$A$1:$I$89,3,0)*VLOOKUP('Données projet'!$B$11,Paramètres!$A$1:$I$89,5,0)</f>
        <v>102.74399999999999</v>
      </c>
      <c r="BF45" s="14">
        <f t="shared" si="37"/>
        <v>27.614684221611544</v>
      </c>
      <c r="BG45" s="22">
        <f t="shared" si="7"/>
        <v>227.04137501930674</v>
      </c>
      <c r="BH45" s="60">
        <f t="shared" si="8"/>
        <v>520.37470835264003</v>
      </c>
      <c r="BI45" s="60">
        <f ca="1">AVERAGE(OFFSET($BH$3,0,0,'Données projet'!$E$11+1,1))-AVERAGE(OFFSET($H$3,0,0,'Données projet'!$E$11+1,1))</f>
        <v>179.52358670810645</v>
      </c>
      <c r="BJ45" s="60">
        <f t="shared" si="38"/>
        <v>89.471764801078166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4.8717948717948731</v>
      </c>
      <c r="BY45" s="13">
        <f>IF('Données projet'!$A$114&gt;35,BY44+BX45-CG44,IF(A45&lt;'Données projet'!$A$114,$BV$205^A45,IF(A45='Données projet'!$A$114,'Données projet'!$B$114,BY44+BX45-CG44)))</f>
        <v>111.66666666666664</v>
      </c>
      <c r="BZ45" s="14">
        <f>BY45*VLOOKUP('Données projet'!$B$12,Paramètres!$A$1:$I$89,3,0)*VLOOKUP('Données projet'!$B$12,Paramètres!$A$1:$I$89,5,0)</f>
        <v>116.71399999999997</v>
      </c>
      <c r="CA45" s="14">
        <f t="shared" si="39"/>
        <v>30.907359698069175</v>
      </c>
      <c r="CB45" s="22">
        <f t="shared" si="10"/>
        <v>257.10720147413707</v>
      </c>
      <c r="CC45" s="60">
        <f t="shared" si="11"/>
        <v>550.44053480747039</v>
      </c>
      <c r="CD45" s="60">
        <f ca="1">AVERAGE(OFFSET($CC$3,0,0,'Données projet'!$E$12+1,1))-AVERAGE(OFFSET($H$3,0,0,'Données projet'!$E$12+1,1))</f>
        <v>304.57411436867147</v>
      </c>
      <c r="CE45" s="60">
        <f t="shared" si="40"/>
        <v>178.19974548556962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4.8717948717948731</v>
      </c>
      <c r="CT45" s="13">
        <f>IF('Données projet'!$A$140&gt;35,CT44+CS45-DB44,IF(A45&lt;'Données projet'!$A$140,$CQ$205^A45,IF(A45='Données projet'!$A$140,'Données projet'!$B$140,CT44+CS45-DB44)))</f>
        <v>111.66666666666664</v>
      </c>
      <c r="CU45" s="18">
        <f>CT45*VLOOKUP('Données projet'!$B$13,Paramètres!$A$1:$I$89,3,0)*VLOOKUP('Données projet'!$B$13,Paramètres!$A$1:$I$89,5,0)</f>
        <v>108.00399999999998</v>
      </c>
      <c r="CV45" s="14">
        <f t="shared" si="41"/>
        <v>28.860211378950613</v>
      </c>
      <c r="CW45" s="22">
        <f t="shared" si="13"/>
        <v>238.37183481833893</v>
      </c>
      <c r="CX45" s="60">
        <f t="shared" si="14"/>
        <v>531.7051681516723</v>
      </c>
      <c r="CY45" s="60">
        <f ca="1">AVERAGE(OFFSET($CX$3,0,0,'Données projet'!$E$13+1,1))-AVERAGE(OFFSET($H$3,0,0,'Données projet'!$E$13+1,1))</f>
        <v>279.37339904167601</v>
      </c>
      <c r="CZ45" s="60">
        <f t="shared" si="42"/>
        <v>163.80861186980007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0" t="e">
        <f t="shared" si="17"/>
        <v>#N/A</v>
      </c>
      <c r="DT45" s="60" t="e">
        <f ca="1">AVERAGE(OFFSET($DS$3,0,0,'Données projet'!$E$14+1,1))-AVERAGE(OFFSET($H$3,0,0,'Données projet'!$E$14+1,1))</f>
        <v>#N/A</v>
      </c>
      <c r="DU45" s="60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11.738999999999994</v>
      </c>
      <c r="D46" s="12">
        <f t="shared" si="32"/>
        <v>4.061421907994597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121.96816911434421</v>
      </c>
      <c r="H46" s="68">
        <f t="shared" si="1"/>
        <v>320.8524014897572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8.1876923076923109</v>
      </c>
      <c r="N46" s="14">
        <f>IF('Données projet'!$A$36&gt;35,N45+M46-V45,IF(A46&lt;'Données projet'!$A$36,$K$205^A46,IF(A46='Données projet'!$A$36,'Données projet'!$B$36,N45+M46-V45)))</f>
        <v>190.70153846153846</v>
      </c>
      <c r="O46" s="14">
        <f>N46*VLOOKUP('Données projet'!$B$9,Paramètres!$A$1:$I$89,3,0)*VLOOKUP('Données projet'!$B$9,Paramètres!$A$1:$I$89,5,0)</f>
        <v>114.03952000000001</v>
      </c>
      <c r="P46" s="14">
        <f t="shared" si="33"/>
        <v>30.280720128023241</v>
      </c>
      <c r="Q46" s="22">
        <f t="shared" si="53"/>
        <v>251.35775155630714</v>
      </c>
      <c r="R46" s="60">
        <f t="shared" si="0"/>
        <v>544.69108488964048</v>
      </c>
      <c r="S46" s="60">
        <f ca="1">AVERAGE(OFFSET($R$3,0,0,'Données projet'!$E$9+1,1))-AVERAGE(OFFSET($H$3,0,0,'Données projet'!$E$9+1,1))</f>
        <v>223.38593045370783</v>
      </c>
      <c r="T46" s="60">
        <f t="shared" si="34"/>
        <v>161.68519532023998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12.818181818181818</v>
      </c>
      <c r="AI46" s="14">
        <f>IF('Données projet'!$A$62&gt;35,AI45+AH46-AQ45,IF(A46&lt;'Données projet'!$A$62,$AF$205^A46,IF(A46='Données projet'!$A$62,'Données projet'!$B$62,AI45+AH46-AQ45)))</f>
        <v>199.09090909090901</v>
      </c>
      <c r="AJ46" s="14">
        <f>AI46*VLOOKUP('Données projet'!$B$10,Paramètres!$A$1:$I$89,3,0)*VLOOKUP('Données projet'!$B$10,Paramètres!$A$1:$I$89,5,0)</f>
        <v>119.0563636363636</v>
      </c>
      <c r="AK46" s="14">
        <f t="shared" si="35"/>
        <v>31.454810586453245</v>
      </c>
      <c r="AL46" s="22">
        <f t="shared" si="4"/>
        <v>262.14029510473932</v>
      </c>
      <c r="AM46" s="60">
        <f t="shared" si="5"/>
        <v>555.47362843807264</v>
      </c>
      <c r="AN46" s="60">
        <f ca="1">AVERAGE(OFFSET($AM$3,0,0,'Données projet'!$E$10+1,1))-AVERAGE(OFFSET($H$3,0,0,'Données projet'!$E$10+1,1))</f>
        <v>216.19747366796145</v>
      </c>
      <c r="AO46" s="60">
        <f t="shared" si="36"/>
        <v>122.08911898780889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0.13753084189016793</v>
      </c>
      <c r="AX46" s="23">
        <f t="shared" si="6"/>
        <v>0.13753084189016793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10.869230769230773</v>
      </c>
      <c r="BD46" s="13">
        <f>IF('Données projet'!$A$88&gt;35,BD45+BC46-BL45,IF(A46&lt;'Données projet'!$A$88,$BA$205^A46,IF(A46='Données projet'!$A$88,'Données projet'!$B$88,BD45+BC46-BL45)))</f>
        <v>230.40769230769229</v>
      </c>
      <c r="BE46" s="14">
        <f>BD46*VLOOKUP('Données projet'!$B$11,Paramètres!$A$1:$I$89,3,0)*VLOOKUP('Données projet'!$B$11,Paramètres!$A$1:$I$89,5,0)</f>
        <v>107.8308</v>
      </c>
      <c r="BF46" s="14">
        <f t="shared" si="37"/>
        <v>28.819313214368158</v>
      </c>
      <c r="BG46" s="22">
        <f t="shared" si="7"/>
        <v>237.99894718169116</v>
      </c>
      <c r="BH46" s="60">
        <f t="shared" si="8"/>
        <v>531.33228051502442</v>
      </c>
      <c r="BI46" s="60">
        <f ca="1">AVERAGE(OFFSET($BH$3,0,0,'Données projet'!$E$11+1,1))-AVERAGE(OFFSET($H$3,0,0,'Données projet'!$E$11+1,1))</f>
        <v>179.52358670810645</v>
      </c>
      <c r="BJ46" s="60">
        <f t="shared" si="38"/>
        <v>89.471764801078166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4.8717948717948731</v>
      </c>
      <c r="BY46" s="13">
        <f>IF('Données projet'!$A$114&gt;35,BY45+BX46-CG45,IF(A46&lt;'Données projet'!$A$114,$BV$205^A46,IF(A46='Données projet'!$A$114,'Données projet'!$B$114,BY45+BX46-CG45)))</f>
        <v>116.53846153846152</v>
      </c>
      <c r="BZ46" s="14">
        <f>BY46*VLOOKUP('Données projet'!$B$12,Paramètres!$A$1:$I$89,3,0)*VLOOKUP('Données projet'!$B$12,Paramètres!$A$1:$I$89,5,0)</f>
        <v>121.80599999999998</v>
      </c>
      <c r="CA46" s="14">
        <f t="shared" si="39"/>
        <v>32.09585223561038</v>
      </c>
      <c r="CB46" s="22">
        <f t="shared" si="10"/>
        <v>268.04572597702139</v>
      </c>
      <c r="CC46" s="60">
        <f t="shared" si="11"/>
        <v>561.37905931035471</v>
      </c>
      <c r="CD46" s="60">
        <f ca="1">AVERAGE(OFFSET($CC$3,0,0,'Données projet'!$E$12+1,1))-AVERAGE(OFFSET($H$3,0,0,'Données projet'!$E$12+1,1))</f>
        <v>304.57411436867147</v>
      </c>
      <c r="CE46" s="60">
        <f t="shared" si="40"/>
        <v>178.19974548556962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4.8717948717948731</v>
      </c>
      <c r="CT46" s="13">
        <f>IF('Données projet'!$A$140&gt;35,CT45+CS46-DB45,IF(A46&lt;'Données projet'!$A$140,$CQ$205^A46,IF(A46='Données projet'!$A$140,'Données projet'!$B$140,CT45+CS46-DB45)))</f>
        <v>116.53846153846152</v>
      </c>
      <c r="CU46" s="18">
        <f>CT46*VLOOKUP('Données projet'!$B$13,Paramètres!$A$1:$I$89,3,0)*VLOOKUP('Données projet'!$B$13,Paramètres!$A$1:$I$89,5,0)</f>
        <v>112.71599999999998</v>
      </c>
      <c r="CV46" s="14">
        <f t="shared" si="41"/>
        <v>29.969984138281077</v>
      </c>
      <c r="CW46" s="22">
        <f t="shared" si="13"/>
        <v>248.51142237417287</v>
      </c>
      <c r="CX46" s="60">
        <f t="shared" si="14"/>
        <v>541.84475570750624</v>
      </c>
      <c r="CY46" s="60">
        <f ca="1">AVERAGE(OFFSET($CX$3,0,0,'Données projet'!$E$13+1,1))-AVERAGE(OFFSET($H$3,0,0,'Données projet'!$E$13+1,1))</f>
        <v>279.37339904167601</v>
      </c>
      <c r="CZ46" s="60">
        <f t="shared" si="42"/>
        <v>163.80861186980007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0" t="e">
        <f t="shared" si="17"/>
        <v>#N/A</v>
      </c>
      <c r="DT46" s="60" t="e">
        <f ca="1">AVERAGE(OFFSET($DS$3,0,0,'Données projet'!$E$14+1,1))-AVERAGE(OFFSET($H$3,0,0,'Données projet'!$E$14+1,1))</f>
        <v>#N/A</v>
      </c>
      <c r="DU46" s="60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12.011999999999993</v>
      </c>
      <c r="D47" s="12">
        <f t="shared" si="32"/>
        <v>4.1447674125853897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124.71890634276436</v>
      </c>
      <c r="H47" s="68">
        <f t="shared" si="1"/>
        <v>321.47303657691953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8.1876923076923109</v>
      </c>
      <c r="N47" s="14">
        <f>IF('Données projet'!$A$36&gt;35,N46+M47-V46,IF(A47&lt;'Données projet'!$A$36,$K$205^A47,IF(A47='Données projet'!$A$36,'Données projet'!$B$36,N46+M47-V46)))</f>
        <v>198.88923076923078</v>
      </c>
      <c r="O47" s="14">
        <f>N47*VLOOKUP('Données projet'!$B$9,Paramètres!$A$1:$I$89,3,0)*VLOOKUP('Données projet'!$B$9,Paramètres!$A$1:$I$89,5,0)</f>
        <v>118.93576000000002</v>
      </c>
      <c r="P47" s="14">
        <f t="shared" si="33"/>
        <v>31.426654247563029</v>
      </c>
      <c r="Q47" s="22">
        <f t="shared" si="53"/>
        <v>261.88120481450557</v>
      </c>
      <c r="R47" s="60">
        <f t="shared" si="0"/>
        <v>555.21453814783888</v>
      </c>
      <c r="S47" s="60">
        <f ca="1">AVERAGE(OFFSET($R$3,0,0,'Données projet'!$E$9+1,1))-AVERAGE(OFFSET($H$3,0,0,'Données projet'!$E$9+1,1))</f>
        <v>223.38593045370783</v>
      </c>
      <c r="T47" s="60">
        <f t="shared" si="34"/>
        <v>161.68519532023998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12.818181818181818</v>
      </c>
      <c r="AI47" s="14">
        <f>IF('Données projet'!$A$62&gt;35,AI46+AH47-AQ46,IF(A47&lt;'Données projet'!$A$62,$AF$205^A47,IF(A47='Données projet'!$A$62,'Données projet'!$B$62,AI46+AH47-AQ46)))</f>
        <v>211.90909090909082</v>
      </c>
      <c r="AJ47" s="14">
        <f>AI47*VLOOKUP('Données projet'!$B$10,Paramètres!$A$1:$I$89,3,0)*VLOOKUP('Données projet'!$B$10,Paramètres!$A$1:$I$89,5,0)</f>
        <v>126.72163636363632</v>
      </c>
      <c r="AK47" s="14">
        <f t="shared" si="35"/>
        <v>33.237703345000618</v>
      </c>
      <c r="AL47" s="22">
        <f t="shared" si="4"/>
        <v>278.5958499925427</v>
      </c>
      <c r="AM47" s="60">
        <f t="shared" si="5"/>
        <v>571.92918332587601</v>
      </c>
      <c r="AN47" s="60">
        <f ca="1">AVERAGE(OFFSET($AM$3,0,0,'Données projet'!$E$10+1,1))-AVERAGE(OFFSET($H$3,0,0,'Données projet'!$E$10+1,1))</f>
        <v>216.19747366796145</v>
      </c>
      <c r="AO47" s="60">
        <f t="shared" si="36"/>
        <v>122.08911898780889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9.7248990922832637E-2</v>
      </c>
      <c r="AX47" s="23">
        <f t="shared" si="6"/>
        <v>9.7248990922832637E-2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10.869230769230773</v>
      </c>
      <c r="BD47" s="13">
        <f>IF('Données projet'!$A$88&gt;35,BD46+BC47-BL46,IF(A47&lt;'Données projet'!$A$88,$BA$205^A47,IF(A47='Données projet'!$A$88,'Données projet'!$B$88,BD46+BC47-BL46)))</f>
        <v>241.27692307692305</v>
      </c>
      <c r="BE47" s="14">
        <f>BD47*VLOOKUP('Données projet'!$B$11,Paramètres!$A$1:$I$89,3,0)*VLOOKUP('Données projet'!$B$11,Paramètres!$A$1:$I$89,5,0)</f>
        <v>112.91759999999999</v>
      </c>
      <c r="BF47" s="14">
        <f t="shared" si="37"/>
        <v>30.017343081157474</v>
      </c>
      <c r="BG47" s="22">
        <f t="shared" si="7"/>
        <v>248.9450258663492</v>
      </c>
      <c r="BH47" s="60">
        <f t="shared" si="8"/>
        <v>542.27835919968254</v>
      </c>
      <c r="BI47" s="60">
        <f ca="1">AVERAGE(OFFSET($BH$3,0,0,'Données projet'!$E$11+1,1))-AVERAGE(OFFSET($H$3,0,0,'Données projet'!$E$11+1,1))</f>
        <v>179.52358670810645</v>
      </c>
      <c r="BJ47" s="60">
        <f t="shared" si="38"/>
        <v>89.471764801078166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4.8717948717948731</v>
      </c>
      <c r="BY47" s="13">
        <f>IF('Données projet'!$A$114&gt;35,BY46+BX47-CG46,IF(A47&lt;'Données projet'!$A$114,$BV$205^A47,IF(A47='Données projet'!$A$114,'Données projet'!$B$114,BY46+BX47-CG46)))</f>
        <v>121.41025641025639</v>
      </c>
      <c r="BZ47" s="14">
        <f>BY47*VLOOKUP('Données projet'!$B$12,Paramètres!$A$1:$I$89,3,0)*VLOOKUP('Données projet'!$B$12,Paramètres!$A$1:$I$89,5,0)</f>
        <v>126.898</v>
      </c>
      <c r="CA47" s="14">
        <f t="shared" si="39"/>
        <v>33.27857383327229</v>
      </c>
      <c r="CB47" s="22">
        <f t="shared" si="10"/>
        <v>278.97419942628261</v>
      </c>
      <c r="CC47" s="60">
        <f t="shared" si="11"/>
        <v>572.30753275961592</v>
      </c>
      <c r="CD47" s="60">
        <f ca="1">AVERAGE(OFFSET($CC$3,0,0,'Données projet'!$E$12+1,1))-AVERAGE(OFFSET($H$3,0,0,'Données projet'!$E$12+1,1))</f>
        <v>304.57411436867147</v>
      </c>
      <c r="CE47" s="60">
        <f t="shared" si="40"/>
        <v>178.19974548556962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4.8717948717948731</v>
      </c>
      <c r="CT47" s="13">
        <f>IF('Données projet'!$A$140&gt;35,CT46+CS47-DB46,IF(A47&lt;'Données projet'!$A$140,$CQ$205^A47,IF(A47='Données projet'!$A$140,'Données projet'!$B$140,CT46+CS47-DB46)))</f>
        <v>121.41025641025639</v>
      </c>
      <c r="CU47" s="18">
        <f>CT47*VLOOKUP('Données projet'!$B$13,Paramètres!$A$1:$I$89,3,0)*VLOOKUP('Données projet'!$B$13,Paramètres!$A$1:$I$89,5,0)</f>
        <v>117.42799999999998</v>
      </c>
      <c r="CV47" s="14">
        <f t="shared" si="41"/>
        <v>31.074368195813641</v>
      </c>
      <c r="CW47" s="22">
        <f t="shared" si="13"/>
        <v>258.64162460770871</v>
      </c>
      <c r="CX47" s="60">
        <f t="shared" si="14"/>
        <v>551.97495794104202</v>
      </c>
      <c r="CY47" s="60">
        <f ca="1">AVERAGE(OFFSET($CX$3,0,0,'Données projet'!$E$13+1,1))-AVERAGE(OFFSET($H$3,0,0,'Données projet'!$E$13+1,1))</f>
        <v>279.37339904167601</v>
      </c>
      <c r="CZ47" s="60">
        <f t="shared" si="42"/>
        <v>163.80861186980007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0" t="e">
        <f t="shared" si="17"/>
        <v>#N/A</v>
      </c>
      <c r="DT47" s="60" t="e">
        <f ca="1">AVERAGE(OFFSET($DS$3,0,0,'Données projet'!$E$14+1,1))-AVERAGE(OFFSET($H$3,0,0,'Données projet'!$E$14+1,1))</f>
        <v>#N/A</v>
      </c>
      <c r="DU47" s="60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12.284999999999993</v>
      </c>
      <c r="D48" s="12">
        <f t="shared" si="32"/>
        <v>4.2278927017817711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127.46794366287679</v>
      </c>
      <c r="H48" s="68">
        <f t="shared" si="1"/>
        <v>322.09328812226988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207.07692307692307</v>
      </c>
      <c r="L48" s="13">
        <f>VLOOKUP(A48,'Données projet'!$A$35:$I$55,9,0)</f>
        <v>8.1876923076923109</v>
      </c>
      <c r="M48" s="13">
        <f t="array" ref="M48">INDEX(L:L,MIN(IF(ISNUMBER(L48:L244),ROW(L48:L244),"")))</f>
        <v>8.1876923076923109</v>
      </c>
      <c r="N48" s="14">
        <f>IF('Données projet'!$A$36&gt;35,N47+M48-V47,IF(A48&lt;'Données projet'!$A$36,$K$205^A48,IF(A48='Données projet'!$A$36,'Données projet'!$B$36,N47+M48-V47)))</f>
        <v>207.07692307692309</v>
      </c>
      <c r="O48" s="14">
        <f>N48*VLOOKUP('Données projet'!$B$9,Paramètres!$A$1:$I$89,3,0)*VLOOKUP('Données projet'!$B$9,Paramètres!$A$1:$I$89,5,0)</f>
        <v>123.83200000000002</v>
      </c>
      <c r="P48" s="14">
        <f t="shared" si="33"/>
        <v>32.567108723351879</v>
      </c>
      <c r="Q48" s="22">
        <f t="shared" si="53"/>
        <v>272.39511435983792</v>
      </c>
      <c r="R48" s="60">
        <f t="shared" si="0"/>
        <v>565.72844769317123</v>
      </c>
      <c r="S48" s="60">
        <f ca="1">AVERAGE(OFFSET($R$3,0,0,'Données projet'!$E$9+1,1))-AVERAGE(OFFSET($H$3,0,0,'Données projet'!$E$9+1,1))</f>
        <v>223.38593045370783</v>
      </c>
      <c r="T48" s="60">
        <f t="shared" si="34"/>
        <v>161.68519532023998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12.818181818181818</v>
      </c>
      <c r="AI48" s="14">
        <f>IF('Données projet'!$A$62&gt;35,AI47+AH48-AQ47,IF(A48&lt;'Données projet'!$A$62,$AF$205^A48,IF(A48='Données projet'!$A$62,'Données projet'!$B$62,AI47+AH48-AQ47)))</f>
        <v>224.72727272727263</v>
      </c>
      <c r="AJ48" s="14">
        <f>AI48*VLOOKUP('Données projet'!$B$10,Paramètres!$A$1:$I$89,3,0)*VLOOKUP('Données projet'!$B$10,Paramètres!$A$1:$I$89,5,0)</f>
        <v>134.38690909090903</v>
      </c>
      <c r="AK48" s="14">
        <f t="shared" si="35"/>
        <v>35.008078919784097</v>
      </c>
      <c r="AL48" s="22">
        <f t="shared" si="4"/>
        <v>295.02960411862381</v>
      </c>
      <c r="AM48" s="60">
        <f t="shared" si="5"/>
        <v>588.36293745195712</v>
      </c>
      <c r="AN48" s="60">
        <f ca="1">AVERAGE(OFFSET($AM$3,0,0,'Données projet'!$E$10+1,1))-AVERAGE(OFFSET($H$3,0,0,'Données projet'!$E$10+1,1))</f>
        <v>216.19747366796145</v>
      </c>
      <c r="AO48" s="60">
        <f t="shared" si="36"/>
        <v>122.08911898780889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6.8765420945083963E-2</v>
      </c>
      <c r="AX48" s="23">
        <f t="shared" si="6"/>
        <v>6.8765420945083963E-2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252.14615384615385</v>
      </c>
      <c r="BB48" s="13">
        <f>VLOOKUP(A48,'Données projet'!$A$87:$I$107,9,0)</f>
        <v>10.869230769230773</v>
      </c>
      <c r="BC48" s="13">
        <f t="array" ref="BC48">INDEX(BB:BB,MIN(IF(ISNUMBER(BB48:BB244),ROW(BB48:BB244),"")))</f>
        <v>10.869230769230773</v>
      </c>
      <c r="BD48" s="13">
        <f>IF('Données projet'!$A$88&gt;35,BD47+BC48-BL47,IF(A48&lt;'Données projet'!$A$88,$BA$205^A48,IF(A48='Données projet'!$A$88,'Données projet'!$B$88,BD47+BC48-BL47)))</f>
        <v>252.14615384615382</v>
      </c>
      <c r="BE48" s="14">
        <f>BD48*VLOOKUP('Données projet'!$B$11,Paramètres!$A$1:$I$89,3,0)*VLOOKUP('Données projet'!$B$11,Paramètres!$A$1:$I$89,5,0)</f>
        <v>118.00439999999999</v>
      </c>
      <c r="BF48" s="14">
        <f t="shared" si="37"/>
        <v>31.209105068500421</v>
      </c>
      <c r="BG48" s="22">
        <f t="shared" si="7"/>
        <v>259.88018799430489</v>
      </c>
      <c r="BH48" s="60">
        <f t="shared" si="8"/>
        <v>553.2135213276382</v>
      </c>
      <c r="BI48" s="60">
        <f ca="1">AVERAGE(OFFSET($BH$3,0,0,'Données projet'!$E$11+1,1))-AVERAGE(OFFSET($H$3,0,0,'Données projet'!$E$11+1,1))</f>
        <v>179.52358670810645</v>
      </c>
      <c r="BJ48" s="60">
        <f t="shared" si="38"/>
        <v>89.471764801078166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126.28205128205128</v>
      </c>
      <c r="BW48" s="13">
        <f>VLOOKUP(A48,'Données projet'!$A$113:$I$133,9,0)</f>
        <v>4.8717948717948731</v>
      </c>
      <c r="BX48" s="13">
        <f t="array" ref="BX48">INDEX(BW:BW,MIN(IF(ISNUMBER(BW48:BW244),ROW(BW48:BW244),"")))</f>
        <v>4.8717948717948731</v>
      </c>
      <c r="BY48" s="13">
        <f>IF('Données projet'!$A$114&gt;35,BY47+BX48-CG47,IF(A48&lt;'Données projet'!$A$114,$BV$205^A48,IF(A48='Données projet'!$A$114,'Données projet'!$B$114,BY47+BX48-CG47)))</f>
        <v>126.28205128205127</v>
      </c>
      <c r="BZ48" s="14">
        <f>BY48*VLOOKUP('Données projet'!$B$12,Paramètres!$A$1:$I$89,3,0)*VLOOKUP('Données projet'!$B$12,Paramètres!$A$1:$I$89,5,0)</f>
        <v>131.98999999999998</v>
      </c>
      <c r="CA48" s="14">
        <f t="shared" si="39"/>
        <v>34.455782552862125</v>
      </c>
      <c r="CB48" s="22">
        <f t="shared" si="10"/>
        <v>289.89307127956818</v>
      </c>
      <c r="CC48" s="60">
        <f t="shared" si="11"/>
        <v>583.22640461290143</v>
      </c>
      <c r="CD48" s="60">
        <f ca="1">AVERAGE(OFFSET($CC$3,0,0,'Données projet'!$E$12+1,1))-AVERAGE(OFFSET($H$3,0,0,'Données projet'!$E$12+1,1))</f>
        <v>304.57411436867147</v>
      </c>
      <c r="CE48" s="60">
        <f t="shared" si="40"/>
        <v>178.19974548556962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126.28205128205128</v>
      </c>
      <c r="CR48" s="13">
        <f>VLOOKUP(A48,'Données projet'!$A$139:$I$159,9,0)</f>
        <v>4.8717948717948731</v>
      </c>
      <c r="CS48" s="13">
        <f t="array" ref="CS48">INDEX(CR:CR,MIN(IF(ISNUMBER(CR48:CR244),ROW(CR48:CR244),"")))</f>
        <v>4.8717948717948731</v>
      </c>
      <c r="CT48" s="13">
        <f>IF('Données projet'!$A$140&gt;35,CT47+CS48-DB47,IF(A48&lt;'Données projet'!$A$140,$CQ$205^A48,IF(A48='Données projet'!$A$140,'Données projet'!$B$140,CT47+CS48-DB47)))</f>
        <v>126.28205128205127</v>
      </c>
      <c r="CU48" s="18">
        <f>CT48*VLOOKUP('Données projet'!$B$13,Paramètres!$A$1:$I$89,3,0)*VLOOKUP('Données projet'!$B$13,Paramètres!$A$1:$I$89,5,0)</f>
        <v>122.13999999999999</v>
      </c>
      <c r="CV48" s="14">
        <f t="shared" si="41"/>
        <v>32.173604520637234</v>
      </c>
      <c r="CW48" s="22">
        <f t="shared" si="13"/>
        <v>268.76286120677645</v>
      </c>
      <c r="CX48" s="60">
        <f t="shared" si="14"/>
        <v>562.09619454010976</v>
      </c>
      <c r="CY48" s="60">
        <f ca="1">AVERAGE(OFFSET($CX$3,0,0,'Données projet'!$E$13+1,1))-AVERAGE(OFFSET($H$3,0,0,'Données projet'!$E$13+1,1))</f>
        <v>279.37339904167601</v>
      </c>
      <c r="CZ48" s="60">
        <f t="shared" si="42"/>
        <v>163.80861186980007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0" t="e">
        <f t="shared" si="17"/>
        <v>#N/A</v>
      </c>
      <c r="DT48" s="60" t="e">
        <f ca="1">AVERAGE(OFFSET($DS$3,0,0,'Données projet'!$E$14+1,1))-AVERAGE(OFFSET($H$3,0,0,'Données projet'!$E$14+1,1))</f>
        <v>#N/A</v>
      </c>
      <c r="DU48" s="60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12.557999999999993</v>
      </c>
      <c r="D49" s="12">
        <f t="shared" si="32"/>
        <v>4.3108032327306498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130.21532320002601</v>
      </c>
      <c r="H49" s="68">
        <f t="shared" si="1"/>
        <v>322.71316563033918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8.2215384615384615</v>
      </c>
      <c r="N49" s="14">
        <f>IF('Données projet'!$A$36&gt;35,N48+M49-V48,IF(A49&lt;'Données projet'!$A$36,$K$205^A49,IF(A49='Données projet'!$A$36,'Données projet'!$B$36,N48+M49-V48)))</f>
        <v>215.29846153846157</v>
      </c>
      <c r="O49" s="14">
        <f>N49*VLOOKUP('Données projet'!$B$9,Paramètres!$A$1:$I$89,3,0)*VLOOKUP('Données projet'!$B$9,Paramètres!$A$1:$I$89,5,0)</f>
        <v>128.74848000000003</v>
      </c>
      <c r="P49" s="14">
        <f t="shared" si="33"/>
        <v>33.707007190719608</v>
      </c>
      <c r="Q49" s="22">
        <f t="shared" si="53"/>
        <v>282.94330685717</v>
      </c>
      <c r="R49" s="60">
        <f t="shared" si="0"/>
        <v>576.27664019050326</v>
      </c>
      <c r="S49" s="60">
        <f ca="1">AVERAGE(OFFSET($R$3,0,0,'Données projet'!$E$9+1,1))-AVERAGE(OFFSET($H$3,0,0,'Données projet'!$E$9+1,1))</f>
        <v>223.38593045370783</v>
      </c>
      <c r="T49" s="60">
        <f t="shared" si="34"/>
        <v>161.68519532023998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12.818181818181818</v>
      </c>
      <c r="AI49" s="14">
        <f>IF('Données projet'!$A$62&gt;35,AI48+AH49-AQ48,IF(A49&lt;'Données projet'!$A$62,$AF$205^A49,IF(A49='Données projet'!$A$62,'Données projet'!$B$62,AI48+AH49-AQ48)))</f>
        <v>237.54545454545445</v>
      </c>
      <c r="AJ49" s="14">
        <f>AI49*VLOOKUP('Données projet'!$B$10,Paramètres!$A$1:$I$89,3,0)*VLOOKUP('Données projet'!$B$10,Paramètres!$A$1:$I$89,5,0)</f>
        <v>142.05218181818177</v>
      </c>
      <c r="AK49" s="14">
        <f t="shared" si="35"/>
        <v>36.766732628338723</v>
      </c>
      <c r="AL49" s="22">
        <f t="shared" si="4"/>
        <v>311.44294266102321</v>
      </c>
      <c r="AM49" s="60">
        <f t="shared" si="5"/>
        <v>604.77627599435652</v>
      </c>
      <c r="AN49" s="60">
        <f ca="1">AVERAGE(OFFSET($AM$3,0,0,'Données projet'!$E$10+1,1))-AVERAGE(OFFSET($H$3,0,0,'Données projet'!$E$10+1,1))</f>
        <v>216.19747366796145</v>
      </c>
      <c r="AO49" s="60">
        <f t="shared" si="36"/>
        <v>122.08911898780889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4.8624495461416319E-2</v>
      </c>
      <c r="AX49" s="23">
        <f t="shared" si="6"/>
        <v>4.8624495461416319E-2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11.615384615384608</v>
      </c>
      <c r="BD49" s="13">
        <f>IF('Données projet'!$A$88&gt;35,BD48+BC49-BL48,IF(A49&lt;'Données projet'!$A$88,$BA$205^A49,IF(A49='Données projet'!$A$88,'Données projet'!$B$88,BD48+BC49-BL48)))</f>
        <v>263.76153846153841</v>
      </c>
      <c r="BE49" s="14">
        <f>BD49*VLOOKUP('Données projet'!$B$11,Paramètres!$A$1:$I$89,3,0)*VLOOKUP('Données projet'!$B$11,Paramètres!$A$1:$I$89,5,0)</f>
        <v>123.44039999999998</v>
      </c>
      <c r="BF49" s="14">
        <f t="shared" si="37"/>
        <v>32.476091260477197</v>
      </c>
      <c r="BG49" s="22">
        <f t="shared" si="7"/>
        <v>271.55455561199773</v>
      </c>
      <c r="BH49" s="60">
        <f t="shared" si="8"/>
        <v>564.88788894533104</v>
      </c>
      <c r="BI49" s="60">
        <f ca="1">AVERAGE(OFFSET($BH$3,0,0,'Données projet'!$E$11+1,1))-AVERAGE(OFFSET($H$3,0,0,'Données projet'!$E$11+1,1))</f>
        <v>179.52358670810645</v>
      </c>
      <c r="BJ49" s="60">
        <f t="shared" si="38"/>
        <v>89.471764801078166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4.6153846153846159</v>
      </c>
      <c r="BY49" s="13">
        <f>IF('Données projet'!$A$114&gt;35,BY48+BX49-CG48,IF(A49&lt;'Données projet'!$A$114,$BV$205^A49,IF(A49='Données projet'!$A$114,'Données projet'!$B$114,BY48+BX49-CG48)))</f>
        <v>130.89743589743588</v>
      </c>
      <c r="BZ49" s="14">
        <f>BY49*VLOOKUP('Données projet'!$B$12,Paramètres!$A$1:$I$89,3,0)*VLOOKUP('Données projet'!$B$12,Paramètres!$A$1:$I$89,5,0)</f>
        <v>136.81399999999999</v>
      </c>
      <c r="CA49" s="14">
        <f t="shared" si="39"/>
        <v>35.566162662783157</v>
      </c>
      <c r="CB49" s="22">
        <f t="shared" si="10"/>
        <v>300.2287833043473</v>
      </c>
      <c r="CC49" s="60">
        <f t="shared" si="11"/>
        <v>593.56211663768067</v>
      </c>
      <c r="CD49" s="60">
        <f ca="1">AVERAGE(OFFSET($CC$3,0,0,'Données projet'!$E$12+1,1))-AVERAGE(OFFSET($H$3,0,0,'Données projet'!$E$12+1,1))</f>
        <v>304.57411436867147</v>
      </c>
      <c r="CE49" s="60">
        <f t="shared" si="40"/>
        <v>178.19974548556962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4.6153846153846159</v>
      </c>
      <c r="CT49" s="13">
        <f>IF('Données projet'!$A$140&gt;35,CT48+CS49-DB48,IF(A49&lt;'Données projet'!$A$140,$CQ$205^A49,IF(A49='Données projet'!$A$140,'Données projet'!$B$140,CT48+CS49-DB48)))</f>
        <v>130.89743589743588</v>
      </c>
      <c r="CU49" s="18">
        <f>CT49*VLOOKUP('Données projet'!$B$13,Paramètres!$A$1:$I$89,3,0)*VLOOKUP('Données projet'!$B$13,Paramètres!$A$1:$I$89,5,0)</f>
        <v>126.604</v>
      </c>
      <c r="CV49" s="14">
        <f t="shared" si="41"/>
        <v>33.21043862734701</v>
      </c>
      <c r="CW49" s="22">
        <f t="shared" si="13"/>
        <v>278.34348060929602</v>
      </c>
      <c r="CX49" s="60">
        <f t="shared" si="14"/>
        <v>571.67681394262934</v>
      </c>
      <c r="CY49" s="60">
        <f ca="1">AVERAGE(OFFSET($CX$3,0,0,'Données projet'!$E$13+1,1))-AVERAGE(OFFSET($H$3,0,0,'Données projet'!$E$13+1,1))</f>
        <v>279.37339904167601</v>
      </c>
      <c r="CZ49" s="60">
        <f t="shared" si="42"/>
        <v>163.80861186980007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0" t="e">
        <f t="shared" si="17"/>
        <v>#N/A</v>
      </c>
      <c r="DT49" s="60" t="e">
        <f ca="1">AVERAGE(OFFSET($DS$3,0,0,'Données projet'!$E$14+1,1))-AVERAGE(OFFSET($H$3,0,0,'Données projet'!$E$14+1,1))</f>
        <v>#N/A</v>
      </c>
      <c r="DU49" s="60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12.830999999999992</v>
      </c>
      <c r="D50" s="12">
        <f t="shared" si="32"/>
        <v>4.3935042117607646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132.96108514341637</v>
      </c>
      <c r="H50" s="68">
        <f t="shared" si="1"/>
        <v>323.33267816881664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8.2215384615384615</v>
      </c>
      <c r="N50" s="14">
        <f>IF('Données projet'!$A$36&gt;35,N49+M50-V49,IF(A50&lt;'Données projet'!$A$36,$K$205^A50,IF(A50='Données projet'!$A$36,'Données projet'!$B$36,N49+M50-V49)))</f>
        <v>223.52000000000004</v>
      </c>
      <c r="O50" s="14">
        <f>N50*VLOOKUP('Données projet'!$B$9,Paramètres!$A$1:$I$89,3,0)*VLOOKUP('Données projet'!$B$9,Paramètres!$A$1:$I$89,5,0)</f>
        <v>133.66496000000004</v>
      </c>
      <c r="P50" s="14">
        <f t="shared" si="33"/>
        <v>34.841848832584269</v>
      </c>
      <c r="Q50" s="22">
        <f t="shared" si="53"/>
        <v>293.48269205008432</v>
      </c>
      <c r="R50" s="60">
        <f t="shared" si="0"/>
        <v>586.81602538341758</v>
      </c>
      <c r="S50" s="60">
        <f ca="1">AVERAGE(OFFSET($R$3,0,0,'Données projet'!$E$9+1,1))-AVERAGE(OFFSET($H$3,0,0,'Données projet'!$E$9+1,1))</f>
        <v>223.38593045370783</v>
      </c>
      <c r="T50" s="60">
        <f t="shared" si="34"/>
        <v>161.68519532023998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12.818181818181818</v>
      </c>
      <c r="AI50" s="14">
        <f>IF('Données projet'!$A$62&gt;35,AI49+AH50-AQ49,IF(A50&lt;'Données projet'!$A$62,$AF$205^A50,IF(A50='Données projet'!$A$62,'Données projet'!$B$62,AI49+AH50-AQ49)))</f>
        <v>250.36363636363626</v>
      </c>
      <c r="AJ50" s="14">
        <f>AI50*VLOOKUP('Données projet'!$B$10,Paramètres!$A$1:$I$89,3,0)*VLOOKUP('Données projet'!$B$10,Paramètres!$A$1:$I$89,5,0)</f>
        <v>149.7174545454545</v>
      </c>
      <c r="AK50" s="14">
        <f t="shared" si="35"/>
        <v>38.514369108360931</v>
      </c>
      <c r="AL50" s="22">
        <f t="shared" si="4"/>
        <v>327.83709286372851</v>
      </c>
      <c r="AM50" s="60">
        <f t="shared" si="5"/>
        <v>621.17042619706183</v>
      </c>
      <c r="AN50" s="60">
        <f ca="1">AVERAGE(OFFSET($AM$3,0,0,'Données projet'!$E$10+1,1))-AVERAGE(OFFSET($H$3,0,0,'Données projet'!$E$10+1,1))</f>
        <v>216.19747366796145</v>
      </c>
      <c r="AO50" s="60">
        <f t="shared" si="36"/>
        <v>122.08911898780889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3.4382710472541982E-2</v>
      </c>
      <c r="AX50" s="23">
        <f t="shared" si="6"/>
        <v>3.4382710472541982E-2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11.615384615384608</v>
      </c>
      <c r="BD50" s="13">
        <f>IF('Données projet'!$A$88&gt;35,BD49+BC50-BL49,IF(A50&lt;'Données projet'!$A$88,$BA$205^A50,IF(A50='Données projet'!$A$88,'Données projet'!$B$88,BD49+BC50-BL49)))</f>
        <v>275.37692307692299</v>
      </c>
      <c r="BE50" s="14">
        <f>BD50*VLOOKUP('Données projet'!$B$11,Paramètres!$A$1:$I$89,3,0)*VLOOKUP('Données projet'!$B$11,Paramètres!$A$1:$I$89,5,0)</f>
        <v>128.87639999999996</v>
      </c>
      <c r="BF50" s="14">
        <f t="shared" si="37"/>
        <v>33.736597338654839</v>
      </c>
      <c r="BG50" s="22">
        <f t="shared" si="7"/>
        <v>283.21763703149043</v>
      </c>
      <c r="BH50" s="60">
        <f t="shared" si="8"/>
        <v>576.5509703648238</v>
      </c>
      <c r="BI50" s="60">
        <f ca="1">AVERAGE(OFFSET($BH$3,0,0,'Données projet'!$E$11+1,1))-AVERAGE(OFFSET($H$3,0,0,'Données projet'!$E$11+1,1))</f>
        <v>179.52358670810645</v>
      </c>
      <c r="BJ50" s="60">
        <f t="shared" si="38"/>
        <v>89.471764801078166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4.6153846153846159</v>
      </c>
      <c r="BY50" s="13">
        <f>IF('Données projet'!$A$114&gt;35,BY49+BX50-CG49,IF(A50&lt;'Données projet'!$A$114,$BV$205^A50,IF(A50='Données projet'!$A$114,'Données projet'!$B$114,BY49+BX50-CG49)))</f>
        <v>135.5128205128205</v>
      </c>
      <c r="BZ50" s="14">
        <f>BY50*VLOOKUP('Données projet'!$B$12,Paramètres!$A$1:$I$89,3,0)*VLOOKUP('Données projet'!$B$12,Paramètres!$A$1:$I$89,5,0)</f>
        <v>141.63799999999998</v>
      </c>
      <c r="CA50" s="14">
        <f t="shared" si="39"/>
        <v>36.671993881302122</v>
      </c>
      <c r="CB50" s="22">
        <f t="shared" si="10"/>
        <v>310.55657267660109</v>
      </c>
      <c r="CC50" s="60">
        <f t="shared" si="11"/>
        <v>603.88990600993441</v>
      </c>
      <c r="CD50" s="60">
        <f ca="1">AVERAGE(OFFSET($CC$3,0,0,'Données projet'!$E$12+1,1))-AVERAGE(OFFSET($H$3,0,0,'Données projet'!$E$12+1,1))</f>
        <v>304.57411436867147</v>
      </c>
      <c r="CE50" s="60">
        <f t="shared" si="40"/>
        <v>178.19974548556962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4.6153846153846159</v>
      </c>
      <c r="CT50" s="13">
        <f>IF('Données projet'!$A$140&gt;35,CT49+CS50-DB49,IF(A50&lt;'Données projet'!$A$140,$CQ$205^A50,IF(A50='Données projet'!$A$140,'Données projet'!$B$140,CT49+CS50-DB49)))</f>
        <v>135.5128205128205</v>
      </c>
      <c r="CU50" s="18">
        <f>CT50*VLOOKUP('Données projet'!$B$13,Paramètres!$A$1:$I$89,3,0)*VLOOKUP('Données projet'!$B$13,Paramètres!$A$1:$I$89,5,0)</f>
        <v>131.06799999999998</v>
      </c>
      <c r="CV50" s="14">
        <f t="shared" si="41"/>
        <v>34.243025138380901</v>
      </c>
      <c r="CW50" s="22">
        <f t="shared" si="13"/>
        <v>287.91670211601337</v>
      </c>
      <c r="CX50" s="60">
        <f t="shared" si="14"/>
        <v>581.25003544934668</v>
      </c>
      <c r="CY50" s="60">
        <f ca="1">AVERAGE(OFFSET($CX$3,0,0,'Données projet'!$E$13+1,1))-AVERAGE(OFFSET($H$3,0,0,'Données projet'!$E$13+1,1))</f>
        <v>279.37339904167601</v>
      </c>
      <c r="CZ50" s="60">
        <f t="shared" si="42"/>
        <v>163.80861186980007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0" t="e">
        <f t="shared" si="17"/>
        <v>#N/A</v>
      </c>
      <c r="DT50" s="60" t="e">
        <f ca="1">AVERAGE(OFFSET($DS$3,0,0,'Données projet'!$E$14+1,1))-AVERAGE(OFFSET($H$3,0,0,'Données projet'!$E$14+1,1))</f>
        <v>#N/A</v>
      </c>
      <c r="DU50" s="60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13.103999999999992</v>
      </c>
      <c r="D51" s="12">
        <f t="shared" si="32"/>
        <v>4.4760006109979766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135.70526787437032</v>
      </c>
      <c r="H51" s="68">
        <f t="shared" si="1"/>
        <v>323.95183439748808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8.2215384615384615</v>
      </c>
      <c r="N51" s="14">
        <f>IF('Données projet'!$A$36&gt;35,N50+M51-V50,IF(A51&lt;'Données projet'!$A$36,$K$205^A51,IF(A51='Données projet'!$A$36,'Données projet'!$B$36,N50+M51-V50)))</f>
        <v>231.74153846153851</v>
      </c>
      <c r="O51" s="14">
        <f>N51*VLOOKUP('Données projet'!$B$9,Paramètres!$A$1:$I$89,3,0)*VLOOKUP('Données projet'!$B$9,Paramètres!$A$1:$I$89,5,0)</f>
        <v>138.58144000000004</v>
      </c>
      <c r="P51" s="14">
        <f t="shared" si="33"/>
        <v>35.971840951388067</v>
      </c>
      <c r="Q51" s="22">
        <f t="shared" si="53"/>
        <v>304.01363099033426</v>
      </c>
      <c r="R51" s="60">
        <f t="shared" si="0"/>
        <v>597.34696432366763</v>
      </c>
      <c r="S51" s="60">
        <f ca="1">AVERAGE(OFFSET($R$3,0,0,'Données projet'!$E$9+1,1))-AVERAGE(OFFSET($H$3,0,0,'Données projet'!$E$9+1,1))</f>
        <v>223.38593045370783</v>
      </c>
      <c r="T51" s="60">
        <f t="shared" si="34"/>
        <v>161.68519532023998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12.818181818181818</v>
      </c>
      <c r="AI51" s="14">
        <f>IF('Données projet'!$A$62&gt;35,AI50+AH51-AQ50,IF(A51&lt;'Données projet'!$A$62,$AF$205^A51,IF(A51='Données projet'!$A$62,'Données projet'!$B$62,AI50+AH51-AQ50)))</f>
        <v>263.18181818181807</v>
      </c>
      <c r="AJ51" s="14">
        <f>AI51*VLOOKUP('Données projet'!$B$10,Paramètres!$A$1:$I$89,3,0)*VLOOKUP('Données projet'!$B$10,Paramètres!$A$1:$I$89,5,0)</f>
        <v>157.38272727272721</v>
      </c>
      <c r="AK51" s="14">
        <f t="shared" si="35"/>
        <v>40.251616769645032</v>
      </c>
      <c r="AL51" s="22">
        <f t="shared" si="4"/>
        <v>344.21314920713166</v>
      </c>
      <c r="AM51" s="60">
        <f t="shared" si="5"/>
        <v>637.54648254046492</v>
      </c>
      <c r="AN51" s="60">
        <f ca="1">AVERAGE(OFFSET($AM$3,0,0,'Données projet'!$E$10+1,1))-AVERAGE(OFFSET($H$3,0,0,'Données projet'!$E$10+1,1))</f>
        <v>216.19747366796145</v>
      </c>
      <c r="AO51" s="60">
        <f t="shared" si="36"/>
        <v>122.08911898780889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2.4312247730708159E-2</v>
      </c>
      <c r="AX51" s="23">
        <f t="shared" si="6"/>
        <v>2.4312247730708159E-2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11.615384615384608</v>
      </c>
      <c r="BD51" s="13">
        <f>IF('Données projet'!$A$88&gt;35,BD50+BC51-BL50,IF(A51&lt;'Données projet'!$A$88,$BA$205^A51,IF(A51='Données projet'!$A$88,'Données projet'!$B$88,BD50+BC51-BL50)))</f>
        <v>286.99230769230758</v>
      </c>
      <c r="BE51" s="14">
        <f>BD51*VLOOKUP('Données projet'!$B$11,Paramètres!$A$1:$I$89,3,0)*VLOOKUP('Données projet'!$B$11,Paramètres!$A$1:$I$89,5,0)</f>
        <v>134.31239999999994</v>
      </c>
      <c r="BF51" s="14">
        <f t="shared" si="37"/>
        <v>34.990927885997522</v>
      </c>
      <c r="BG51" s="22">
        <f t="shared" si="7"/>
        <v>294.86996273477894</v>
      </c>
      <c r="BH51" s="60">
        <f t="shared" si="8"/>
        <v>588.20329606811219</v>
      </c>
      <c r="BI51" s="60">
        <f ca="1">AVERAGE(OFFSET($BH$3,0,0,'Données projet'!$E$11+1,1))-AVERAGE(OFFSET($H$3,0,0,'Données projet'!$E$11+1,1))</f>
        <v>179.52358670810645</v>
      </c>
      <c r="BJ51" s="60">
        <f t="shared" si="38"/>
        <v>89.471764801078166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4.6153846153846159</v>
      </c>
      <c r="BY51" s="13">
        <f>IF('Données projet'!$A$114&gt;35,BY50+BX51-CG50,IF(A51&lt;'Données projet'!$A$114,$BV$205^A51,IF(A51='Données projet'!$A$114,'Données projet'!$B$114,BY50+BX51-CG50)))</f>
        <v>140.12820512820511</v>
      </c>
      <c r="BZ51" s="14">
        <f>BY51*VLOOKUP('Données projet'!$B$12,Paramètres!$A$1:$I$89,3,0)*VLOOKUP('Données projet'!$B$12,Paramètres!$A$1:$I$89,5,0)</f>
        <v>146.46199999999999</v>
      </c>
      <c r="CA51" s="14">
        <f t="shared" si="39"/>
        <v>37.773448896739666</v>
      </c>
      <c r="CB51" s="22">
        <f t="shared" si="10"/>
        <v>320.8767401618216</v>
      </c>
      <c r="CC51" s="60">
        <f t="shared" si="11"/>
        <v>614.21007349515492</v>
      </c>
      <c r="CD51" s="60">
        <f ca="1">AVERAGE(OFFSET($CC$3,0,0,'Données projet'!$E$12+1,1))-AVERAGE(OFFSET($H$3,0,0,'Données projet'!$E$12+1,1))</f>
        <v>304.57411436867147</v>
      </c>
      <c r="CE51" s="60">
        <f t="shared" si="40"/>
        <v>178.19974548556962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4.6153846153846159</v>
      </c>
      <c r="CT51" s="13">
        <f>IF('Données projet'!$A$140&gt;35,CT50+CS51-DB50,IF(A51&lt;'Données projet'!$A$140,$CQ$205^A51,IF(A51='Données projet'!$A$140,'Données projet'!$B$140,CT50+CS51-DB50)))</f>
        <v>140.12820512820511</v>
      </c>
      <c r="CU51" s="18">
        <f>CT51*VLOOKUP('Données projet'!$B$13,Paramètres!$A$1:$I$89,3,0)*VLOOKUP('Données projet'!$B$13,Paramètres!$A$1:$I$89,5,0)</f>
        <v>135.53199999999998</v>
      </c>
      <c r="CV51" s="14">
        <f t="shared" si="41"/>
        <v>35.271525304052403</v>
      </c>
      <c r="CW51" s="22">
        <f t="shared" si="13"/>
        <v>297.48280657122456</v>
      </c>
      <c r="CX51" s="60">
        <f t="shared" si="14"/>
        <v>590.81613990455787</v>
      </c>
      <c r="CY51" s="60">
        <f ca="1">AVERAGE(OFFSET($CX$3,0,0,'Données projet'!$E$13+1,1))-AVERAGE(OFFSET($H$3,0,0,'Données projet'!$E$13+1,1))</f>
        <v>279.37339904167601</v>
      </c>
      <c r="CZ51" s="60">
        <f t="shared" si="42"/>
        <v>163.80861186980007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0" t="e">
        <f t="shared" si="17"/>
        <v>#N/A</v>
      </c>
      <c r="DT51" s="60" t="e">
        <f ca="1">AVERAGE(OFFSET($DS$3,0,0,'Données projet'!$E$14+1,1))-AVERAGE(OFFSET($H$3,0,0,'Données projet'!$E$14+1,1))</f>
        <v>#N/A</v>
      </c>
      <c r="DU51" s="60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13.376999999999992</v>
      </c>
      <c r="D52" s="12">
        <f t="shared" si="32"/>
        <v>4.5582971835568689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138.44790808359684</v>
      </c>
      <c r="H52" s="68">
        <f t="shared" si="1"/>
        <v>324.57064259469485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8.2215384615384615</v>
      </c>
      <c r="N52" s="14">
        <f>IF('Données projet'!$A$36&gt;35,N51+M52-V51,IF(A52&lt;'Données projet'!$A$36,$K$205^A52,IF(A52='Données projet'!$A$36,'Données projet'!$B$36,N51+M52-V51)))</f>
        <v>239.96307692307698</v>
      </c>
      <c r="O52" s="14">
        <f>N52*VLOOKUP('Données projet'!$B$9,Paramètres!$A$1:$I$89,3,0)*VLOOKUP('Données projet'!$B$9,Paramètres!$A$1:$I$89,5,0)</f>
        <v>143.49792000000005</v>
      </c>
      <c r="P52" s="14">
        <f t="shared" si="33"/>
        <v>37.097175306649724</v>
      </c>
      <c r="Q52" s="22">
        <f t="shared" si="53"/>
        <v>314.53645765908169</v>
      </c>
      <c r="R52" s="60">
        <f t="shared" si="0"/>
        <v>607.86979099241501</v>
      </c>
      <c r="S52" s="60">
        <f ca="1">AVERAGE(OFFSET($R$3,0,0,'Données projet'!$E$9+1,1))-AVERAGE(OFFSET($H$3,0,0,'Données projet'!$E$9+1,1))</f>
        <v>223.38593045370783</v>
      </c>
      <c r="T52" s="60">
        <f t="shared" si="34"/>
        <v>161.68519532023998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>
        <f>VLOOKUP(A52,'Données projet'!$A$61:$I$81,2,0)</f>
        <v>276</v>
      </c>
      <c r="AG52" s="13">
        <f>VLOOKUP(A52,'Données projet'!$A$61:$I$81,9,0)</f>
        <v>12.818181818181818</v>
      </c>
      <c r="AH52" s="13">
        <f t="array" ref="AH52">INDEX(AG:AG,MIN(IF(ISNUMBER(AG52:AG248),ROW(AG52:AG248),"")))</f>
        <v>12.818181818181818</v>
      </c>
      <c r="AI52" s="14">
        <f>IF('Données projet'!$A$62&gt;35,AI51+AH52-AQ51,IF(A52&lt;'Données projet'!$A$62,$AF$205^A52,IF(A52='Données projet'!$A$62,'Données projet'!$B$62,AI51+AH52-AQ51)))</f>
        <v>275.99999999999989</v>
      </c>
      <c r="AJ52" s="14">
        <f>AI52*VLOOKUP('Données projet'!$B$10,Paramètres!$A$1:$I$89,3,0)*VLOOKUP('Données projet'!$B$10,Paramètres!$A$1:$I$89,5,0)</f>
        <v>165.04799999999994</v>
      </c>
      <c r="AK52" s="14">
        <f t="shared" si="35"/>
        <v>41.979039350635581</v>
      </c>
      <c r="AL52" s="22">
        <f t="shared" si="4"/>
        <v>360.57209353569016</v>
      </c>
      <c r="AM52" s="60">
        <f t="shared" si="5"/>
        <v>653.90542686902347</v>
      </c>
      <c r="AN52" s="60">
        <f ca="1">AVERAGE(OFFSET($AM$3,0,0,'Données projet'!$E$10+1,1))-AVERAGE(OFFSET($H$3,0,0,'Données projet'!$E$10+1,1))</f>
        <v>216.19747366796145</v>
      </c>
      <c r="AO52" s="60">
        <f t="shared" si="36"/>
        <v>122.08911898780889</v>
      </c>
      <c r="AP52" s="16">
        <f>IF(ISNA(VLOOKUP(A52,'Données projet'!$A$61:$I$81,3,0)),0,VLOOKUP(A52,'Données projet'!$A$61:$I$81,3,0))</f>
        <v>3</v>
      </c>
      <c r="AQ52" s="16">
        <f>IF(ISNA(VLOOKUP(A52,'Données projet'!$A$61:$I$81,4,0)),0,VLOOKUP(A52,'Données projet'!$A$61:$I$81,4,0))</f>
        <v>94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1.7191355236270991E-2</v>
      </c>
      <c r="AX52" s="23">
        <f t="shared" si="6"/>
        <v>1.7191355236270991E-2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11.615384615384608</v>
      </c>
      <c r="BD52" s="13">
        <f>IF('Données projet'!$A$88&gt;35,BD51+BC52-BL51,IF(A52&lt;'Données projet'!$A$88,$BA$205^A52,IF(A52='Données projet'!$A$88,'Données projet'!$B$88,BD51+BC52-BL51)))</f>
        <v>298.60769230769216</v>
      </c>
      <c r="BE52" s="14">
        <f>BD52*VLOOKUP('Données projet'!$B$11,Paramètres!$A$1:$I$89,3,0)*VLOOKUP('Données projet'!$B$11,Paramètres!$A$1:$I$89,5,0)</f>
        <v>139.74839999999992</v>
      </c>
      <c r="BF52" s="14">
        <f t="shared" si="37"/>
        <v>36.239361435480362</v>
      </c>
      <c r="BG52" s="22">
        <f t="shared" si="7"/>
        <v>306.51201783346147</v>
      </c>
      <c r="BH52" s="60">
        <f t="shared" si="8"/>
        <v>599.84535116679479</v>
      </c>
      <c r="BI52" s="60">
        <f ca="1">AVERAGE(OFFSET($BH$3,0,0,'Données projet'!$E$11+1,1))-AVERAGE(OFFSET($H$3,0,0,'Données projet'!$E$11+1,1))</f>
        <v>179.52358670810645</v>
      </c>
      <c r="BJ52" s="60">
        <f t="shared" si="38"/>
        <v>89.471764801078166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4.6153846153846159</v>
      </c>
      <c r="BY52" s="13">
        <f>IF('Données projet'!$A$114&gt;35,BY51+BX52-CG51,IF(A52&lt;'Données projet'!$A$114,$BV$205^A52,IF(A52='Données projet'!$A$114,'Données projet'!$B$114,BY51+BX52-CG51)))</f>
        <v>144.74358974358972</v>
      </c>
      <c r="BZ52" s="14">
        <f>BY52*VLOOKUP('Données projet'!$B$12,Paramètres!$A$1:$I$89,3,0)*VLOOKUP('Données projet'!$B$12,Paramètres!$A$1:$I$89,5,0)</f>
        <v>151.286</v>
      </c>
      <c r="CA52" s="14">
        <f t="shared" si="39"/>
        <v>38.870688376168573</v>
      </c>
      <c r="CB52" s="22">
        <f t="shared" si="10"/>
        <v>331.18956558849356</v>
      </c>
      <c r="CC52" s="60">
        <f t="shared" si="11"/>
        <v>624.52289892182694</v>
      </c>
      <c r="CD52" s="60">
        <f ca="1">AVERAGE(OFFSET($CC$3,0,0,'Données projet'!$E$12+1,1))-AVERAGE(OFFSET($H$3,0,0,'Données projet'!$E$12+1,1))</f>
        <v>304.57411436867147</v>
      </c>
      <c r="CE52" s="60">
        <f t="shared" si="40"/>
        <v>178.19974548556962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4.6153846153846159</v>
      </c>
      <c r="CT52" s="13">
        <f>IF('Données projet'!$A$140&gt;35,CT51+CS52-DB51,IF(A52&lt;'Données projet'!$A$140,$CQ$205^A52,IF(A52='Données projet'!$A$140,'Données projet'!$B$140,CT51+CS52-DB51)))</f>
        <v>144.74358974358972</v>
      </c>
      <c r="CU52" s="18">
        <f>CT52*VLOOKUP('Données projet'!$B$13,Paramètres!$A$1:$I$89,3,0)*VLOOKUP('Données projet'!$B$13,Paramètres!$A$1:$I$89,5,0)</f>
        <v>139.99599999999998</v>
      </c>
      <c r="CV52" s="14">
        <f t="shared" si="41"/>
        <v>36.296089149654087</v>
      </c>
      <c r="CW52" s="22">
        <f t="shared" si="13"/>
        <v>307.04205526898079</v>
      </c>
      <c r="CX52" s="60">
        <f t="shared" si="14"/>
        <v>600.37538860231416</v>
      </c>
      <c r="CY52" s="60">
        <f ca="1">AVERAGE(OFFSET($CX$3,0,0,'Données projet'!$E$13+1,1))-AVERAGE(OFFSET($H$3,0,0,'Données projet'!$E$13+1,1))</f>
        <v>279.37339904167601</v>
      </c>
      <c r="CZ52" s="60">
        <f t="shared" si="42"/>
        <v>163.80861186980007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0" t="e">
        <f t="shared" si="17"/>
        <v>#N/A</v>
      </c>
      <c r="DT52" s="60" t="e">
        <f ca="1">AVERAGE(OFFSET($DS$3,0,0,'Données projet'!$E$14+1,1))-AVERAGE(OFFSET($H$3,0,0,'Données projet'!$E$14+1,1))</f>
        <v>#N/A</v>
      </c>
      <c r="DU52" s="60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13.649999999999991</v>
      </c>
      <c r="D53" s="12">
        <f t="shared" si="32"/>
        <v>4.6403984774572091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141.18904087861702</v>
      </c>
      <c r="H53" s="68">
        <f t="shared" si="1"/>
        <v>325.18911068157126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248.18461538461537</v>
      </c>
      <c r="L53" s="13">
        <f>VLOOKUP(A53,'Données projet'!$A$35:$I$55,9,0)</f>
        <v>8.2215384615384615</v>
      </c>
      <c r="M53" s="13">
        <f t="array" ref="M53">INDEX(L:L,MIN(IF(ISNUMBER(L53:L249),ROW(L53:L249),"")))</f>
        <v>8.2215384615384615</v>
      </c>
      <c r="N53" s="14">
        <f>IF('Données projet'!$A$36&gt;35,N52+M53-V52,IF(A53&lt;'Données projet'!$A$36,$K$205^A53,IF(A53='Données projet'!$A$36,'Données projet'!$B$36,N52+M53-V52)))</f>
        <v>248.18461538461546</v>
      </c>
      <c r="O53" s="14">
        <f>N53*VLOOKUP('Données projet'!$B$9,Paramètres!$A$1:$I$89,3,0)*VLOOKUP('Données projet'!$B$9,Paramètres!$A$1:$I$89,5,0)</f>
        <v>148.41440000000006</v>
      </c>
      <c r="P53" s="14">
        <f t="shared" si="33"/>
        <v>38.218029772553692</v>
      </c>
      <c r="Q53" s="22">
        <f t="shared" si="53"/>
        <v>325.0514818538644</v>
      </c>
      <c r="R53" s="60">
        <f t="shared" si="0"/>
        <v>618.38481518719777</v>
      </c>
      <c r="S53" s="60">
        <f ca="1">AVERAGE(OFFSET($R$3,0,0,'Données projet'!$E$9+1,1))-AVERAGE(OFFSET($H$3,0,0,'Données projet'!$E$9+1,1))</f>
        <v>223.38593045370783</v>
      </c>
      <c r="T53" s="60">
        <f t="shared" si="34"/>
        <v>161.68519532023998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15.75</v>
      </c>
      <c r="AI53" s="14">
        <f>IF('Données projet'!$A$62&gt;35,AI52+AH53-AQ52,IF(A53&lt;'Données projet'!$A$62,$AF$205^A53,IF(A53='Données projet'!$A$62,'Données projet'!$B$62,AI52+AH53-AQ52)))</f>
        <v>197.74999999999989</v>
      </c>
      <c r="AJ53" s="14">
        <f>AI53*VLOOKUP('Données projet'!$B$10,Paramètres!$A$1:$I$89,3,0)*VLOOKUP('Données projet'!$B$10,Paramètres!$A$1:$I$89,5,0)</f>
        <v>118.25449999999994</v>
      </c>
      <c r="AK53" s="14">
        <f t="shared" si="35"/>
        <v>31.267543558009152</v>
      </c>
      <c r="AL53" s="22">
        <f t="shared" si="4"/>
        <v>260.41755919686585</v>
      </c>
      <c r="AM53" s="60">
        <f t="shared" si="5"/>
        <v>553.75089253019917</v>
      </c>
      <c r="AN53" s="60">
        <f ca="1">AVERAGE(OFFSET($AM$3,0,0,'Données projet'!$E$10+1,1))-AVERAGE(OFFSET($H$3,0,0,'Données projet'!$E$10+1,1))</f>
        <v>216.19747366796145</v>
      </c>
      <c r="AO53" s="60">
        <f t="shared" si="36"/>
        <v>122.08911898780889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1.215612386535408E-2</v>
      </c>
      <c r="AX53" s="23">
        <f t="shared" si="6"/>
        <v>1.215612386535408E-2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11.615384615384608</v>
      </c>
      <c r="BD53" s="13">
        <f>IF('Données projet'!$A$88&gt;35,BD52+BC53-BL52,IF(A53&lt;'Données projet'!$A$88,$BA$205^A53,IF(A53='Données projet'!$A$88,'Données projet'!$B$88,BD52+BC53-BL52)))</f>
        <v>310.22307692307675</v>
      </c>
      <c r="BE53" s="14">
        <f>BD53*VLOOKUP('Données projet'!$B$11,Paramètres!$A$1:$I$89,3,0)*VLOOKUP('Données projet'!$B$11,Paramètres!$A$1:$I$89,5,0)</f>
        <v>145.18439999999993</v>
      </c>
      <c r="BF53" s="14">
        <f t="shared" si="37"/>
        <v>37.482153624096057</v>
      </c>
      <c r="BG53" s="22">
        <f t="shared" si="7"/>
        <v>318.14424756196712</v>
      </c>
      <c r="BH53" s="60">
        <f t="shared" si="8"/>
        <v>611.47758089530043</v>
      </c>
      <c r="BI53" s="60">
        <f ca="1">AVERAGE(OFFSET($BH$3,0,0,'Données projet'!$E$11+1,1))-AVERAGE(OFFSET($H$3,0,0,'Données projet'!$E$11+1,1))</f>
        <v>179.52358670810645</v>
      </c>
      <c r="BJ53" s="60">
        <f t="shared" si="38"/>
        <v>89.471764801078166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149.35897435897436</v>
      </c>
      <c r="BW53" s="13">
        <f>VLOOKUP(A53,'Données projet'!$A$113:$I$133,9,0)</f>
        <v>4.6153846153846159</v>
      </c>
      <c r="BX53" s="13">
        <f t="array" ref="BX53">INDEX(BW:BW,MIN(IF(ISNUMBER(BW53:BW249),ROW(BW53:BW249),"")))</f>
        <v>4.6153846153846159</v>
      </c>
      <c r="BY53" s="13">
        <f>IF('Données projet'!$A$114&gt;35,BY52+BX53-CG52,IF(A53&lt;'Données projet'!$A$114,$BV$205^A53,IF(A53='Données projet'!$A$114,'Données projet'!$B$114,BY52+BX53-CG52)))</f>
        <v>149.35897435897434</v>
      </c>
      <c r="BZ53" s="14">
        <f>BY53*VLOOKUP('Données projet'!$B$12,Paramètres!$A$1:$I$89,3,0)*VLOOKUP('Données projet'!$B$12,Paramètres!$A$1:$I$89,5,0)</f>
        <v>156.11000000000001</v>
      </c>
      <c r="CA53" s="14">
        <f t="shared" si="39"/>
        <v>39.963862158593372</v>
      </c>
      <c r="CB53" s="22">
        <f t="shared" si="10"/>
        <v>341.49530992621681</v>
      </c>
      <c r="CC53" s="60">
        <f t="shared" si="11"/>
        <v>634.82864325955006</v>
      </c>
      <c r="CD53" s="60">
        <f ca="1">AVERAGE(OFFSET($CC$3,0,0,'Données projet'!$E$12+1,1))-AVERAGE(OFFSET($H$3,0,0,'Données projet'!$E$12+1,1))</f>
        <v>304.57411436867147</v>
      </c>
      <c r="CE53" s="60">
        <f t="shared" si="40"/>
        <v>178.19974548556962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18.589743589743588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149.35897435897436</v>
      </c>
      <c r="CR53" s="13">
        <f>VLOOKUP(A53,'Données projet'!$A$139:$I$159,9,0)</f>
        <v>4.6153846153846159</v>
      </c>
      <c r="CS53" s="13">
        <f t="array" ref="CS53">INDEX(CR:CR,MIN(IF(ISNUMBER(CR53:CR249),ROW(CR53:CR249),"")))</f>
        <v>4.6153846153846159</v>
      </c>
      <c r="CT53" s="13">
        <f>IF('Données projet'!$A$140&gt;35,CT52+CS53-DB52,IF(A53&lt;'Données projet'!$A$140,$CQ$205^A53,IF(A53='Données projet'!$A$140,'Données projet'!$B$140,CT52+CS53-DB52)))</f>
        <v>149.35897435897434</v>
      </c>
      <c r="CU53" s="18">
        <f>CT53*VLOOKUP('Données projet'!$B$13,Paramètres!$A$1:$I$89,3,0)*VLOOKUP('Données projet'!$B$13,Paramètres!$A$1:$I$89,5,0)</f>
        <v>144.45999999999998</v>
      </c>
      <c r="CV53" s="14">
        <f t="shared" si="41"/>
        <v>37.316856589607148</v>
      </c>
      <c r="CW53" s="22">
        <f t="shared" si="13"/>
        <v>316.59469189356571</v>
      </c>
      <c r="CX53" s="60">
        <f t="shared" si="14"/>
        <v>609.92802522689908</v>
      </c>
      <c r="CY53" s="60">
        <f ca="1">AVERAGE(OFFSET($CX$3,0,0,'Données projet'!$E$13+1,1))-AVERAGE(OFFSET($H$3,0,0,'Données projet'!$E$13+1,1))</f>
        <v>279.37339904167601</v>
      </c>
      <c r="CZ53" s="60">
        <f t="shared" si="42"/>
        <v>163.80861186980007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18.589743589743588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0" t="e">
        <f t="shared" si="17"/>
        <v>#N/A</v>
      </c>
      <c r="DT53" s="60" t="e">
        <f ca="1">AVERAGE(OFFSET($DS$3,0,0,'Données projet'!$E$14+1,1))-AVERAGE(OFFSET($H$3,0,0,'Données projet'!$E$14+1,1))</f>
        <v>#N/A</v>
      </c>
      <c r="DU53" s="60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13.922999999999991</v>
      </c>
      <c r="D54" s="12">
        <f t="shared" si="32"/>
        <v>4.7223088483956221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143.92869988235211</v>
      </c>
      <c r="H54" s="68">
        <f t="shared" si="1"/>
        <v>325.80724624428899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8.1923076923076898</v>
      </c>
      <c r="N54" s="14">
        <f>IF('Données projet'!$A$36&gt;35,N53+M54-V53,IF(A54&lt;'Données projet'!$A$36,$K$205^A54,IF(A54='Données projet'!$A$36,'Données projet'!$B$36,N53+M54-V53)))</f>
        <v>256.37692307692316</v>
      </c>
      <c r="O54" s="14">
        <f>N54*VLOOKUP('Données projet'!$B$9,Paramètres!$A$1:$I$89,3,0)*VLOOKUP('Données projet'!$B$9,Paramètres!$A$1:$I$89,5,0)</f>
        <v>153.31340000000006</v>
      </c>
      <c r="P54" s="14">
        <f t="shared" si="33"/>
        <v>39.330607493094007</v>
      </c>
      <c r="Q54" s="22">
        <f t="shared" si="53"/>
        <v>335.52164638380555</v>
      </c>
      <c r="R54" s="60">
        <f t="shared" si="0"/>
        <v>628.8549797171388</v>
      </c>
      <c r="S54" s="60">
        <f ca="1">AVERAGE(OFFSET($R$3,0,0,'Données projet'!$E$9+1,1))-AVERAGE(OFFSET($H$3,0,0,'Données projet'!$E$9+1,1))</f>
        <v>223.38593045370783</v>
      </c>
      <c r="T54" s="60">
        <f t="shared" si="34"/>
        <v>161.68519532023998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15.75</v>
      </c>
      <c r="AI54" s="14">
        <f>IF('Données projet'!$A$62&gt;35,AI53+AH54-AQ53,IF(A54&lt;'Données projet'!$A$62,$AF$205^A54,IF(A54='Données projet'!$A$62,'Données projet'!$B$62,AI53+AH54-AQ53)))</f>
        <v>213.49999999999989</v>
      </c>
      <c r="AJ54" s="14">
        <f>AI54*VLOOKUP('Données projet'!$B$10,Paramètres!$A$1:$I$89,3,0)*VLOOKUP('Données projet'!$B$10,Paramètres!$A$1:$I$89,5,0)</f>
        <v>127.67299999999994</v>
      </c>
      <c r="AK54" s="14">
        <f t="shared" si="35"/>
        <v>33.458094021097516</v>
      </c>
      <c r="AL54" s="22">
        <f t="shared" si="4"/>
        <v>280.63665542007806</v>
      </c>
      <c r="AM54" s="60">
        <f t="shared" si="5"/>
        <v>573.96998875341137</v>
      </c>
      <c r="AN54" s="60">
        <f ca="1">AVERAGE(OFFSET($AM$3,0,0,'Données projet'!$E$10+1,1))-AVERAGE(OFFSET($H$3,0,0,'Données projet'!$E$10+1,1))</f>
        <v>216.19747366796145</v>
      </c>
      <c r="AO54" s="60">
        <f t="shared" si="36"/>
        <v>122.08911898780889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8.5956776181354954E-3</v>
      </c>
      <c r="AX54" s="23">
        <f t="shared" si="6"/>
        <v>8.5956776181354954E-3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>
        <f>VLOOKUP(A54,'Données projet'!$A$87:$I$107,2,0)</f>
        <v>321.8384615384615</v>
      </c>
      <c r="BB54" s="13">
        <f>VLOOKUP(A54,'Données projet'!$A$87:$I$107,9,0)</f>
        <v>11.615384615384608</v>
      </c>
      <c r="BC54" s="13">
        <f t="array" ref="BC54">INDEX(BB:BB,MIN(IF(ISNUMBER(BB54:BB250),ROW(BB54:BB250),"")))</f>
        <v>11.615384615384608</v>
      </c>
      <c r="BD54" s="13">
        <f>IF('Données projet'!$A$88&gt;35,BD53+BC54-BL53,IF(A54&lt;'Données projet'!$A$88,$BA$205^A54,IF(A54='Données projet'!$A$88,'Données projet'!$B$88,BD53+BC54-BL53)))</f>
        <v>321.83846153846133</v>
      </c>
      <c r="BE54" s="14">
        <f>BD54*VLOOKUP('Données projet'!$B$11,Paramètres!$A$1:$I$89,3,0)*VLOOKUP('Données projet'!$B$11,Paramètres!$A$1:$I$89,5,0)</f>
        <v>150.6203999999999</v>
      </c>
      <c r="BF54" s="14">
        <f t="shared" si="37"/>
        <v>38.719539861211025</v>
      </c>
      <c r="BG54" s="22">
        <f t="shared" si="7"/>
        <v>329.76706192494237</v>
      </c>
      <c r="BH54" s="60">
        <f t="shared" si="8"/>
        <v>623.10039525827574</v>
      </c>
      <c r="BI54" s="60">
        <f ca="1">AVERAGE(OFFSET($BH$3,0,0,'Données projet'!$E$11+1,1))-AVERAGE(OFFSET($H$3,0,0,'Données projet'!$E$11+1,1))</f>
        <v>179.52358670810645</v>
      </c>
      <c r="BJ54" s="60">
        <f t="shared" si="38"/>
        <v>89.471764801078166</v>
      </c>
      <c r="BK54" s="16">
        <f>IF(ISNA(VLOOKUP(A54,'Données projet'!$A$87:$I$107,3,0)),0,VLOOKUP(A54,'Données projet'!$A$87:$I$107,3,0))</f>
        <v>1</v>
      </c>
      <c r="BL54" s="16">
        <f>IF(ISNA(VLOOKUP(A54,'Données projet'!$A$87:$I$107,4,0)),0,VLOOKUP(A54,'Données projet'!$A$87:$I$107,4,0))</f>
        <v>100.30769230769231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4.4871794871794863</v>
      </c>
      <c r="BY54" s="13">
        <f>IF('Données projet'!$A$114&gt;35,BY53+BX54-CG53,IF(A54&lt;'Données projet'!$A$114,$BV$205^A54,IF(A54='Données projet'!$A$114,'Données projet'!$B$114,BY53+BX54-CG53)))</f>
        <v>135.25641025641022</v>
      </c>
      <c r="BZ54" s="14">
        <f>BY54*VLOOKUP('Données projet'!$B$12,Paramètres!$A$1:$I$89,3,0)*VLOOKUP('Données projet'!$B$12,Paramètres!$A$1:$I$89,5,0)</f>
        <v>141.36999999999998</v>
      </c>
      <c r="CA54" s="14">
        <f t="shared" si="39"/>
        <v>36.610675159135589</v>
      </c>
      <c r="CB54" s="22">
        <f t="shared" si="10"/>
        <v>309.98300923549442</v>
      </c>
      <c r="CC54" s="60">
        <f t="shared" si="11"/>
        <v>603.31634256882774</v>
      </c>
      <c r="CD54" s="60">
        <f ca="1">AVERAGE(OFFSET($CC$3,0,0,'Données projet'!$E$12+1,1))-AVERAGE(OFFSET($H$3,0,0,'Données projet'!$E$12+1,1))</f>
        <v>304.57411436867147</v>
      </c>
      <c r="CE54" s="60">
        <f t="shared" si="40"/>
        <v>178.19974548556962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4.4871794871794863</v>
      </c>
      <c r="CT54" s="13">
        <f>IF('Données projet'!$A$140&gt;35,CT53+CS54-DB53,IF(A54&lt;'Données projet'!$A$140,$CQ$205^A54,IF(A54='Données projet'!$A$140,'Données projet'!$B$140,CT53+CS54-DB53)))</f>
        <v>135.25641025641022</v>
      </c>
      <c r="CU54" s="18">
        <f>CT54*VLOOKUP('Données projet'!$B$13,Paramètres!$A$1:$I$89,3,0)*VLOOKUP('Données projet'!$B$13,Paramètres!$A$1:$I$89,5,0)</f>
        <v>130.81999999999996</v>
      </c>
      <c r="CV54" s="14">
        <f t="shared" si="41"/>
        <v>34.185767860486514</v>
      </c>
      <c r="CW54" s="22">
        <f t="shared" si="13"/>
        <v>287.38504569034728</v>
      </c>
      <c r="CX54" s="60">
        <f t="shared" si="14"/>
        <v>580.71837902368065</v>
      </c>
      <c r="CY54" s="60">
        <f ca="1">AVERAGE(OFFSET($CX$3,0,0,'Données projet'!$E$13+1,1))-AVERAGE(OFFSET($H$3,0,0,'Données projet'!$E$13+1,1))</f>
        <v>279.37339904167601</v>
      </c>
      <c r="CZ54" s="60">
        <f t="shared" si="42"/>
        <v>163.80861186980007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0" t="e">
        <f t="shared" si="17"/>
        <v>#N/A</v>
      </c>
      <c r="DT54" s="60" t="e">
        <f ca="1">AVERAGE(OFFSET($DS$3,0,0,'Données projet'!$E$14+1,1))-AVERAGE(OFFSET($H$3,0,0,'Données projet'!$E$14+1,1))</f>
        <v>#N/A</v>
      </c>
      <c r="DU54" s="60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14.195999999999991</v>
      </c>
      <c r="D55" s="12">
        <f t="shared" si="32"/>
        <v>4.8040324714872957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146.66691732376151</v>
      </c>
      <c r="H55" s="68">
        <f t="shared" si="1"/>
        <v>326.42505655450702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8.1923076923076898</v>
      </c>
      <c r="N55" s="14">
        <f>IF('Données projet'!$A$36&gt;35,N54+M55-V54,IF(A55&lt;'Données projet'!$A$36,$K$205^A55,IF(A55='Données projet'!$A$36,'Données projet'!$B$36,N54+M55-V54)))</f>
        <v>264.56923076923084</v>
      </c>
      <c r="O55" s="14">
        <f>N55*VLOOKUP('Données projet'!$B$9,Paramètres!$A$1:$I$89,3,0)*VLOOKUP('Données projet'!$B$9,Paramètres!$A$1:$I$89,5,0)</f>
        <v>158.21240000000006</v>
      </c>
      <c r="P55" s="14">
        <f t="shared" si="33"/>
        <v>40.43905396500697</v>
      </c>
      <c r="Q55" s="22">
        <f t="shared" si="53"/>
        <v>345.98461565572052</v>
      </c>
      <c r="R55" s="60">
        <f t="shared" si="0"/>
        <v>639.31794898905378</v>
      </c>
      <c r="S55" s="60">
        <f ca="1">AVERAGE(OFFSET($R$3,0,0,'Données projet'!$E$9+1,1))-AVERAGE(OFFSET($H$3,0,0,'Données projet'!$E$9+1,1))</f>
        <v>223.38593045370783</v>
      </c>
      <c r="T55" s="60">
        <f t="shared" si="34"/>
        <v>161.68519532023998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15.75</v>
      </c>
      <c r="AI55" s="14">
        <f>IF('Données projet'!$A$62&gt;35,AI54+AH55-AQ54,IF(A55&lt;'Données projet'!$A$62,$AF$205^A55,IF(A55='Données projet'!$A$62,'Données projet'!$B$62,AI54+AH55-AQ54)))</f>
        <v>229.24999999999989</v>
      </c>
      <c r="AJ55" s="14">
        <f>AI55*VLOOKUP('Données projet'!$B$10,Paramètres!$A$1:$I$89,3,0)*VLOOKUP('Données projet'!$B$10,Paramètres!$A$1:$I$89,5,0)</f>
        <v>137.09149999999994</v>
      </c>
      <c r="AK55" s="14">
        <f t="shared" si="35"/>
        <v>35.629897067383737</v>
      </c>
      <c r="AL55" s="22">
        <f t="shared" si="4"/>
        <v>300.82309989235995</v>
      </c>
      <c r="AM55" s="60">
        <f t="shared" si="5"/>
        <v>594.15643322569326</v>
      </c>
      <c r="AN55" s="60">
        <f ca="1">AVERAGE(OFFSET($AM$3,0,0,'Données projet'!$E$10+1,1))-AVERAGE(OFFSET($H$3,0,0,'Données projet'!$E$10+1,1))</f>
        <v>216.19747366796145</v>
      </c>
      <c r="AO55" s="60">
        <f t="shared" si="36"/>
        <v>122.08911898780889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6.0780619326770398E-3</v>
      </c>
      <c r="AX55" s="23">
        <f t="shared" si="6"/>
        <v>6.0780619326770398E-3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10.542307692307702</v>
      </c>
      <c r="BD55" s="13">
        <f>IF('Données projet'!$A$88&gt;35,BD54+BC55-BL54,IF(A55&lt;'Données projet'!$A$88,$BA$205^A55,IF(A55='Données projet'!$A$88,'Données projet'!$B$88,BD54+BC55-BL54)))</f>
        <v>232.07307692307671</v>
      </c>
      <c r="BE55" s="14">
        <f>BD55*VLOOKUP('Données projet'!$B$11,Paramètres!$A$1:$I$89,3,0)*VLOOKUP('Données projet'!$B$11,Paramètres!$A$1:$I$89,5,0)</f>
        <v>108.61019999999989</v>
      </c>
      <c r="BF55" s="14">
        <f t="shared" si="37"/>
        <v>29.003294930485936</v>
      </c>
      <c r="BG55" s="22">
        <f t="shared" si="7"/>
        <v>239.67683700392948</v>
      </c>
      <c r="BH55" s="60">
        <f t="shared" si="8"/>
        <v>533.01017033726282</v>
      </c>
      <c r="BI55" s="60">
        <f ca="1">AVERAGE(OFFSET($BH$3,0,0,'Données projet'!$E$11+1,1))-AVERAGE(OFFSET($H$3,0,0,'Données projet'!$E$11+1,1))</f>
        <v>179.52358670810645</v>
      </c>
      <c r="BJ55" s="60">
        <f t="shared" si="38"/>
        <v>89.471764801078166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4.4871794871794863</v>
      </c>
      <c r="BY55" s="13">
        <f>IF('Données projet'!$A$114&gt;35,BY54+BX55-CG54,IF(A55&lt;'Données projet'!$A$114,$BV$205^A55,IF(A55='Données projet'!$A$114,'Données projet'!$B$114,BY54+BX55-CG54)))</f>
        <v>139.74358974358969</v>
      </c>
      <c r="BZ55" s="14">
        <f>BY55*VLOOKUP('Données projet'!$B$12,Paramètres!$A$1:$I$89,3,0)*VLOOKUP('Données projet'!$B$12,Paramètres!$A$1:$I$89,5,0)</f>
        <v>146.05999999999995</v>
      </c>
      <c r="CA55" s="14">
        <f t="shared" si="39"/>
        <v>37.681824130204156</v>
      </c>
      <c r="CB55" s="22">
        <f t="shared" si="10"/>
        <v>320.01701036010542</v>
      </c>
      <c r="CC55" s="60">
        <f t="shared" si="11"/>
        <v>613.35034369343873</v>
      </c>
      <c r="CD55" s="60">
        <f ca="1">AVERAGE(OFFSET($CC$3,0,0,'Données projet'!$E$12+1,1))-AVERAGE(OFFSET($H$3,0,0,'Données projet'!$E$12+1,1))</f>
        <v>304.57411436867147</v>
      </c>
      <c r="CE55" s="60">
        <f t="shared" si="40"/>
        <v>178.19974548556962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4.4871794871794863</v>
      </c>
      <c r="CT55" s="13">
        <f>IF('Données projet'!$A$140&gt;35,CT54+CS55-DB54,IF(A55&lt;'Données projet'!$A$140,$CQ$205^A55,IF(A55='Données projet'!$A$140,'Données projet'!$B$140,CT54+CS55-DB54)))</f>
        <v>139.74358974358969</v>
      </c>
      <c r="CU55" s="18">
        <f>CT55*VLOOKUP('Données projet'!$B$13,Paramètres!$A$1:$I$89,3,0)*VLOOKUP('Données projet'!$B$13,Paramètres!$A$1:$I$89,5,0)</f>
        <v>135.15999999999994</v>
      </c>
      <c r="CV55" s="14">
        <f t="shared" si="41"/>
        <v>35.185969301999997</v>
      </c>
      <c r="CW55" s="22">
        <f t="shared" si="13"/>
        <v>296.68589653431656</v>
      </c>
      <c r="CX55" s="60">
        <f t="shared" si="14"/>
        <v>590.01922986764987</v>
      </c>
      <c r="CY55" s="60">
        <f ca="1">AVERAGE(OFFSET($CX$3,0,0,'Données projet'!$E$13+1,1))-AVERAGE(OFFSET($H$3,0,0,'Données projet'!$E$13+1,1))</f>
        <v>279.37339904167601</v>
      </c>
      <c r="CZ55" s="60">
        <f t="shared" si="42"/>
        <v>163.80861186980007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0" t="e">
        <f t="shared" si="17"/>
        <v>#N/A</v>
      </c>
      <c r="DT55" s="60" t="e">
        <f ca="1">AVERAGE(OFFSET($DS$3,0,0,'Données projet'!$E$14+1,1))-AVERAGE(OFFSET($H$3,0,0,'Données projet'!$E$14+1,1))</f>
        <v>#N/A</v>
      </c>
      <c r="DU55" s="60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14.468999999999991</v>
      </c>
      <c r="D56" s="12">
        <f t="shared" si="32"/>
        <v>4.885573352078902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149.40372412131077</v>
      </c>
      <c r="H56" s="68">
        <f t="shared" si="1"/>
        <v>327.04254858820406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8.1923076923076898</v>
      </c>
      <c r="N56" s="14">
        <f>IF('Données projet'!$A$36&gt;35,N55+M56-V55,IF(A56&lt;'Données projet'!$A$36,$K$205^A56,IF(A56='Données projet'!$A$36,'Données projet'!$B$36,N55+M56-V55)))</f>
        <v>272.76153846153852</v>
      </c>
      <c r="O56" s="14">
        <f>N56*VLOOKUP('Données projet'!$B$9,Paramètres!$A$1:$I$89,3,0)*VLOOKUP('Données projet'!$B$9,Paramètres!$A$1:$I$89,5,0)</f>
        <v>163.11140000000006</v>
      </c>
      <c r="P56" s="14">
        <f t="shared" si="33"/>
        <v>41.543511790575998</v>
      </c>
      <c r="Q56" s="22">
        <f t="shared" si="53"/>
        <v>356.44063803525324</v>
      </c>
      <c r="R56" s="60">
        <f t="shared" si="0"/>
        <v>649.77397136858656</v>
      </c>
      <c r="S56" s="60">
        <f ca="1">AVERAGE(OFFSET($R$3,0,0,'Données projet'!$E$9+1,1))-AVERAGE(OFFSET($H$3,0,0,'Données projet'!$E$9+1,1))</f>
        <v>223.38593045370783</v>
      </c>
      <c r="T56" s="60">
        <f t="shared" si="34"/>
        <v>161.68519532023998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15.75</v>
      </c>
      <c r="AI56" s="14">
        <f>IF('Données projet'!$A$62&gt;35,AI55+AH56-AQ55,IF(A56&lt;'Données projet'!$A$62,$AF$205^A56,IF(A56='Données projet'!$A$62,'Données projet'!$B$62,AI55+AH56-AQ55)))</f>
        <v>244.99999999999989</v>
      </c>
      <c r="AJ56" s="14">
        <f>AI56*VLOOKUP('Données projet'!$B$10,Paramètres!$A$1:$I$89,3,0)*VLOOKUP('Données projet'!$B$10,Paramètres!$A$1:$I$89,5,0)</f>
        <v>146.50999999999993</v>
      </c>
      <c r="AK56" s="14">
        <f t="shared" si="35"/>
        <v>37.784387209607431</v>
      </c>
      <c r="AL56" s="22">
        <f t="shared" si="4"/>
        <v>320.97939105673277</v>
      </c>
      <c r="AM56" s="60">
        <f t="shared" si="5"/>
        <v>614.31272439006602</v>
      </c>
      <c r="AN56" s="60">
        <f ca="1">AVERAGE(OFFSET($AM$3,0,0,'Données projet'!$E$10+1,1))-AVERAGE(OFFSET($H$3,0,0,'Données projet'!$E$10+1,1))</f>
        <v>216.19747366796145</v>
      </c>
      <c r="AO56" s="60">
        <f t="shared" si="36"/>
        <v>122.08911898780889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4.2978388090677477E-3</v>
      </c>
      <c r="AX56" s="23">
        <f t="shared" si="6"/>
        <v>4.2978388090677477E-3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10.542307692307702</v>
      </c>
      <c r="BD56" s="13">
        <f>IF('Données projet'!$A$88&gt;35,BD55+BC56-BL55,IF(A56&lt;'Données projet'!$A$88,$BA$205^A56,IF(A56='Données projet'!$A$88,'Données projet'!$B$88,BD55+BC56-BL55)))</f>
        <v>242.61538461538441</v>
      </c>
      <c r="BE56" s="14">
        <f>BD56*VLOOKUP('Données projet'!$B$11,Paramètres!$A$1:$I$89,3,0)*VLOOKUP('Données projet'!$B$11,Paramètres!$A$1:$I$89,5,0)</f>
        <v>113.54399999999991</v>
      </c>
      <c r="BF56" s="14">
        <f t="shared" si="37"/>
        <v>30.164431377064304</v>
      </c>
      <c r="BG56" s="22">
        <f t="shared" si="7"/>
        <v>250.29218464838678</v>
      </c>
      <c r="BH56" s="60">
        <f t="shared" si="8"/>
        <v>543.62551798172012</v>
      </c>
      <c r="BI56" s="60">
        <f ca="1">AVERAGE(OFFSET($BH$3,0,0,'Données projet'!$E$11+1,1))-AVERAGE(OFFSET($H$3,0,0,'Données projet'!$E$11+1,1))</f>
        <v>179.52358670810645</v>
      </c>
      <c r="BJ56" s="60">
        <f t="shared" si="38"/>
        <v>89.471764801078166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4.4871794871794863</v>
      </c>
      <c r="BY56" s="13">
        <f>IF('Données projet'!$A$114&gt;35,BY55+BX56-CG55,IF(A56&lt;'Données projet'!$A$114,$BV$205^A56,IF(A56='Données projet'!$A$114,'Données projet'!$B$114,BY55+BX56-CG55)))</f>
        <v>144.23076923076917</v>
      </c>
      <c r="BZ56" s="14">
        <f>BY56*VLOOKUP('Données projet'!$B$12,Paramètres!$A$1:$I$89,3,0)*VLOOKUP('Données projet'!$B$12,Paramètres!$A$1:$I$89,5,0)</f>
        <v>150.74999999999994</v>
      </c>
      <c r="CA56" s="14">
        <f t="shared" si="39"/>
        <v>38.748976306073061</v>
      </c>
      <c r="CB56" s="22">
        <f t="shared" si="10"/>
        <v>330.04405039974381</v>
      </c>
      <c r="CC56" s="60">
        <f t="shared" si="11"/>
        <v>623.37738373307707</v>
      </c>
      <c r="CD56" s="60">
        <f ca="1">AVERAGE(OFFSET($CC$3,0,0,'Données projet'!$E$12+1,1))-AVERAGE(OFFSET($H$3,0,0,'Données projet'!$E$12+1,1))</f>
        <v>304.57411436867147</v>
      </c>
      <c r="CE56" s="60">
        <f t="shared" si="40"/>
        <v>178.19974548556962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4.4871794871794863</v>
      </c>
      <c r="CT56" s="13">
        <f>IF('Données projet'!$A$140&gt;35,CT55+CS56-DB55,IF(A56&lt;'Données projet'!$A$140,$CQ$205^A56,IF(A56='Données projet'!$A$140,'Données projet'!$B$140,CT55+CS56-DB55)))</f>
        <v>144.23076923076917</v>
      </c>
      <c r="CU56" s="18">
        <f>CT56*VLOOKUP('Données projet'!$B$13,Paramètres!$A$1:$I$89,3,0)*VLOOKUP('Données projet'!$B$13,Paramètres!$A$1:$I$89,5,0)</f>
        <v>139.49999999999994</v>
      </c>
      <c r="CV56" s="14">
        <f t="shared" si="41"/>
        <v>36.182438675959766</v>
      </c>
      <c r="CW56" s="22">
        <f t="shared" si="13"/>
        <v>305.98024736062979</v>
      </c>
      <c r="CX56" s="60">
        <f t="shared" si="14"/>
        <v>599.3135806939631</v>
      </c>
      <c r="CY56" s="60">
        <f ca="1">AVERAGE(OFFSET($CX$3,0,0,'Données projet'!$E$13+1,1))-AVERAGE(OFFSET($H$3,0,0,'Données projet'!$E$13+1,1))</f>
        <v>279.37339904167601</v>
      </c>
      <c r="CZ56" s="60">
        <f t="shared" si="42"/>
        <v>163.80861186980007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0" t="e">
        <f t="shared" si="17"/>
        <v>#N/A</v>
      </c>
      <c r="DT56" s="60" t="e">
        <f ca="1">AVERAGE(OFFSET($DS$3,0,0,'Données projet'!$E$14+1,1))-AVERAGE(OFFSET($H$3,0,0,'Données projet'!$E$14+1,1))</f>
        <v>#N/A</v>
      </c>
      <c r="DU56" s="60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</v>
      </c>
      <c r="D57" s="12">
        <f t="shared" si="32"/>
        <v>4.9669353357224146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152.13914995996245</v>
      </c>
      <c r="H57" s="68">
        <f t="shared" si="1"/>
        <v>327.65972904304982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8.1923076923076898</v>
      </c>
      <c r="N57" s="14">
        <f>IF('Données projet'!$A$36&gt;35,N56+M57-V56,IF(A57&lt;'Données projet'!$A$36,$K$205^A57,IF(A57='Données projet'!$A$36,'Données projet'!$B$36,N56+M57-V56)))</f>
        <v>280.9538461538462</v>
      </c>
      <c r="O57" s="14">
        <f>N57*VLOOKUP('Données projet'!$B$9,Paramètres!$A$1:$I$89,3,0)*VLOOKUP('Données projet'!$B$9,Paramètres!$A$1:$I$89,5,0)</f>
        <v>168.01040000000006</v>
      </c>
      <c r="P57" s="14">
        <f t="shared" si="33"/>
        <v>42.644114519213396</v>
      </c>
      <c r="Q57" s="22">
        <f t="shared" si="53"/>
        <v>366.88994612096343</v>
      </c>
      <c r="R57" s="60">
        <f t="shared" si="0"/>
        <v>660.22327945429674</v>
      </c>
      <c r="S57" s="60">
        <f ca="1">AVERAGE(OFFSET($R$3,0,0,'Données projet'!$E$9+1,1))-AVERAGE(OFFSET($H$3,0,0,'Données projet'!$E$9+1,1))</f>
        <v>223.38593045370783</v>
      </c>
      <c r="T57" s="60">
        <f t="shared" si="34"/>
        <v>161.68519532023998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15.75</v>
      </c>
      <c r="AI57" s="14">
        <f>IF('Données projet'!$A$62&gt;35,AI56+AH57-AQ56,IF(A57&lt;'Données projet'!$A$62,$AF$205^A57,IF(A57='Données projet'!$A$62,'Données projet'!$B$62,AI56+AH57-AQ56)))</f>
        <v>260.74999999999989</v>
      </c>
      <c r="AJ57" s="14">
        <f>AI57*VLOOKUP('Données projet'!$B$10,Paramètres!$A$1:$I$89,3,0)*VLOOKUP('Données projet'!$B$10,Paramètres!$A$1:$I$89,5,0)</f>
        <v>155.92849999999993</v>
      </c>
      <c r="AK57" s="14">
        <f t="shared" si="35"/>
        <v>39.922804094929681</v>
      </c>
      <c r="AL57" s="22">
        <f t="shared" si="4"/>
        <v>341.10768796533574</v>
      </c>
      <c r="AM57" s="60">
        <f t="shared" si="5"/>
        <v>634.44102129866906</v>
      </c>
      <c r="AN57" s="60">
        <f ca="1">AVERAGE(OFFSET($AM$3,0,0,'Données projet'!$E$10+1,1))-AVERAGE(OFFSET($H$3,0,0,'Données projet'!$E$10+1,1))</f>
        <v>216.19747366796145</v>
      </c>
      <c r="AO57" s="60">
        <f t="shared" si="36"/>
        <v>122.08911898780889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3.0390309663385199E-3</v>
      </c>
      <c r="AX57" s="23">
        <f t="shared" si="6"/>
        <v>3.0390309663385199E-3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10.542307692307702</v>
      </c>
      <c r="BD57" s="13">
        <f>IF('Données projet'!$A$88&gt;35,BD56+BC57-BL56,IF(A57&lt;'Données projet'!$A$88,$BA$205^A57,IF(A57='Données projet'!$A$88,'Données projet'!$B$88,BD56+BC57-BL56)))</f>
        <v>253.15769230769212</v>
      </c>
      <c r="BE57" s="14">
        <f>BD57*VLOOKUP('Données projet'!$B$11,Paramètres!$A$1:$I$89,3,0)*VLOOKUP('Données projet'!$B$11,Paramètres!$A$1:$I$89,5,0)</f>
        <v>118.47779999999992</v>
      </c>
      <c r="BF57" s="14">
        <f t="shared" si="37"/>
        <v>31.319707790273014</v>
      </c>
      <c r="BG57" s="22">
        <f t="shared" si="7"/>
        <v>260.8973260680587</v>
      </c>
      <c r="BH57" s="60">
        <f t="shared" si="8"/>
        <v>554.23065940139202</v>
      </c>
      <c r="BI57" s="60">
        <f ca="1">AVERAGE(OFFSET($BH$3,0,0,'Données projet'!$E$11+1,1))-AVERAGE(OFFSET($H$3,0,0,'Données projet'!$E$11+1,1))</f>
        <v>179.52358670810645</v>
      </c>
      <c r="BJ57" s="60">
        <f t="shared" si="38"/>
        <v>89.471764801078166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4.4871794871794863</v>
      </c>
      <c r="BY57" s="13">
        <f>IF('Données projet'!$A$114&gt;35,BY56+BX57-CG56,IF(A57&lt;'Données projet'!$A$114,$BV$205^A57,IF(A57='Données projet'!$A$114,'Données projet'!$B$114,BY56+BX57-CG56)))</f>
        <v>148.71794871794864</v>
      </c>
      <c r="BZ57" s="14">
        <f>BY57*VLOOKUP('Données projet'!$B$12,Paramètres!$A$1:$I$89,3,0)*VLOOKUP('Données projet'!$B$12,Paramètres!$A$1:$I$89,5,0)</f>
        <v>155.43999999999994</v>
      </c>
      <c r="CA57" s="14">
        <f t="shared" si="39"/>
        <v>39.81227029952759</v>
      </c>
      <c r="CB57" s="22">
        <f t="shared" si="10"/>
        <v>340.06437077167715</v>
      </c>
      <c r="CC57" s="60">
        <f t="shared" si="11"/>
        <v>633.39770410501046</v>
      </c>
      <c r="CD57" s="60">
        <f ca="1">AVERAGE(OFFSET($CC$3,0,0,'Données projet'!$E$12+1,1))-AVERAGE(OFFSET($H$3,0,0,'Données projet'!$E$12+1,1))</f>
        <v>304.57411436867147</v>
      </c>
      <c r="CE57" s="60">
        <f t="shared" si="40"/>
        <v>178.19974548556962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4.4871794871794863</v>
      </c>
      <c r="CT57" s="13">
        <f>IF('Données projet'!$A$140&gt;35,CT56+CS57-DB56,IF(A57&lt;'Données projet'!$A$140,$CQ$205^A57,IF(A57='Données projet'!$A$140,'Données projet'!$B$140,CT56+CS57-DB56)))</f>
        <v>148.71794871794864</v>
      </c>
      <c r="CU57" s="18">
        <f>CT57*VLOOKUP('Données projet'!$B$13,Paramètres!$A$1:$I$89,3,0)*VLOOKUP('Données projet'!$B$13,Paramètres!$A$1:$I$89,5,0)</f>
        <v>143.83999999999995</v>
      </c>
      <c r="CV57" s="14">
        <f t="shared" si="41"/>
        <v>37.175305414136162</v>
      </c>
      <c r="CW57" s="22">
        <f t="shared" si="13"/>
        <v>315.26832359628702</v>
      </c>
      <c r="CX57" s="60">
        <f t="shared" si="14"/>
        <v>608.60165692962028</v>
      </c>
      <c r="CY57" s="60">
        <f ca="1">AVERAGE(OFFSET($CX$3,0,0,'Données projet'!$E$13+1,1))-AVERAGE(OFFSET($H$3,0,0,'Données projet'!$E$13+1,1))</f>
        <v>279.37339904167601</v>
      </c>
      <c r="CZ57" s="60">
        <f t="shared" si="42"/>
        <v>163.80861186980007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0" t="e">
        <f t="shared" si="17"/>
        <v>#N/A</v>
      </c>
      <c r="DT57" s="60" t="e">
        <f ca="1">AVERAGE(OFFSET($DS$3,0,0,'Données projet'!$E$14+1,1))-AVERAGE(OFFSET($H$3,0,0,'Données projet'!$E$14+1,1))</f>
        <v>#N/A</v>
      </c>
      <c r="DU57" s="60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15.01499999999999</v>
      </c>
      <c r="D58" s="12">
        <f t="shared" si="32"/>
        <v>5.0481221173891937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154.87322336230247</v>
      </c>
      <c r="H58" s="68">
        <f t="shared" si="1"/>
        <v>328.27660435445279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289.14615384615382</v>
      </c>
      <c r="L58" s="13">
        <f>VLOOKUP(A58,'Données projet'!$A$35:$I$55,9,0)</f>
        <v>8.1923076923076898</v>
      </c>
      <c r="M58" s="13">
        <f t="array" ref="M58">INDEX(L:L,MIN(IF(ISNUMBER(L58:L254),ROW(L58:L254),"")))</f>
        <v>8.1923076923076898</v>
      </c>
      <c r="N58" s="14">
        <f>IF('Données projet'!$A$36&gt;35,N57+M58-V57,IF(A58&lt;'Données projet'!$A$36,$K$205^A58,IF(A58='Données projet'!$A$36,'Données projet'!$B$36,N57+M58-V57)))</f>
        <v>289.14615384615388</v>
      </c>
      <c r="O58" s="14">
        <f>N58*VLOOKUP('Données projet'!$B$9,Paramètres!$A$1:$I$89,3,0)*VLOOKUP('Données projet'!$B$9,Paramètres!$A$1:$I$89,5,0)</f>
        <v>172.90940000000006</v>
      </c>
      <c r="P58" s="14">
        <f t="shared" si="33"/>
        <v>43.740987469180624</v>
      </c>
      <c r="Q58" s="22">
        <f t="shared" si="53"/>
        <v>377.33275817548969</v>
      </c>
      <c r="R58" s="60">
        <f t="shared" si="0"/>
        <v>670.666091508823</v>
      </c>
      <c r="S58" s="60">
        <f ca="1">AVERAGE(OFFSET($R$3,0,0,'Données projet'!$E$9+1,1))-AVERAGE(OFFSET($H$3,0,0,'Données projet'!$E$9+1,1))</f>
        <v>223.38593045370783</v>
      </c>
      <c r="T58" s="60">
        <f t="shared" si="34"/>
        <v>161.68519532023998</v>
      </c>
      <c r="U58" s="16">
        <f>IF(ISNA(VLOOKUP(A58,'Données projet'!$A$35:$I$55,3,0)),0,VLOOKUP(A58,'Données projet'!$A$35:$I$55,3,0))</f>
        <v>2</v>
      </c>
      <c r="V58" s="16">
        <f>IF(ISNA(VLOOKUP(A58,'Données projet'!$A$35:$I$55,4,0)),0,VLOOKUP(A58,'Données projet'!$A$35:$I$55,4,0))</f>
        <v>65.053846153846152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15.75</v>
      </c>
      <c r="AI58" s="14">
        <f>IF('Données projet'!$A$62&gt;35,AI57+AH58-AQ57,IF(A58&lt;'Données projet'!$A$62,$AF$205^A58,IF(A58='Données projet'!$A$62,'Données projet'!$B$62,AI57+AH58-AQ57)))</f>
        <v>276.49999999999989</v>
      </c>
      <c r="AJ58" s="14">
        <f>AI58*VLOOKUP('Données projet'!$B$10,Paramètres!$A$1:$I$89,3,0)*VLOOKUP('Données projet'!$B$10,Paramètres!$A$1:$I$89,5,0)</f>
        <v>165.34699999999995</v>
      </c>
      <c r="AK58" s="14">
        <f t="shared" si="35"/>
        <v>42.046229153073355</v>
      </c>
      <c r="AL58" s="22">
        <f t="shared" si="4"/>
        <v>361.20987410826933</v>
      </c>
      <c r="AM58" s="60">
        <f t="shared" si="5"/>
        <v>654.54320744160259</v>
      </c>
      <c r="AN58" s="60">
        <f ca="1">AVERAGE(OFFSET($AM$3,0,0,'Données projet'!$E$10+1,1))-AVERAGE(OFFSET($H$3,0,0,'Données projet'!$E$10+1,1))</f>
        <v>216.19747366796145</v>
      </c>
      <c r="AO58" s="60">
        <f t="shared" si="36"/>
        <v>122.08911898780889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2.1489194045338738E-3</v>
      </c>
      <c r="AX58" s="23">
        <f t="shared" si="6"/>
        <v>2.1489194045338738E-3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10.542307692307702</v>
      </c>
      <c r="BD58" s="13">
        <f>IF('Données projet'!$A$88&gt;35,BD57+BC58-BL57,IF(A58&lt;'Données projet'!$A$88,$BA$205^A58,IF(A58='Données projet'!$A$88,'Données projet'!$B$88,BD57+BC58-BL57)))</f>
        <v>263.69999999999982</v>
      </c>
      <c r="BE58" s="14">
        <f>BD58*VLOOKUP('Données projet'!$B$11,Paramètres!$A$1:$I$89,3,0)*VLOOKUP('Données projet'!$B$11,Paramètres!$A$1:$I$89,5,0)</f>
        <v>123.41159999999991</v>
      </c>
      <c r="BF58" s="14">
        <f t="shared" si="37"/>
        <v>32.46939610718038</v>
      </c>
      <c r="BG58" s="22">
        <f t="shared" si="7"/>
        <v>271.49273488667239</v>
      </c>
      <c r="BH58" s="60">
        <f t="shared" si="8"/>
        <v>564.82606822000571</v>
      </c>
      <c r="BI58" s="60">
        <f ca="1">AVERAGE(OFFSET($BH$3,0,0,'Données projet'!$E$11+1,1))-AVERAGE(OFFSET($H$3,0,0,'Données projet'!$E$11+1,1))</f>
        <v>179.52358670810645</v>
      </c>
      <c r="BJ58" s="60">
        <f t="shared" si="38"/>
        <v>89.471764801078166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153.2051282051282</v>
      </c>
      <c r="BW58" s="13">
        <f>VLOOKUP(A58,'Données projet'!$A$113:$I$133,9,0)</f>
        <v>4.4871794871794863</v>
      </c>
      <c r="BX58" s="13">
        <f t="array" ref="BX58">INDEX(BW:BW,MIN(IF(ISNUMBER(BW58:BW254),ROW(BW58:BW254),"")))</f>
        <v>4.4871794871794863</v>
      </c>
      <c r="BY58" s="13">
        <f>IF('Données projet'!$A$114&gt;35,BY57+BX58-CG57,IF(A58&lt;'Données projet'!$A$114,$BV$205^A58,IF(A58='Données projet'!$A$114,'Données projet'!$B$114,BY57+BX58-CG57)))</f>
        <v>153.20512820512812</v>
      </c>
      <c r="BZ58" s="14">
        <f>BY58*VLOOKUP('Données projet'!$B$12,Paramètres!$A$1:$I$89,3,0)*VLOOKUP('Données projet'!$B$12,Paramètres!$A$1:$I$89,5,0)</f>
        <v>160.12999999999991</v>
      </c>
      <c r="CA58" s="14">
        <f t="shared" si="39"/>
        <v>40.871835883430627</v>
      </c>
      <c r="CB58" s="22">
        <f t="shared" si="10"/>
        <v>350.07819749697484</v>
      </c>
      <c r="CC58" s="60">
        <f t="shared" si="11"/>
        <v>643.41153083030815</v>
      </c>
      <c r="CD58" s="60">
        <f ca="1">AVERAGE(OFFSET($CC$3,0,0,'Données projet'!$E$12+1,1))-AVERAGE(OFFSET($H$3,0,0,'Données projet'!$E$12+1,1))</f>
        <v>304.57411436867147</v>
      </c>
      <c r="CE58" s="60">
        <f t="shared" si="40"/>
        <v>178.19974548556962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153.2051282051282</v>
      </c>
      <c r="CR58" s="13">
        <f>VLOOKUP(A58,'Données projet'!$A$139:$I$159,9,0)</f>
        <v>4.4871794871794863</v>
      </c>
      <c r="CS58" s="13">
        <f t="array" ref="CS58">INDEX(CR:CR,MIN(IF(ISNUMBER(CR58:CR254),ROW(CR58:CR254),"")))</f>
        <v>4.4871794871794863</v>
      </c>
      <c r="CT58" s="13">
        <f>IF('Données projet'!$A$140&gt;35,CT57+CS58-DB57,IF(A58&lt;'Données projet'!$A$140,$CQ$205^A58,IF(A58='Données projet'!$A$140,'Données projet'!$B$140,CT57+CS58-DB57)))</f>
        <v>153.20512820512812</v>
      </c>
      <c r="CU58" s="18">
        <f>CT58*VLOOKUP('Données projet'!$B$13,Paramètres!$A$1:$I$89,3,0)*VLOOKUP('Données projet'!$B$13,Paramètres!$A$1:$I$89,5,0)</f>
        <v>148.17999999999992</v>
      </c>
      <c r="CV58" s="14">
        <f t="shared" si="41"/>
        <v>38.164690693889192</v>
      </c>
      <c r="CW58" s="22">
        <f t="shared" si="13"/>
        <v>324.55033629185687</v>
      </c>
      <c r="CX58" s="60">
        <f t="shared" si="14"/>
        <v>617.88366962519012</v>
      </c>
      <c r="CY58" s="60">
        <f ca="1">AVERAGE(OFFSET($CX$3,0,0,'Données projet'!$E$13+1,1))-AVERAGE(OFFSET($H$3,0,0,'Données projet'!$E$13+1,1))</f>
        <v>279.37339904167601</v>
      </c>
      <c r="CZ58" s="60">
        <f t="shared" si="42"/>
        <v>163.80861186980007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0" t="e">
        <f t="shared" si="17"/>
        <v>#N/A</v>
      </c>
      <c r="DT58" s="60" t="e">
        <f ca="1">AVERAGE(OFFSET($DS$3,0,0,'Données projet'!$E$14+1,1))-AVERAGE(OFFSET($H$3,0,0,'Données projet'!$E$14+1,1))</f>
        <v>#N/A</v>
      </c>
      <c r="DU58" s="60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</v>
      </c>
      <c r="D59" s="12">
        <f t="shared" si="32"/>
        <v>5.1291372499950256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157.60597175434751</v>
      </c>
      <c r="H59" s="68">
        <f t="shared" si="1"/>
        <v>328.89318071040799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7.343076923076933</v>
      </c>
      <c r="N59" s="14">
        <f>IF('Données projet'!$A$36&gt;35,N58+M59-V58,IF(A59&lt;'Données projet'!$A$36,$K$205^A59,IF(A59='Données projet'!$A$36,'Données projet'!$B$36,N58+M59-V58)))</f>
        <v>231.43538461538463</v>
      </c>
      <c r="O59" s="14">
        <f>N59*VLOOKUP('Données projet'!$B$9,Paramètres!$A$1:$I$89,3,0)*VLOOKUP('Données projet'!$B$9,Paramètres!$A$1:$I$89,5,0)</f>
        <v>138.39836000000003</v>
      </c>
      <c r="P59" s="14">
        <f t="shared" si="33"/>
        <v>35.929846915707486</v>
      </c>
      <c r="Q59" s="22">
        <f t="shared" si="53"/>
        <v>303.62162704485723</v>
      </c>
      <c r="R59" s="60">
        <f t="shared" si="0"/>
        <v>596.95496037819055</v>
      </c>
      <c r="S59" s="60">
        <f ca="1">AVERAGE(OFFSET($R$3,0,0,'Données projet'!$E$9+1,1))-AVERAGE(OFFSET($H$3,0,0,'Données projet'!$E$9+1,1))</f>
        <v>223.38593045370783</v>
      </c>
      <c r="T59" s="60">
        <f t="shared" si="34"/>
        <v>161.68519532023998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15.75</v>
      </c>
      <c r="AI59" s="14">
        <f>IF('Données projet'!$A$62&gt;35,AI58+AH59-AQ58,IF(A59&lt;'Données projet'!$A$62,$AF$205^A59,IF(A59='Données projet'!$A$62,'Données projet'!$B$62,AI58+AH59-AQ58)))</f>
        <v>292.24999999999989</v>
      </c>
      <c r="AJ59" s="14">
        <f>AI59*VLOOKUP('Données projet'!$B$10,Paramètres!$A$1:$I$89,3,0)*VLOOKUP('Données projet'!$B$10,Paramètres!$A$1:$I$89,5,0)</f>
        <v>174.76549999999995</v>
      </c>
      <c r="AK59" s="14">
        <f t="shared" si="35"/>
        <v>44.155613654230727</v>
      </c>
      <c r="AL59" s="22">
        <f t="shared" si="4"/>
        <v>381.28760628111837</v>
      </c>
      <c r="AM59" s="60">
        <f t="shared" si="5"/>
        <v>674.62093961445169</v>
      </c>
      <c r="AN59" s="60">
        <f ca="1">AVERAGE(OFFSET($AM$3,0,0,'Données projet'!$E$10+1,1))-AVERAGE(OFFSET($H$3,0,0,'Données projet'!$E$10+1,1))</f>
        <v>216.19747366796145</v>
      </c>
      <c r="AO59" s="60">
        <f t="shared" si="36"/>
        <v>122.08911898780889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1.51951548316926E-3</v>
      </c>
      <c r="AX59" s="23">
        <f t="shared" si="6"/>
        <v>1.51951548316926E-3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10.542307692307702</v>
      </c>
      <c r="BD59" s="13">
        <f>IF('Données projet'!$A$88&gt;35,BD58+BC59-BL58,IF(A59&lt;'Données projet'!$A$88,$BA$205^A59,IF(A59='Données projet'!$A$88,'Données projet'!$B$88,BD58+BC59-BL58)))</f>
        <v>274.24230769230752</v>
      </c>
      <c r="BE59" s="14">
        <f>BD59*VLOOKUP('Données projet'!$B$11,Paramètres!$A$1:$I$89,3,0)*VLOOKUP('Données projet'!$B$11,Paramètres!$A$1:$I$89,5,0)</f>
        <v>128.34539999999993</v>
      </c>
      <c r="BF59" s="14">
        <f t="shared" si="37"/>
        <v>33.61374529088544</v>
      </c>
      <c r="BG59" s="22">
        <f t="shared" si="7"/>
        <v>282.07884471495868</v>
      </c>
      <c r="BH59" s="60">
        <f t="shared" si="8"/>
        <v>575.41217804829193</v>
      </c>
      <c r="BI59" s="60">
        <f ca="1">AVERAGE(OFFSET($BH$3,0,0,'Données projet'!$E$11+1,1))-AVERAGE(OFFSET($H$3,0,0,'Données projet'!$E$11+1,1))</f>
        <v>179.52358670810645</v>
      </c>
      <c r="BJ59" s="60">
        <f t="shared" si="38"/>
        <v>89.471764801078166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4.2307692307692317</v>
      </c>
      <c r="BY59" s="13">
        <f>IF('Données projet'!$A$114&gt;35,BY58+BX59-CG58,IF(A59&lt;'Données projet'!$A$114,$BV$205^A59,IF(A59='Données projet'!$A$114,'Données projet'!$B$114,BY58+BX59-CG58)))</f>
        <v>157.43589743589735</v>
      </c>
      <c r="BZ59" s="14">
        <f>BY59*VLOOKUP('Données projet'!$B$12,Paramètres!$A$1:$I$89,3,0)*VLOOKUP('Données projet'!$B$12,Paramètres!$A$1:$I$89,5,0)</f>
        <v>164.55199999999994</v>
      </c>
      <c r="CA59" s="14">
        <f t="shared" si="39"/>
        <v>41.867549418546126</v>
      </c>
      <c r="CB59" s="22">
        <f t="shared" si="10"/>
        <v>359.51404857063443</v>
      </c>
      <c r="CC59" s="60">
        <f t="shared" si="11"/>
        <v>652.84738190396774</v>
      </c>
      <c r="CD59" s="60">
        <f ca="1">AVERAGE(OFFSET($CC$3,0,0,'Données projet'!$E$12+1,1))-AVERAGE(OFFSET($H$3,0,0,'Données projet'!$E$12+1,1))</f>
        <v>304.57411436867147</v>
      </c>
      <c r="CE59" s="60">
        <f t="shared" si="40"/>
        <v>178.19974548556962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4.2307692307692317</v>
      </c>
      <c r="CT59" s="13">
        <f>IF('Données projet'!$A$140&gt;35,CT58+CS59-DB58,IF(A59&lt;'Données projet'!$A$140,$CQ$205^A59,IF(A59='Données projet'!$A$140,'Données projet'!$B$140,CT58+CS59-DB58)))</f>
        <v>157.43589743589735</v>
      </c>
      <c r="CU59" s="18">
        <f>CT59*VLOOKUP('Données projet'!$B$13,Paramètres!$A$1:$I$89,3,0)*VLOOKUP('Données projet'!$B$13,Paramètres!$A$1:$I$89,5,0)</f>
        <v>152.27199999999991</v>
      </c>
      <c r="CV59" s="14">
        <f t="shared" si="41"/>
        <v>39.094453163962321</v>
      </c>
      <c r="CW59" s="22">
        <f t="shared" si="13"/>
        <v>333.29657259390086</v>
      </c>
      <c r="CX59" s="60">
        <f t="shared" si="14"/>
        <v>626.62990592723418</v>
      </c>
      <c r="CY59" s="60">
        <f ca="1">AVERAGE(OFFSET($CX$3,0,0,'Données projet'!$E$13+1,1))-AVERAGE(OFFSET($H$3,0,0,'Données projet'!$E$13+1,1))</f>
        <v>279.37339904167601</v>
      </c>
      <c r="CZ59" s="60">
        <f t="shared" si="42"/>
        <v>163.80861186980007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0" t="e">
        <f t="shared" si="17"/>
        <v>#N/A</v>
      </c>
      <c r="DT59" s="60" t="e">
        <f ca="1">AVERAGE(OFFSET($DS$3,0,0,'Données projet'!$E$14+1,1))-AVERAGE(OFFSET($H$3,0,0,'Données projet'!$E$14+1,1))</f>
        <v>#N/A</v>
      </c>
      <c r="DU59" s="60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15.560999999999989</v>
      </c>
      <c r="D60" s="12">
        <f t="shared" si="32"/>
        <v>5.2099841522989676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160.33742152651826</v>
      </c>
      <c r="H60" s="68">
        <f t="shared" si="1"/>
        <v>329.50946406525401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7.343076923076933</v>
      </c>
      <c r="N60" s="14">
        <f>IF('Données projet'!$A$36&gt;35,N59+M60-V59,IF(A60&lt;'Données projet'!$A$36,$K$205^A60,IF(A60='Données projet'!$A$36,'Données projet'!$B$36,N59+M60-V59)))</f>
        <v>238.77846153846156</v>
      </c>
      <c r="O60" s="14">
        <f>N60*VLOOKUP('Données projet'!$B$9,Paramètres!$A$1:$I$89,3,0)*VLOOKUP('Données projet'!$B$9,Paramètres!$A$1:$I$89,5,0)</f>
        <v>142.78952000000001</v>
      </c>
      <c r="P60" s="14">
        <f t="shared" si="33"/>
        <v>36.935309734566957</v>
      </c>
      <c r="Q60" s="22">
        <f t="shared" si="53"/>
        <v>313.02074512103746</v>
      </c>
      <c r="R60" s="60">
        <f t="shared" si="0"/>
        <v>606.35407845437078</v>
      </c>
      <c r="S60" s="60">
        <f ca="1">AVERAGE(OFFSET($R$3,0,0,'Données projet'!$E$9+1,1))-AVERAGE(OFFSET($H$3,0,0,'Données projet'!$E$9+1,1))</f>
        <v>223.38593045370783</v>
      </c>
      <c r="T60" s="60">
        <f t="shared" si="34"/>
        <v>161.68519532023998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>
        <f>VLOOKUP(A60,'Données projet'!$A$61:$I$81,2,0)</f>
        <v>308</v>
      </c>
      <c r="AG60" s="13">
        <f>VLOOKUP(A60,'Données projet'!$A$61:$I$81,9,0)</f>
        <v>15.75</v>
      </c>
      <c r="AH60" s="13">
        <f t="array" ref="AH60">INDEX(AG:AG,MIN(IF(ISNUMBER(AG60:AG256),ROW(AG60:AG256),"")))</f>
        <v>15.75</v>
      </c>
      <c r="AI60" s="14">
        <f>IF('Données projet'!$A$62&gt;35,AI59+AH60-AQ59,IF(A60&lt;'Données projet'!$A$62,$AF$205^A60,IF(A60='Données projet'!$A$62,'Données projet'!$B$62,AI59+AH60-AQ59)))</f>
        <v>307.99999999999989</v>
      </c>
      <c r="AJ60" s="14">
        <f>AI60*VLOOKUP('Données projet'!$B$10,Paramètres!$A$1:$I$89,3,0)*VLOOKUP('Données projet'!$B$10,Paramètres!$A$1:$I$89,5,0)</f>
        <v>184.18399999999994</v>
      </c>
      <c r="AK60" s="14">
        <f t="shared" si="35"/>
        <v>46.251800545659314</v>
      </c>
      <c r="AL60" s="22">
        <f t="shared" si="4"/>
        <v>401.34235261702315</v>
      </c>
      <c r="AM60" s="60">
        <f t="shared" si="5"/>
        <v>694.67568595035641</v>
      </c>
      <c r="AN60" s="60">
        <f ca="1">AVERAGE(OFFSET($AM$3,0,0,'Données projet'!$E$10+1,1))-AVERAGE(OFFSET($H$3,0,0,'Données projet'!$E$10+1,1))</f>
        <v>216.19747366796145</v>
      </c>
      <c r="AO60" s="60">
        <f t="shared" si="36"/>
        <v>122.08911898780889</v>
      </c>
      <c r="AP60" s="16">
        <f>IF(ISNA(VLOOKUP(A60,'Données projet'!$A$61:$I$81,3,0)),0,VLOOKUP(A60,'Données projet'!$A$61:$I$81,3,0))</f>
        <v>4</v>
      </c>
      <c r="AQ60" s="16">
        <f>IF(ISNA(VLOOKUP(A60,'Données projet'!$A$61:$I$81,4,0)),0,VLOOKUP(A60,'Données projet'!$A$61:$I$81,4,0))</f>
        <v>98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1.0744597022669369E-3</v>
      </c>
      <c r="AX60" s="23">
        <f t="shared" si="6"/>
        <v>1.0744597022669369E-3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>
        <f>VLOOKUP(A60,'Données projet'!$A$87:$I$107,2,0)</f>
        <v>284.78461538461539</v>
      </c>
      <c r="BB60" s="13">
        <f>VLOOKUP(A60,'Données projet'!$A$87:$I$107,9,0)</f>
        <v>10.542307692307702</v>
      </c>
      <c r="BC60" s="13">
        <f t="array" ref="BC60">INDEX(BB:BB,MIN(IF(ISNUMBER(BB60:BB256),ROW(BB60:BB256),"")))</f>
        <v>10.542307692307702</v>
      </c>
      <c r="BD60" s="13">
        <f>IF('Données projet'!$A$88&gt;35,BD59+BC60-BL59,IF(A60&lt;'Données projet'!$A$88,$BA$205^A60,IF(A60='Données projet'!$A$88,'Données projet'!$B$88,BD59+BC60-BL59)))</f>
        <v>284.78461538461522</v>
      </c>
      <c r="BE60" s="14">
        <f>BD60*VLOOKUP('Données projet'!$B$11,Paramètres!$A$1:$I$89,3,0)*VLOOKUP('Données projet'!$B$11,Paramètres!$A$1:$I$89,5,0)</f>
        <v>133.27919999999992</v>
      </c>
      <c r="BF60" s="14">
        <f t="shared" si="37"/>
        <v>34.752984079426945</v>
      </c>
      <c r="BG60" s="22">
        <f t="shared" si="7"/>
        <v>292.65605393833511</v>
      </c>
      <c r="BH60" s="60">
        <f t="shared" si="8"/>
        <v>585.98938727166842</v>
      </c>
      <c r="BI60" s="60">
        <f ca="1">AVERAGE(OFFSET($BH$3,0,0,'Données projet'!$E$11+1,1))-AVERAGE(OFFSET($H$3,0,0,'Données projet'!$E$11+1,1))</f>
        <v>179.52358670810645</v>
      </c>
      <c r="BJ60" s="60">
        <f t="shared" si="38"/>
        <v>89.471764801078166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4.2307692307692317</v>
      </c>
      <c r="BY60" s="13">
        <f>IF('Données projet'!$A$114&gt;35,BY59+BX60-CG59,IF(A60&lt;'Données projet'!$A$114,$BV$205^A60,IF(A60='Données projet'!$A$114,'Données projet'!$B$114,BY59+BX60-CG59)))</f>
        <v>161.66666666666657</v>
      </c>
      <c r="BZ60" s="14">
        <f>BY60*VLOOKUP('Données projet'!$B$12,Paramètres!$A$1:$I$89,3,0)*VLOOKUP('Données projet'!$B$12,Paramètres!$A$1:$I$89,5,0)</f>
        <v>168.9739999999999</v>
      </c>
      <c r="CA60" s="14">
        <f t="shared" si="39"/>
        <v>42.860152819367428</v>
      </c>
      <c r="CB60" s="22">
        <f t="shared" si="10"/>
        <v>368.94448282706475</v>
      </c>
      <c r="CC60" s="60">
        <f t="shared" si="11"/>
        <v>662.27781616039806</v>
      </c>
      <c r="CD60" s="60">
        <f ca="1">AVERAGE(OFFSET($CC$3,0,0,'Données projet'!$E$12+1,1))-AVERAGE(OFFSET($H$3,0,0,'Données projet'!$E$12+1,1))</f>
        <v>304.57411436867147</v>
      </c>
      <c r="CE60" s="60">
        <f t="shared" si="40"/>
        <v>178.19974548556962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4.2307692307692317</v>
      </c>
      <c r="CT60" s="13">
        <f>IF('Données projet'!$A$140&gt;35,CT59+CS60-DB59,IF(A60&lt;'Données projet'!$A$140,$CQ$205^A60,IF(A60='Données projet'!$A$140,'Données projet'!$B$140,CT59+CS60-DB59)))</f>
        <v>161.66666666666657</v>
      </c>
      <c r="CU60" s="18">
        <f>CT60*VLOOKUP('Données projet'!$B$13,Paramètres!$A$1:$I$89,3,0)*VLOOKUP('Données projet'!$B$13,Paramètres!$A$1:$I$89,5,0)</f>
        <v>156.36399999999992</v>
      </c>
      <c r="CV60" s="14">
        <f t="shared" si="41"/>
        <v>40.021311499420811</v>
      </c>
      <c r="CW60" s="22">
        <f t="shared" si="13"/>
        <v>342.03775086149108</v>
      </c>
      <c r="CX60" s="60">
        <f t="shared" si="14"/>
        <v>635.37108419482433</v>
      </c>
      <c r="CY60" s="60">
        <f ca="1">AVERAGE(OFFSET($CX$3,0,0,'Données projet'!$E$13+1,1))-AVERAGE(OFFSET($H$3,0,0,'Données projet'!$E$13+1,1))</f>
        <v>279.37339904167601</v>
      </c>
      <c r="CZ60" s="60">
        <f t="shared" si="42"/>
        <v>163.80861186980007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0" t="e">
        <f t="shared" si="17"/>
        <v>#N/A</v>
      </c>
      <c r="DT60" s="60" t="e">
        <f ca="1">AVERAGE(OFFSET($DS$3,0,0,'Données projet'!$E$14+1,1))-AVERAGE(OFFSET($H$3,0,0,'Données projet'!$E$14+1,1))</f>
        <v>#N/A</v>
      </c>
      <c r="DU60" s="60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15.833999999999989</v>
      </c>
      <c r="D61" s="12">
        <f t="shared" si="32"/>
        <v>5.2906661162322033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163.06759809021341</v>
      </c>
      <c r="H61" s="68">
        <f t="shared" si="1"/>
        <v>330.12546015243771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7.343076923076933</v>
      </c>
      <c r="N61" s="14">
        <f>IF('Données projet'!$A$36&gt;35,N60+M61-V60,IF(A61&lt;'Données projet'!$A$36,$K$205^A61,IF(A61='Données projet'!$A$36,'Données projet'!$B$36,N60+M61-V60)))</f>
        <v>246.12153846153848</v>
      </c>
      <c r="O61" s="14">
        <f>N61*VLOOKUP('Données projet'!$B$9,Paramètres!$A$1:$I$89,3,0)*VLOOKUP('Données projet'!$B$9,Paramètres!$A$1:$I$89,5,0)</f>
        <v>147.18068000000002</v>
      </c>
      <c r="P61" s="14">
        <f t="shared" si="33"/>
        <v>37.937179222759184</v>
      </c>
      <c r="Q61" s="22">
        <f t="shared" si="53"/>
        <v>322.41360481297227</v>
      </c>
      <c r="R61" s="60">
        <f t="shared" si="0"/>
        <v>615.74693814630564</v>
      </c>
      <c r="S61" s="60">
        <f ca="1">AVERAGE(OFFSET($R$3,0,0,'Données projet'!$E$9+1,1))-AVERAGE(OFFSET($H$3,0,0,'Données projet'!$E$9+1,1))</f>
        <v>223.38593045370783</v>
      </c>
      <c r="T61" s="60">
        <f t="shared" si="34"/>
        <v>161.68519532023998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12.8</v>
      </c>
      <c r="AI61" s="14">
        <f>IF('Données projet'!$A$62&gt;35,AI60+AH61-AQ60,IF(A61&lt;'Données projet'!$A$62,$AF$205^A61,IF(A61='Données projet'!$A$62,'Données projet'!$B$62,AI60+AH61-AQ60)))</f>
        <v>222.7999999999999</v>
      </c>
      <c r="AJ61" s="14">
        <f>AI61*VLOOKUP('Données projet'!$B$10,Paramètres!$A$1:$I$89,3,0)*VLOOKUP('Données projet'!$B$10,Paramètres!$A$1:$I$89,5,0)</f>
        <v>133.23439999999994</v>
      </c>
      <c r="AK61" s="14">
        <f t="shared" si="35"/>
        <v>34.74266188720091</v>
      </c>
      <c r="AL61" s="22">
        <f t="shared" si="4"/>
        <v>292.56004945354147</v>
      </c>
      <c r="AM61" s="60">
        <f t="shared" si="5"/>
        <v>585.89338278687478</v>
      </c>
      <c r="AN61" s="60">
        <f ca="1">AVERAGE(OFFSET($AM$3,0,0,'Données projet'!$E$10+1,1))-AVERAGE(OFFSET($H$3,0,0,'Données projet'!$E$10+1,1))</f>
        <v>216.19747366796145</v>
      </c>
      <c r="AO61" s="60">
        <f t="shared" si="36"/>
        <v>122.08911898780889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7.5975774158462998E-4</v>
      </c>
      <c r="AX61" s="23">
        <f t="shared" si="6"/>
        <v>7.5975774158462998E-4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10.984615384615381</v>
      </c>
      <c r="BD61" s="13">
        <f>IF('Données projet'!$A$88&gt;35,BD60+BC61-BL60,IF(A61&lt;'Données projet'!$A$88,$BA$205^A61,IF(A61='Données projet'!$A$88,'Données projet'!$B$88,BD60+BC61-BL60)))</f>
        <v>295.7692307692306</v>
      </c>
      <c r="BE61" s="14">
        <f>BD61*VLOOKUP('Données projet'!$B$11,Paramètres!$A$1:$I$89,3,0)*VLOOKUP('Données projet'!$B$11,Paramètres!$A$1:$I$89,5,0)</f>
        <v>138.41999999999993</v>
      </c>
      <c r="BF61" s="14">
        <f t="shared" si="37"/>
        <v>35.934810934702796</v>
      </c>
      <c r="BG61" s="22">
        <f t="shared" si="7"/>
        <v>303.66796237794057</v>
      </c>
      <c r="BH61" s="60">
        <f t="shared" si="8"/>
        <v>597.00129571127388</v>
      </c>
      <c r="BI61" s="60">
        <f ca="1">AVERAGE(OFFSET($BH$3,0,0,'Données projet'!$E$11+1,1))-AVERAGE(OFFSET($H$3,0,0,'Données projet'!$E$11+1,1))</f>
        <v>179.52358670810645</v>
      </c>
      <c r="BJ61" s="60">
        <f t="shared" si="38"/>
        <v>89.471764801078166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4.2307692307692317</v>
      </c>
      <c r="BY61" s="13">
        <f>IF('Données projet'!$A$114&gt;35,BY60+BX61-CG60,IF(A61&lt;'Données projet'!$A$114,$BV$205^A61,IF(A61='Données projet'!$A$114,'Données projet'!$B$114,BY60+BX61-CG60)))</f>
        <v>165.8974358974358</v>
      </c>
      <c r="BZ61" s="14">
        <f>BY61*VLOOKUP('Données projet'!$B$12,Paramètres!$A$1:$I$89,3,0)*VLOOKUP('Données projet'!$B$12,Paramètres!$A$1:$I$89,5,0)</f>
        <v>173.39599999999993</v>
      </c>
      <c r="CA61" s="14">
        <f t="shared" si="39"/>
        <v>43.849736833856177</v>
      </c>
      <c r="CB61" s="22">
        <f t="shared" si="10"/>
        <v>378.369658318966</v>
      </c>
      <c r="CC61" s="60">
        <f t="shared" si="11"/>
        <v>671.70299165229926</v>
      </c>
      <c r="CD61" s="60">
        <f ca="1">AVERAGE(OFFSET($CC$3,0,0,'Données projet'!$E$12+1,1))-AVERAGE(OFFSET($H$3,0,0,'Données projet'!$E$12+1,1))</f>
        <v>304.57411436867147</v>
      </c>
      <c r="CE61" s="60">
        <f t="shared" si="40"/>
        <v>178.19974548556962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4.2307692307692317</v>
      </c>
      <c r="CT61" s="13">
        <f>IF('Données projet'!$A$140&gt;35,CT60+CS61-DB60,IF(A61&lt;'Données projet'!$A$140,$CQ$205^A61,IF(A61='Données projet'!$A$140,'Données projet'!$B$140,CT60+CS61-DB60)))</f>
        <v>165.8974358974358</v>
      </c>
      <c r="CU61" s="18">
        <f>CT61*VLOOKUP('Données projet'!$B$13,Paramètres!$A$1:$I$89,3,0)*VLOOKUP('Données projet'!$B$13,Paramètres!$A$1:$I$89,5,0)</f>
        <v>160.4559999999999</v>
      </c>
      <c r="CV61" s="14">
        <f t="shared" si="41"/>
        <v>40.94535043753686</v>
      </c>
      <c r="CW61" s="22">
        <f t="shared" si="13"/>
        <v>350.77401867870987</v>
      </c>
      <c r="CX61" s="60">
        <f t="shared" si="14"/>
        <v>644.10735201204318</v>
      </c>
      <c r="CY61" s="60">
        <f ca="1">AVERAGE(OFFSET($CX$3,0,0,'Données projet'!$E$13+1,1))-AVERAGE(OFFSET($H$3,0,0,'Données projet'!$E$13+1,1))</f>
        <v>279.37339904167601</v>
      </c>
      <c r="CZ61" s="60">
        <f t="shared" si="42"/>
        <v>163.80861186980007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0" t="e">
        <f t="shared" si="17"/>
        <v>#N/A</v>
      </c>
      <c r="DT61" s="60" t="e">
        <f ca="1">AVERAGE(OFFSET($DS$3,0,0,'Données projet'!$E$14+1,1))-AVERAGE(OFFSET($H$3,0,0,'Données projet'!$E$14+1,1))</f>
        <v>#N/A</v>
      </c>
      <c r="DU61" s="60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16.106999999999989</v>
      </c>
      <c r="D62" s="12">
        <f t="shared" si="32"/>
        <v>5.3711863137071569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165.79652593037093</v>
      </c>
      <c r="H62" s="68">
        <f t="shared" si="1"/>
        <v>330.74117449637328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7.343076923076933</v>
      </c>
      <c r="N62" s="14">
        <f>IF('Données projet'!$A$36&gt;35,N61+M62-V61,IF(A62&lt;'Données projet'!$A$36,$K$205^A62,IF(A62='Données projet'!$A$36,'Données projet'!$B$36,N61+M62-V61)))</f>
        <v>253.4646153846154</v>
      </c>
      <c r="O62" s="14">
        <f>N62*VLOOKUP('Données projet'!$B$9,Paramètres!$A$1:$I$89,3,0)*VLOOKUP('Données projet'!$B$9,Paramètres!$A$1:$I$89,5,0)</f>
        <v>151.57184000000001</v>
      </c>
      <c r="P62" s="14">
        <f t="shared" si="33"/>
        <v>38.935574895235966</v>
      </c>
      <c r="Q62" s="22">
        <f t="shared" si="53"/>
        <v>331.80041427586929</v>
      </c>
      <c r="R62" s="60">
        <f t="shared" si="0"/>
        <v>625.1337476092026</v>
      </c>
      <c r="S62" s="60">
        <f ca="1">AVERAGE(OFFSET($R$3,0,0,'Données projet'!$E$9+1,1))-AVERAGE(OFFSET($H$3,0,0,'Données projet'!$E$9+1,1))</f>
        <v>223.38593045370783</v>
      </c>
      <c r="T62" s="60">
        <f t="shared" si="34"/>
        <v>161.68519532023998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12.8</v>
      </c>
      <c r="AI62" s="14">
        <f>IF('Données projet'!$A$62&gt;35,AI61+AH62-AQ61,IF(A62&lt;'Données projet'!$A$62,$AF$205^A62,IF(A62='Données projet'!$A$62,'Données projet'!$B$62,AI61+AH62-AQ61)))</f>
        <v>235.59999999999991</v>
      </c>
      <c r="AJ62" s="14">
        <f>AI62*VLOOKUP('Données projet'!$B$10,Paramètres!$A$1:$I$89,3,0)*VLOOKUP('Données projet'!$B$10,Paramètres!$A$1:$I$89,5,0)</f>
        <v>140.88879999999995</v>
      </c>
      <c r="AK62" s="14">
        <f t="shared" si="35"/>
        <v>36.500542039399996</v>
      </c>
      <c r="AL62" s="22">
        <f t="shared" si="4"/>
        <v>308.95310405195488</v>
      </c>
      <c r="AM62" s="60">
        <f t="shared" si="5"/>
        <v>602.2864373852882</v>
      </c>
      <c r="AN62" s="60">
        <f ca="1">AVERAGE(OFFSET($AM$3,0,0,'Données projet'!$E$10+1,1))-AVERAGE(OFFSET($H$3,0,0,'Données projet'!$E$10+1,1))</f>
        <v>216.19747366796145</v>
      </c>
      <c r="AO62" s="60">
        <f t="shared" si="36"/>
        <v>122.08911898780889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5.3722985113346846E-4</v>
      </c>
      <c r="AX62" s="23">
        <f t="shared" si="6"/>
        <v>5.3722985113346846E-4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10.984615384615381</v>
      </c>
      <c r="BD62" s="13">
        <f>IF('Données projet'!$A$88&gt;35,BD61+BC62-BL61,IF(A62&lt;'Données projet'!$A$88,$BA$205^A62,IF(A62='Données projet'!$A$88,'Données projet'!$B$88,BD61+BC62-BL61)))</f>
        <v>306.75384615384598</v>
      </c>
      <c r="BE62" s="14">
        <f>BD62*VLOOKUP('Données projet'!$B$11,Paramètres!$A$1:$I$89,3,0)*VLOOKUP('Données projet'!$B$11,Paramètres!$A$1:$I$89,5,0)</f>
        <v>143.56079999999992</v>
      </c>
      <c r="BF62" s="14">
        <f t="shared" si="37"/>
        <v>37.111538546158371</v>
      </c>
      <c r="BG62" s="22">
        <f t="shared" si="7"/>
        <v>314.67098963455902</v>
      </c>
      <c r="BH62" s="60">
        <f t="shared" si="8"/>
        <v>608.00432296789234</v>
      </c>
      <c r="BI62" s="60">
        <f ca="1">AVERAGE(OFFSET($BH$3,0,0,'Données projet'!$E$11+1,1))-AVERAGE(OFFSET($H$3,0,0,'Données projet'!$E$11+1,1))</f>
        <v>179.52358670810645</v>
      </c>
      <c r="BJ62" s="60">
        <f t="shared" si="38"/>
        <v>89.471764801078166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4.2307692307692317</v>
      </c>
      <c r="BY62" s="13">
        <f>IF('Données projet'!$A$114&gt;35,BY61+BX62-CG61,IF(A62&lt;'Données projet'!$A$114,$BV$205^A62,IF(A62='Données projet'!$A$114,'Données projet'!$B$114,BY61+BX62-CG61)))</f>
        <v>170.12820512820502</v>
      </c>
      <c r="BZ62" s="14">
        <f>BY62*VLOOKUP('Données projet'!$B$12,Paramètres!$A$1:$I$89,3,0)*VLOOKUP('Données projet'!$B$12,Paramètres!$A$1:$I$89,5,0)</f>
        <v>177.8179999999999</v>
      </c>
      <c r="CA62" s="14">
        <f t="shared" si="39"/>
        <v>44.836387317687525</v>
      </c>
      <c r="CB62" s="22">
        <f t="shared" si="10"/>
        <v>387.7897245783056</v>
      </c>
      <c r="CC62" s="60">
        <f t="shared" si="11"/>
        <v>681.12305791163885</v>
      </c>
      <c r="CD62" s="60">
        <f ca="1">AVERAGE(OFFSET($CC$3,0,0,'Données projet'!$E$12+1,1))-AVERAGE(OFFSET($H$3,0,0,'Données projet'!$E$12+1,1))</f>
        <v>304.57411436867147</v>
      </c>
      <c r="CE62" s="60">
        <f t="shared" si="40"/>
        <v>178.19974548556962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4.2307692307692317</v>
      </c>
      <c r="CT62" s="13">
        <f>IF('Données projet'!$A$140&gt;35,CT61+CS62-DB61,IF(A62&lt;'Données projet'!$A$140,$CQ$205^A62,IF(A62='Données projet'!$A$140,'Données projet'!$B$140,CT61+CS62-DB61)))</f>
        <v>170.12820512820502</v>
      </c>
      <c r="CU62" s="18">
        <f>CT62*VLOOKUP('Données projet'!$B$13,Paramètres!$A$1:$I$89,3,0)*VLOOKUP('Données projet'!$B$13,Paramètres!$A$1:$I$89,5,0)</f>
        <v>164.54799999999989</v>
      </c>
      <c r="CV62" s="14">
        <f t="shared" si="41"/>
        <v>41.866650147336898</v>
      </c>
      <c r="CW62" s="22">
        <f t="shared" si="13"/>
        <v>359.50551567327824</v>
      </c>
      <c r="CX62" s="60">
        <f t="shared" si="14"/>
        <v>652.83884900661155</v>
      </c>
      <c r="CY62" s="60">
        <f ca="1">AVERAGE(OFFSET($CX$3,0,0,'Données projet'!$E$13+1,1))-AVERAGE(OFFSET($H$3,0,0,'Données projet'!$E$13+1,1))</f>
        <v>279.37339904167601</v>
      </c>
      <c r="CZ62" s="60">
        <f t="shared" si="42"/>
        <v>163.80861186980007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0" t="e">
        <f t="shared" si="17"/>
        <v>#N/A</v>
      </c>
      <c r="DT62" s="60" t="e">
        <f ca="1">AVERAGE(OFFSET($DS$3,0,0,'Données projet'!$E$14+1,1))-AVERAGE(OFFSET($H$3,0,0,'Données projet'!$E$14+1,1))</f>
        <v>#N/A</v>
      </c>
      <c r="DU62" s="60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16.379999999999988</v>
      </c>
      <c r="D63" s="12">
        <f t="shared" si="32"/>
        <v>5.451547802951878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168.52422865436529</v>
      </c>
      <c r="H63" s="68">
        <f t="shared" si="1"/>
        <v>331.35661242347447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260.80769230769232</v>
      </c>
      <c r="L63" s="13">
        <f>VLOOKUP(A63,'Données projet'!$A$35:$I$55,9,0)</f>
        <v>7.343076923076933</v>
      </c>
      <c r="M63" s="13">
        <f t="array" ref="M63">INDEX(L:L,MIN(IF(ISNUMBER(L63:L259),ROW(L63:L259),"")))</f>
        <v>7.343076923076933</v>
      </c>
      <c r="N63" s="14">
        <f>IF('Données projet'!$A$36&gt;35,N62+M63-V62,IF(A63&lt;'Données projet'!$A$36,$K$205^A63,IF(A63='Données projet'!$A$36,'Données projet'!$B$36,N62+M63-V62)))</f>
        <v>260.80769230769232</v>
      </c>
      <c r="O63" s="14">
        <f>N63*VLOOKUP('Données projet'!$B$9,Paramètres!$A$1:$I$89,3,0)*VLOOKUP('Données projet'!$B$9,Paramètres!$A$1:$I$89,5,0)</f>
        <v>155.96300000000002</v>
      </c>
      <c r="P63" s="14">
        <f t="shared" si="33"/>
        <v>39.930608948271534</v>
      </c>
      <c r="Q63" s="22">
        <f t="shared" si="53"/>
        <v>341.18136891823957</v>
      </c>
      <c r="R63" s="60">
        <f t="shared" si="0"/>
        <v>634.51470225157288</v>
      </c>
      <c r="S63" s="60">
        <f ca="1">AVERAGE(OFFSET($R$3,0,0,'Données projet'!$E$9+1,1))-AVERAGE(OFFSET($H$3,0,0,'Données projet'!$E$9+1,1))</f>
        <v>223.38593045370783</v>
      </c>
      <c r="T63" s="60">
        <f t="shared" si="34"/>
        <v>161.68519532023998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12.8</v>
      </c>
      <c r="AI63" s="14">
        <f>IF('Données projet'!$A$62&gt;35,AI62+AH63-AQ62,IF(A63&lt;'Données projet'!$A$62,$AF$205^A63,IF(A63='Données projet'!$A$62,'Données projet'!$B$62,AI62+AH63-AQ62)))</f>
        <v>248.39999999999992</v>
      </c>
      <c r="AJ63" s="14">
        <f>AI63*VLOOKUP('Données projet'!$B$10,Paramètres!$A$1:$I$89,3,0)*VLOOKUP('Données projet'!$B$10,Paramètres!$A$1:$I$89,5,0)</f>
        <v>148.54319999999996</v>
      </c>
      <c r="AK63" s="14">
        <f t="shared" si="35"/>
        <v>38.247334783976747</v>
      </c>
      <c r="AL63" s="22">
        <f t="shared" si="4"/>
        <v>325.32684808209274</v>
      </c>
      <c r="AM63" s="60">
        <f t="shared" si="5"/>
        <v>618.660181415426</v>
      </c>
      <c r="AN63" s="60">
        <f ca="1">AVERAGE(OFFSET($AM$3,0,0,'Données projet'!$E$10+1,1))-AVERAGE(OFFSET($H$3,0,0,'Données projet'!$E$10+1,1))</f>
        <v>216.19747366796145</v>
      </c>
      <c r="AO63" s="60">
        <f t="shared" si="36"/>
        <v>122.08911898780889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3.7987887079231499E-4</v>
      </c>
      <c r="AX63" s="23">
        <f t="shared" si="6"/>
        <v>3.7987887079231499E-4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10.984615384615381</v>
      </c>
      <c r="BD63" s="13">
        <f>IF('Données projet'!$A$88&gt;35,BD62+BC63-BL62,IF(A63&lt;'Données projet'!$A$88,$BA$205^A63,IF(A63='Données projet'!$A$88,'Données projet'!$B$88,BD62+BC63-BL62)))</f>
        <v>317.73846153846137</v>
      </c>
      <c r="BE63" s="14">
        <f>BD63*VLOOKUP('Données projet'!$B$11,Paramètres!$A$1:$I$89,3,0)*VLOOKUP('Données projet'!$B$11,Paramètres!$A$1:$I$89,5,0)</f>
        <v>148.70159999999993</v>
      </c>
      <c r="BF63" s="14">
        <f t="shared" si="37"/>
        <v>38.283370432550541</v>
      </c>
      <c r="BG63" s="22">
        <f t="shared" si="7"/>
        <v>325.66549017002541</v>
      </c>
      <c r="BH63" s="60">
        <f t="shared" si="8"/>
        <v>618.99882350335872</v>
      </c>
      <c r="BI63" s="60">
        <f ca="1">AVERAGE(OFFSET($BH$3,0,0,'Données projet'!$E$11+1,1))-AVERAGE(OFFSET($H$3,0,0,'Données projet'!$E$11+1,1))</f>
        <v>179.52358670810645</v>
      </c>
      <c r="BJ63" s="60">
        <f t="shared" si="38"/>
        <v>89.471764801078166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174.35897435897436</v>
      </c>
      <c r="BW63" s="13">
        <f>VLOOKUP(A63,'Données projet'!$A$113:$I$133,9,0)</f>
        <v>4.2307692307692317</v>
      </c>
      <c r="BX63" s="13">
        <f t="array" ref="BX63">INDEX(BW:BW,MIN(IF(ISNUMBER(BW63:BW259),ROW(BW63:BW259),"")))</f>
        <v>4.2307692307692317</v>
      </c>
      <c r="BY63" s="13">
        <f>IF('Données projet'!$A$114&gt;35,BY62+BX63-CG62,IF(A63&lt;'Données projet'!$A$114,$BV$205^A63,IF(A63='Données projet'!$A$114,'Données projet'!$B$114,BY62+BX63-CG62)))</f>
        <v>174.35897435897425</v>
      </c>
      <c r="BZ63" s="14">
        <f>BY63*VLOOKUP('Données projet'!$B$12,Paramètres!$A$1:$I$89,3,0)*VLOOKUP('Données projet'!$B$12,Paramètres!$A$1:$I$89,5,0)</f>
        <v>182.23999999999992</v>
      </c>
      <c r="CA63" s="14">
        <f t="shared" si="39"/>
        <v>45.820185613006778</v>
      </c>
      <c r="CB63" s="22">
        <f t="shared" si="10"/>
        <v>397.20482327598666</v>
      </c>
      <c r="CC63" s="60">
        <f t="shared" si="11"/>
        <v>690.53815660931991</v>
      </c>
      <c r="CD63" s="60">
        <f ca="1">AVERAGE(OFFSET($CC$3,0,0,'Données projet'!$E$12+1,1))-AVERAGE(OFFSET($H$3,0,0,'Données projet'!$E$12+1,1))</f>
        <v>304.57411436867147</v>
      </c>
      <c r="CE63" s="60">
        <f t="shared" si="40"/>
        <v>178.19974548556962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19.23076923076923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174.35897435897436</v>
      </c>
      <c r="CR63" s="13">
        <f>VLOOKUP(A63,'Données projet'!$A$139:$I$159,9,0)</f>
        <v>4.2307692307692317</v>
      </c>
      <c r="CS63" s="13">
        <f t="array" ref="CS63">INDEX(CR:CR,MIN(IF(ISNUMBER(CR63:CR259),ROW(CR63:CR259),"")))</f>
        <v>4.2307692307692317</v>
      </c>
      <c r="CT63" s="13">
        <f>IF('Données projet'!$A$140&gt;35,CT62+CS63-DB62,IF(A63&lt;'Données projet'!$A$140,$CQ$205^A63,IF(A63='Données projet'!$A$140,'Données projet'!$B$140,CT62+CS63-DB62)))</f>
        <v>174.35897435897425</v>
      </c>
      <c r="CU63" s="18">
        <f>CT63*VLOOKUP('Données projet'!$B$13,Paramètres!$A$1:$I$89,3,0)*VLOOKUP('Données projet'!$B$13,Paramètres!$A$1:$I$89,5,0)</f>
        <v>168.6399999999999</v>
      </c>
      <c r="CV63" s="14">
        <f t="shared" si="41"/>
        <v>42.785286583270953</v>
      </c>
      <c r="CW63" s="22">
        <f t="shared" si="13"/>
        <v>368.23237413253008</v>
      </c>
      <c r="CX63" s="60">
        <f t="shared" si="14"/>
        <v>661.5657074658634</v>
      </c>
      <c r="CY63" s="60">
        <f ca="1">AVERAGE(OFFSET($CX$3,0,0,'Données projet'!$E$13+1,1))-AVERAGE(OFFSET($H$3,0,0,'Données projet'!$E$13+1,1))</f>
        <v>279.37339904167601</v>
      </c>
      <c r="CZ63" s="60">
        <f t="shared" si="42"/>
        <v>163.80861186980007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19.23076923076923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0" t="e">
        <f t="shared" si="17"/>
        <v>#N/A</v>
      </c>
      <c r="DT63" s="60" t="e">
        <f ca="1">AVERAGE(OFFSET($DS$3,0,0,'Données projet'!$E$14+1,1))-AVERAGE(OFFSET($H$3,0,0,'Données projet'!$E$14+1,1))</f>
        <v>#N/A</v>
      </c>
      <c r="DU63" s="60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16.652999999999988</v>
      </c>
      <c r="D64" s="12">
        <f t="shared" si="32"/>
        <v>5.5317535344101696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171.25072903755211</v>
      </c>
      <c r="H64" s="68">
        <f t="shared" si="1"/>
        <v>331.97177907243099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7.1061538461538474</v>
      </c>
      <c r="N64" s="14">
        <f>IF('Données projet'!$A$36&gt;35,N63+M64-V63,IF(A64&lt;'Données projet'!$A$36,$K$205^A64,IF(A64='Données projet'!$A$36,'Données projet'!$B$36,N63+M64-V63)))</f>
        <v>267.91384615384618</v>
      </c>
      <c r="O64" s="14">
        <f>N64*VLOOKUP('Données projet'!$B$9,Paramètres!$A$1:$I$89,3,0)*VLOOKUP('Données projet'!$B$9,Paramètres!$A$1:$I$89,5,0)</f>
        <v>160.21248000000003</v>
      </c>
      <c r="P64" s="14">
        <f t="shared" si="33"/>
        <v>40.890437161488258</v>
      </c>
      <c r="Q64" s="22">
        <f t="shared" si="53"/>
        <v>350.25424738959208</v>
      </c>
      <c r="R64" s="60">
        <f t="shared" si="0"/>
        <v>643.5875807229254</v>
      </c>
      <c r="S64" s="60">
        <f ca="1">AVERAGE(OFFSET($R$3,0,0,'Données projet'!$E$9+1,1))-AVERAGE(OFFSET($H$3,0,0,'Données projet'!$E$9+1,1))</f>
        <v>223.38593045370783</v>
      </c>
      <c r="T64" s="60">
        <f t="shared" si="34"/>
        <v>161.68519532023998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12.8</v>
      </c>
      <c r="AI64" s="14">
        <f>IF('Données projet'!$A$62&gt;35,AI63+AH64-AQ63,IF(A64&lt;'Données projet'!$A$62,$AF$205^A64,IF(A64='Données projet'!$A$62,'Données projet'!$B$62,AI63+AH64-AQ63)))</f>
        <v>261.19999999999993</v>
      </c>
      <c r="AJ64" s="14">
        <f>AI64*VLOOKUP('Données projet'!$B$10,Paramètres!$A$1:$I$89,3,0)*VLOOKUP('Données projet'!$B$10,Paramètres!$A$1:$I$89,5,0)</f>
        <v>156.19759999999997</v>
      </c>
      <c r="AK64" s="14">
        <f t="shared" si="35"/>
        <v>39.983676624078981</v>
      </c>
      <c r="AL64" s="22">
        <f t="shared" si="4"/>
        <v>341.68239012027084</v>
      </c>
      <c r="AM64" s="60">
        <f t="shared" si="5"/>
        <v>635.0157234536041</v>
      </c>
      <c r="AN64" s="60">
        <f ca="1">AVERAGE(OFFSET($AM$3,0,0,'Données projet'!$E$10+1,1))-AVERAGE(OFFSET($H$3,0,0,'Données projet'!$E$10+1,1))</f>
        <v>216.19747366796145</v>
      </c>
      <c r="AO64" s="60">
        <f t="shared" si="36"/>
        <v>122.08911898780889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2.6861492556673423E-4</v>
      </c>
      <c r="AX64" s="23">
        <f t="shared" si="6"/>
        <v>2.6861492556673423E-4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10.984615384615381</v>
      </c>
      <c r="BD64" s="13">
        <f>IF('Données projet'!$A$88&gt;35,BD63+BC64-BL63,IF(A64&lt;'Données projet'!$A$88,$BA$205^A64,IF(A64='Données projet'!$A$88,'Données projet'!$B$88,BD63+BC64-BL63)))</f>
        <v>328.72307692307675</v>
      </c>
      <c r="BE64" s="14">
        <f>BD64*VLOOKUP('Données projet'!$B$11,Paramètres!$A$1:$I$89,3,0)*VLOOKUP('Données projet'!$B$11,Paramètres!$A$1:$I$89,5,0)</f>
        <v>153.84239999999991</v>
      </c>
      <c r="BF64" s="14">
        <f t="shared" si="37"/>
        <v>39.450495242764717</v>
      </c>
      <c r="BG64" s="22">
        <f t="shared" si="7"/>
        <v>336.65179254781509</v>
      </c>
      <c r="BH64" s="60">
        <f t="shared" si="8"/>
        <v>629.98512588114841</v>
      </c>
      <c r="BI64" s="60">
        <f ca="1">AVERAGE(OFFSET($BH$3,0,0,'Données projet'!$E$11+1,1))-AVERAGE(OFFSET($H$3,0,0,'Données projet'!$E$11+1,1))</f>
        <v>179.52358670810645</v>
      </c>
      <c r="BJ64" s="60">
        <f t="shared" si="38"/>
        <v>89.471764801078166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3.9743589743589722</v>
      </c>
      <c r="BY64" s="13">
        <f>IF('Données projet'!$A$114&gt;35,BY63+BX64-CG63,IF(A64&lt;'Données projet'!$A$114,$BV$205^A64,IF(A64='Données projet'!$A$114,'Données projet'!$B$114,BY63+BX64-CG63)))</f>
        <v>159.102564102564</v>
      </c>
      <c r="BZ64" s="14">
        <f>BY64*VLOOKUP('Données projet'!$B$12,Paramètres!$A$1:$I$89,3,0)*VLOOKUP('Données projet'!$B$12,Paramètres!$A$1:$I$89,5,0)</f>
        <v>166.29399999999993</v>
      </c>
      <c r="CA64" s="14">
        <f t="shared" si="39"/>
        <v>42.258941127557407</v>
      </c>
      <c r="CB64" s="22">
        <f t="shared" si="10"/>
        <v>363.22970579716235</v>
      </c>
      <c r="CC64" s="60">
        <f t="shared" si="11"/>
        <v>656.56303913049567</v>
      </c>
      <c r="CD64" s="60">
        <f ca="1">AVERAGE(OFFSET($CC$3,0,0,'Données projet'!$E$12+1,1))-AVERAGE(OFFSET($H$3,0,0,'Données projet'!$E$12+1,1))</f>
        <v>304.57411436867147</v>
      </c>
      <c r="CE64" s="60">
        <f t="shared" si="40"/>
        <v>178.19974548556962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3.9743589743589722</v>
      </c>
      <c r="CT64" s="13">
        <f>IF('Données projet'!$A$140&gt;35,CT63+CS64-DB63,IF(A64&lt;'Données projet'!$A$140,$CQ$205^A64,IF(A64='Données projet'!$A$140,'Données projet'!$B$140,CT63+CS64-DB63)))</f>
        <v>159.102564102564</v>
      </c>
      <c r="CU64" s="18">
        <f>CT64*VLOOKUP('Données projet'!$B$13,Paramètres!$A$1:$I$89,3,0)*VLOOKUP('Données projet'!$B$13,Paramètres!$A$1:$I$89,5,0)</f>
        <v>153.88399999999993</v>
      </c>
      <c r="CV64" s="14">
        <f t="shared" si="41"/>
        <v>39.459921051364553</v>
      </c>
      <c r="CW64" s="22">
        <f t="shared" si="13"/>
        <v>336.7406624977931</v>
      </c>
      <c r="CX64" s="60">
        <f t="shared" si="14"/>
        <v>630.07399583112647</v>
      </c>
      <c r="CY64" s="60">
        <f ca="1">AVERAGE(OFFSET($CX$3,0,0,'Données projet'!$E$13+1,1))-AVERAGE(OFFSET($H$3,0,0,'Données projet'!$E$13+1,1))</f>
        <v>279.37339904167601</v>
      </c>
      <c r="CZ64" s="60">
        <f t="shared" si="42"/>
        <v>163.80861186980007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0" t="e">
        <f t="shared" si="17"/>
        <v>#N/A</v>
      </c>
      <c r="DT64" s="60" t="e">
        <f ca="1">AVERAGE(OFFSET($DS$3,0,0,'Données projet'!$E$14+1,1))-AVERAGE(OFFSET($H$3,0,0,'Données projet'!$E$14+1,1))</f>
        <v>#N/A</v>
      </c>
      <c r="DU64" s="60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16.925999999999988</v>
      </c>
      <c r="D65" s="12">
        <f t="shared" si="32"/>
        <v>5.6118063562438518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173.97604906574193</v>
      </c>
      <c r="H65" s="68">
        <f t="shared" si="1"/>
        <v>332.58667940379132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7.1061538461538474</v>
      </c>
      <c r="N65" s="14">
        <f>IF('Données projet'!$A$36&gt;35,N64+M65-V64,IF(A65&lt;'Données projet'!$A$36,$K$205^A65,IF(A65='Données projet'!$A$36,'Données projet'!$B$36,N64+M65-V64)))</f>
        <v>275.02000000000004</v>
      </c>
      <c r="O65" s="14">
        <f>N65*VLOOKUP('Données projet'!$B$9,Paramètres!$A$1:$I$89,3,0)*VLOOKUP('Données projet'!$B$9,Paramètres!$A$1:$I$89,5,0)</f>
        <v>164.46196000000003</v>
      </c>
      <c r="P65" s="14">
        <f t="shared" si="33"/>
        <v>41.847306207488693</v>
      </c>
      <c r="Q65" s="22">
        <f t="shared" si="53"/>
        <v>359.32197197804288</v>
      </c>
      <c r="R65" s="60">
        <f t="shared" si="0"/>
        <v>652.6553053113762</v>
      </c>
      <c r="S65" s="60">
        <f ca="1">AVERAGE(OFFSET($R$3,0,0,'Données projet'!$E$9+1,1))-AVERAGE(OFFSET($H$3,0,0,'Données projet'!$E$9+1,1))</f>
        <v>223.38593045370783</v>
      </c>
      <c r="T65" s="60">
        <f t="shared" si="34"/>
        <v>161.68519532023998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12.8</v>
      </c>
      <c r="AI65" s="14">
        <f>IF('Données projet'!$A$62&gt;35,AI64+AH65-AQ64,IF(A65&lt;'Données projet'!$A$62,$AF$205^A65,IF(A65='Données projet'!$A$62,'Données projet'!$B$62,AI64+AH65-AQ64)))</f>
        <v>273.99999999999994</v>
      </c>
      <c r="AJ65" s="14">
        <f>AI65*VLOOKUP('Données projet'!$B$10,Paramètres!$A$1:$I$89,3,0)*VLOOKUP('Données projet'!$B$10,Paramètres!$A$1:$I$89,5,0)</f>
        <v>163.85199999999998</v>
      </c>
      <c r="AK65" s="14">
        <f t="shared" si="35"/>
        <v>41.710138155336118</v>
      </c>
      <c r="AL65" s="22">
        <f t="shared" si="4"/>
        <v>358.020723953877</v>
      </c>
      <c r="AM65" s="60">
        <f t="shared" si="5"/>
        <v>651.35405728721025</v>
      </c>
      <c r="AN65" s="60">
        <f ca="1">AVERAGE(OFFSET($AM$3,0,0,'Données projet'!$E$10+1,1))-AVERAGE(OFFSET($H$3,0,0,'Données projet'!$E$10+1,1))</f>
        <v>216.19747366796145</v>
      </c>
      <c r="AO65" s="60">
        <f t="shared" si="36"/>
        <v>122.08911898780889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1.8993943539615749E-4</v>
      </c>
      <c r="AX65" s="23">
        <f t="shared" si="6"/>
        <v>1.8993943539615749E-4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10.984615384615381</v>
      </c>
      <c r="BD65" s="13">
        <f>IF('Données projet'!$A$88&gt;35,BD64+BC65-BL64,IF(A65&lt;'Données projet'!$A$88,$BA$205^A65,IF(A65='Données projet'!$A$88,'Données projet'!$B$88,BD64+BC65-BL64)))</f>
        <v>339.70769230769213</v>
      </c>
      <c r="BE65" s="14">
        <f>BD65*VLOOKUP('Données projet'!$B$11,Paramètres!$A$1:$I$89,3,0)*VLOOKUP('Données projet'!$B$11,Paramètres!$A$1:$I$89,5,0)</f>
        <v>158.98319999999993</v>
      </c>
      <c r="BF65" s="14">
        <f t="shared" si="37"/>
        <v>40.613088302497808</v>
      </c>
      <c r="BG65" s="22">
        <f t="shared" si="7"/>
        <v>347.63020212685018</v>
      </c>
      <c r="BH65" s="60">
        <f t="shared" si="8"/>
        <v>640.96353546018349</v>
      </c>
      <c r="BI65" s="60">
        <f ca="1">AVERAGE(OFFSET($BH$3,0,0,'Données projet'!$E$11+1,1))-AVERAGE(OFFSET($H$3,0,0,'Données projet'!$E$11+1,1))</f>
        <v>179.52358670810645</v>
      </c>
      <c r="BJ65" s="60">
        <f t="shared" si="38"/>
        <v>89.471764801078166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3.9743589743589722</v>
      </c>
      <c r="BY65" s="13">
        <f>IF('Données projet'!$A$114&gt;35,BY64+BX65-CG64,IF(A65&lt;'Données projet'!$A$114,$BV$205^A65,IF(A65='Données projet'!$A$114,'Données projet'!$B$114,BY64+BX65-CG64)))</f>
        <v>163.07692307692298</v>
      </c>
      <c r="BZ65" s="14">
        <f>BY65*VLOOKUP('Données projet'!$B$12,Paramètres!$A$1:$I$89,3,0)*VLOOKUP('Données projet'!$B$12,Paramètres!$A$1:$I$89,5,0)</f>
        <v>170.44799999999992</v>
      </c>
      <c r="CA65" s="14">
        <f t="shared" si="39"/>
        <v>43.190345308259261</v>
      </c>
      <c r="CB65" s="22">
        <f t="shared" si="10"/>
        <v>372.08678474521804</v>
      </c>
      <c r="CC65" s="60">
        <f t="shared" si="11"/>
        <v>665.42011807855135</v>
      </c>
      <c r="CD65" s="60">
        <f ca="1">AVERAGE(OFFSET($CC$3,0,0,'Données projet'!$E$12+1,1))-AVERAGE(OFFSET($H$3,0,0,'Données projet'!$E$12+1,1))</f>
        <v>304.57411436867147</v>
      </c>
      <c r="CE65" s="60">
        <f t="shared" si="40"/>
        <v>178.19974548556962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3.9743589743589722</v>
      </c>
      <c r="CT65" s="13">
        <f>IF('Données projet'!$A$140&gt;35,CT64+CS65-DB64,IF(A65&lt;'Données projet'!$A$140,$CQ$205^A65,IF(A65='Données projet'!$A$140,'Données projet'!$B$140,CT64+CS65-DB64)))</f>
        <v>163.07692307692298</v>
      </c>
      <c r="CU65" s="18">
        <f>CT65*VLOOKUP('Données projet'!$B$13,Paramètres!$A$1:$I$89,3,0)*VLOOKUP('Données projet'!$B$13,Paramètres!$A$1:$I$89,5,0)</f>
        <v>157.72799999999992</v>
      </c>
      <c r="CV65" s="14">
        <f t="shared" si="41"/>
        <v>40.329633695760194</v>
      </c>
      <c r="CW65" s="22">
        <f t="shared" si="13"/>
        <v>344.95037868678219</v>
      </c>
      <c r="CX65" s="60">
        <f t="shared" si="14"/>
        <v>638.28371202011544</v>
      </c>
      <c r="CY65" s="60">
        <f ca="1">AVERAGE(OFFSET($CX$3,0,0,'Données projet'!$E$13+1,1))-AVERAGE(OFFSET($H$3,0,0,'Données projet'!$E$13+1,1))</f>
        <v>279.37339904167601</v>
      </c>
      <c r="CZ65" s="60">
        <f t="shared" si="42"/>
        <v>163.80861186980007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0" t="e">
        <f t="shared" si="17"/>
        <v>#N/A</v>
      </c>
      <c r="DT65" s="60" t="e">
        <f ca="1">AVERAGE(OFFSET($DS$3,0,0,'Données projet'!$E$14+1,1))-AVERAGE(OFFSET($H$3,0,0,'Données projet'!$E$14+1,1))</f>
        <v>#N/A</v>
      </c>
      <c r="DU65" s="60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17.198999999999987</v>
      </c>
      <c r="D66" s="12">
        <f t="shared" si="32"/>
        <v>5.6917090194699922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176.70020997485599</v>
      </c>
      <c r="H66" s="68">
        <f t="shared" si="1"/>
        <v>333.20131820891021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7.1061538461538474</v>
      </c>
      <c r="N66" s="14">
        <f>IF('Données projet'!$A$36&gt;35,N65+M66-V65,IF(A66&lt;'Données projet'!$A$36,$K$205^A66,IF(A66='Données projet'!$A$36,'Données projet'!$B$36,N65+M66-V65)))</f>
        <v>282.1261538461539</v>
      </c>
      <c r="O66" s="14">
        <f>N66*VLOOKUP('Données projet'!$B$9,Paramètres!$A$1:$I$89,3,0)*VLOOKUP('Données projet'!$B$9,Paramètres!$A$1:$I$89,5,0)</f>
        <v>168.71144000000007</v>
      </c>
      <c r="P66" s="14">
        <f t="shared" si="33"/>
        <v>42.801301338266306</v>
      </c>
      <c r="Q66" s="22">
        <f t="shared" si="53"/>
        <v>368.38469116414734</v>
      </c>
      <c r="R66" s="60">
        <f t="shared" si="0"/>
        <v>661.71802449748066</v>
      </c>
      <c r="S66" s="60">
        <f ca="1">AVERAGE(OFFSET($R$3,0,0,'Données projet'!$E$9+1,1))-AVERAGE(OFFSET($H$3,0,0,'Données projet'!$E$9+1,1))</f>
        <v>223.38593045370783</v>
      </c>
      <c r="T66" s="60">
        <f t="shared" si="34"/>
        <v>161.68519532023998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12.8</v>
      </c>
      <c r="AI66" s="14">
        <f>IF('Données projet'!$A$62&gt;35,AI65+AH66-AQ65,IF(A66&lt;'Données projet'!$A$62,$AF$205^A66,IF(A66='Données projet'!$A$62,'Données projet'!$B$62,AI65+AH66-AQ65)))</f>
        <v>286.79999999999995</v>
      </c>
      <c r="AJ66" s="14">
        <f>AI66*VLOOKUP('Données projet'!$B$10,Paramètres!$A$1:$I$89,3,0)*VLOOKUP('Données projet'!$B$10,Paramètres!$A$1:$I$89,5,0)</f>
        <v>171.50640000000001</v>
      </c>
      <c r="AK66" s="14">
        <f t="shared" si="35"/>
        <v>43.427233649451665</v>
      </c>
      <c r="AL66" s="22">
        <f t="shared" si="4"/>
        <v>374.34274527279496</v>
      </c>
      <c r="AM66" s="60">
        <f t="shared" si="5"/>
        <v>667.67607860612827</v>
      </c>
      <c r="AN66" s="60">
        <f ca="1">AVERAGE(OFFSET($AM$3,0,0,'Données projet'!$E$10+1,1))-AVERAGE(OFFSET($H$3,0,0,'Données projet'!$E$10+1,1))</f>
        <v>216.19747366796145</v>
      </c>
      <c r="AO66" s="60">
        <f t="shared" si="36"/>
        <v>122.08911898780889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1.3430746278336712E-4</v>
      </c>
      <c r="AX66" s="23">
        <f t="shared" si="6"/>
        <v>1.3430746278336712E-4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350.69230769230768</v>
      </c>
      <c r="BB66" s="13">
        <f>VLOOKUP(A66,'Données projet'!$A$87:$I$107,9,0)</f>
        <v>10.984615384615381</v>
      </c>
      <c r="BC66" s="13">
        <f t="array" ref="BC66">INDEX(BB:BB,MIN(IF(ISNUMBER(BB66:BB262),ROW(BB66:BB262),"")))</f>
        <v>10.984615384615381</v>
      </c>
      <c r="BD66" s="13">
        <f>IF('Données projet'!$A$88&gt;35,BD65+BC66-BL65,IF(A66&lt;'Données projet'!$A$88,$BA$205^A66,IF(A66='Données projet'!$A$88,'Données projet'!$B$88,BD65+BC66-BL65)))</f>
        <v>350.69230769230751</v>
      </c>
      <c r="BE66" s="14">
        <f>BD66*VLOOKUP('Données projet'!$B$11,Paramètres!$A$1:$I$89,3,0)*VLOOKUP('Données projet'!$B$11,Paramètres!$A$1:$I$89,5,0)</f>
        <v>164.12399999999991</v>
      </c>
      <c r="BF66" s="14">
        <f t="shared" si="37"/>
        <v>41.771312955270531</v>
      </c>
      <c r="BG66" s="22">
        <f t="shared" si="7"/>
        <v>358.60100339709601</v>
      </c>
      <c r="BH66" s="60">
        <f t="shared" si="8"/>
        <v>651.93433673042932</v>
      </c>
      <c r="BI66" s="60">
        <f ca="1">AVERAGE(OFFSET($BH$3,0,0,'Données projet'!$E$11+1,1))-AVERAGE(OFFSET($H$3,0,0,'Données projet'!$E$11+1,1))</f>
        <v>179.52358670810645</v>
      </c>
      <c r="BJ66" s="60">
        <f t="shared" si="38"/>
        <v>89.471764801078166</v>
      </c>
      <c r="BK66" s="16">
        <f>IF(ISNA(VLOOKUP(A66,'Données projet'!$A$87:$I$107,3,0)),0,VLOOKUP(A66,'Données projet'!$A$87:$I$107,3,0))</f>
        <v>2</v>
      </c>
      <c r="BL66" s="16">
        <f>IF(ISNA(VLOOKUP(A66,'Données projet'!$A$87:$I$107,4,0)),0,VLOOKUP(A66,'Données projet'!$A$87:$I$107,4,0))</f>
        <v>108.08461538461538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3.9743589743589722</v>
      </c>
      <c r="BY66" s="13">
        <f>IF('Données projet'!$A$114&gt;35,BY65+BX66-CG65,IF(A66&lt;'Données projet'!$A$114,$BV$205^A66,IF(A66='Données projet'!$A$114,'Données projet'!$B$114,BY65+BX66-CG65)))</f>
        <v>167.05128205128196</v>
      </c>
      <c r="BZ66" s="14">
        <f>BY66*VLOOKUP('Données projet'!$B$12,Paramètres!$A$1:$I$89,3,0)*VLOOKUP('Données projet'!$B$12,Paramètres!$A$1:$I$89,5,0)</f>
        <v>174.60199999999992</v>
      </c>
      <c r="CA66" s="14">
        <f t="shared" si="39"/>
        <v>44.119110756694013</v>
      </c>
      <c r="CB66" s="22">
        <f t="shared" si="10"/>
        <v>380.93926790124192</v>
      </c>
      <c r="CC66" s="60">
        <f t="shared" si="11"/>
        <v>674.27260123457518</v>
      </c>
      <c r="CD66" s="60">
        <f ca="1">AVERAGE(OFFSET($CC$3,0,0,'Données projet'!$E$12+1,1))-AVERAGE(OFFSET($H$3,0,0,'Données projet'!$E$12+1,1))</f>
        <v>304.57411436867147</v>
      </c>
      <c r="CE66" s="60">
        <f t="shared" si="40"/>
        <v>178.19974548556962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3.9743589743589722</v>
      </c>
      <c r="CT66" s="13">
        <f>IF('Données projet'!$A$140&gt;35,CT65+CS66-DB65,IF(A66&lt;'Données projet'!$A$140,$CQ$205^A66,IF(A66='Données projet'!$A$140,'Données projet'!$B$140,CT65+CS66-DB65)))</f>
        <v>167.05128205128196</v>
      </c>
      <c r="CU66" s="18">
        <f>CT66*VLOOKUP('Données projet'!$B$13,Paramètres!$A$1:$I$89,3,0)*VLOOKUP('Données projet'!$B$13,Paramètres!$A$1:$I$89,5,0)</f>
        <v>161.57199999999992</v>
      </c>
      <c r="CV66" s="14">
        <f t="shared" si="41"/>
        <v>41.196882384264875</v>
      </c>
      <c r="CW66" s="22">
        <f t="shared" si="13"/>
        <v>353.15580348592783</v>
      </c>
      <c r="CX66" s="60">
        <f t="shared" si="14"/>
        <v>646.48913681926115</v>
      </c>
      <c r="CY66" s="60">
        <f ca="1">AVERAGE(OFFSET($CX$3,0,0,'Données projet'!$E$13+1,1))-AVERAGE(OFFSET($H$3,0,0,'Données projet'!$E$13+1,1))</f>
        <v>279.37339904167601</v>
      </c>
      <c r="CZ66" s="60">
        <f t="shared" si="42"/>
        <v>163.80861186980007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0" t="e">
        <f t="shared" si="17"/>
        <v>#N/A</v>
      </c>
      <c r="DT66" s="60" t="e">
        <f ca="1">AVERAGE(OFFSET($DS$3,0,0,'Données projet'!$E$14+1,1))-AVERAGE(OFFSET($H$3,0,0,'Données projet'!$E$14+1,1))</f>
        <v>#N/A</v>
      </c>
      <c r="DU66" s="60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17.471999999999987</v>
      </c>
      <c r="D67" s="12">
        <f t="shared" si="32"/>
        <v>5.7714641827626956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179.42323228799265</v>
      </c>
      <c r="H67" s="68">
        <f t="shared" si="1"/>
        <v>333.81570011831167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7.1061538461538474</v>
      </c>
      <c r="N67" s="14">
        <f>IF('Données projet'!$A$36&gt;35,N66+M67-V66,IF(A67&lt;'Données projet'!$A$36,$K$205^A67,IF(A67='Données projet'!$A$36,'Données projet'!$B$36,N66+M67-V66)))</f>
        <v>289.23230769230776</v>
      </c>
      <c r="O67" s="14">
        <f>N67*VLOOKUP('Données projet'!$B$9,Paramètres!$A$1:$I$89,3,0)*VLOOKUP('Données projet'!$B$9,Paramètres!$A$1:$I$89,5,0)</f>
        <v>172.96092000000004</v>
      </c>
      <c r="P67" s="14">
        <f t="shared" si="33"/>
        <v>43.752503266444656</v>
      </c>
      <c r="Q67" s="22">
        <f t="shared" ref="Q67:Q98" si="54">(O67+P67)*0.475*44/12</f>
        <v>377.44254552239113</v>
      </c>
      <c r="R67" s="60">
        <f t="shared" ref="R67:R130" si="55">Q67+(I67+J67)*44/12</f>
        <v>670.77587885572439</v>
      </c>
      <c r="S67" s="60">
        <f ca="1">AVERAGE(OFFSET($R$3,0,0,'Données projet'!$E$9+1,1))-AVERAGE(OFFSET($H$3,0,0,'Données projet'!$E$9+1,1))</f>
        <v>223.38593045370783</v>
      </c>
      <c r="T67" s="60">
        <f t="shared" si="34"/>
        <v>161.68519532023998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12.8</v>
      </c>
      <c r="AI67" s="14">
        <f>IF('Données projet'!$A$62&gt;35,AI66+AH67-AQ66,IF(A67&lt;'Données projet'!$A$62,$AF$205^A67,IF(A67='Données projet'!$A$62,'Données projet'!$B$62,AI66+AH67-AQ66)))</f>
        <v>299.59999999999997</v>
      </c>
      <c r="AJ67" s="14">
        <f>AI67*VLOOKUP('Données projet'!$B$10,Paramètres!$A$1:$I$89,3,0)*VLOOKUP('Données projet'!$B$10,Paramètres!$A$1:$I$89,5,0)</f>
        <v>179.16080000000002</v>
      </c>
      <c r="AK67" s="14">
        <f t="shared" si="35"/>
        <v>45.135428878592464</v>
      </c>
      <c r="AL67" s="22">
        <f t="shared" si="4"/>
        <v>390.64926529688188</v>
      </c>
      <c r="AM67" s="60">
        <f t="shared" si="5"/>
        <v>683.98259863021519</v>
      </c>
      <c r="AN67" s="60">
        <f ca="1">AVERAGE(OFFSET($AM$3,0,0,'Données projet'!$E$10+1,1))-AVERAGE(OFFSET($H$3,0,0,'Données projet'!$E$10+1,1))</f>
        <v>216.19747366796145</v>
      </c>
      <c r="AO67" s="60">
        <f t="shared" si="36"/>
        <v>122.08911898780889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9.4969717698078747E-5</v>
      </c>
      <c r="AX67" s="23">
        <f t="shared" si="6"/>
        <v>9.4969717698078747E-5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9.6897435897435908</v>
      </c>
      <c r="BD67" s="13">
        <f>IF('Données projet'!$A$88&gt;35,BD66+BC67-BL66,IF(A67&lt;'Données projet'!$A$88,$BA$205^A67,IF(A67='Données projet'!$A$88,'Données projet'!$B$88,BD66+BC67-BL66)))</f>
        <v>252.29743589743575</v>
      </c>
      <c r="BE67" s="14">
        <f>BD67*VLOOKUP('Données projet'!$B$11,Paramètres!$A$1:$I$89,3,0)*VLOOKUP('Données projet'!$B$11,Paramètres!$A$1:$I$89,5,0)</f>
        <v>118.07519999999992</v>
      </c>
      <c r="BF67" s="14">
        <f t="shared" si="37"/>
        <v>31.225649693095828</v>
      </c>
      <c r="BG67" s="22">
        <f t="shared" si="7"/>
        <v>260.03231321547509</v>
      </c>
      <c r="BH67" s="60">
        <f t="shared" si="8"/>
        <v>553.3656465488084</v>
      </c>
      <c r="BI67" s="60">
        <f ca="1">AVERAGE(OFFSET($BH$3,0,0,'Données projet'!$E$11+1,1))-AVERAGE(OFFSET($H$3,0,0,'Données projet'!$E$11+1,1))</f>
        <v>179.52358670810645</v>
      </c>
      <c r="BJ67" s="60">
        <f t="shared" si="38"/>
        <v>89.471764801078166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3.9743589743589722</v>
      </c>
      <c r="BY67" s="13">
        <f>IF('Données projet'!$A$114&gt;35,BY66+BX67-CG66,IF(A67&lt;'Données projet'!$A$114,$BV$205^A67,IF(A67='Données projet'!$A$114,'Données projet'!$B$114,BY66+BX67-CG66)))</f>
        <v>171.02564102564094</v>
      </c>
      <c r="BZ67" s="14">
        <f>BY67*VLOOKUP('Données projet'!$B$12,Paramètres!$A$1:$I$89,3,0)*VLOOKUP('Données projet'!$B$12,Paramètres!$A$1:$I$89,5,0)</f>
        <v>178.75599999999994</v>
      </c>
      <c r="CA67" s="14">
        <f t="shared" si="39"/>
        <v>45.045307475445441</v>
      </c>
      <c r="CB67" s="22">
        <f t="shared" si="10"/>
        <v>389.78727718640067</v>
      </c>
      <c r="CC67" s="60">
        <f t="shared" si="11"/>
        <v>683.12061051973399</v>
      </c>
      <c r="CD67" s="60">
        <f ca="1">AVERAGE(OFFSET($CC$3,0,0,'Données projet'!$E$12+1,1))-AVERAGE(OFFSET($H$3,0,0,'Données projet'!$E$12+1,1))</f>
        <v>304.57411436867147</v>
      </c>
      <c r="CE67" s="60">
        <f t="shared" si="40"/>
        <v>178.19974548556962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3.9743589743589722</v>
      </c>
      <c r="CT67" s="13">
        <f>IF('Données projet'!$A$140&gt;35,CT66+CS67-DB66,IF(A67&lt;'Données projet'!$A$140,$CQ$205^A67,IF(A67='Données projet'!$A$140,'Données projet'!$B$140,CT66+CS67-DB66)))</f>
        <v>171.02564102564094</v>
      </c>
      <c r="CU67" s="18">
        <f>CT67*VLOOKUP('Données projet'!$B$13,Paramètres!$A$1:$I$89,3,0)*VLOOKUP('Données projet'!$B$13,Paramètres!$A$1:$I$89,5,0)</f>
        <v>165.41599999999991</v>
      </c>
      <c r="CV67" s="14">
        <f t="shared" si="41"/>
        <v>42.061732482842736</v>
      </c>
      <c r="CW67" s="22">
        <f t="shared" si="13"/>
        <v>361.35705074095091</v>
      </c>
      <c r="CX67" s="60">
        <f t="shared" si="14"/>
        <v>654.69038407428422</v>
      </c>
      <c r="CY67" s="60">
        <f ca="1">AVERAGE(OFFSET($CX$3,0,0,'Données projet'!$E$13+1,1))-AVERAGE(OFFSET($H$3,0,0,'Données projet'!$E$13+1,1))</f>
        <v>279.37339904167601</v>
      </c>
      <c r="CZ67" s="60">
        <f t="shared" si="42"/>
        <v>163.80861186980007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0" t="e">
        <f t="shared" si="17"/>
        <v>#N/A</v>
      </c>
      <c r="DT67" s="60" t="e">
        <f ca="1">AVERAGE(OFFSET($DS$3,0,0,'Données projet'!$E$14+1,1))-AVERAGE(OFFSET($H$3,0,0,'Données projet'!$E$14+1,1))</f>
        <v>#N/A</v>
      </c>
      <c r="DU67" s="60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17.744999999999987</v>
      </c>
      <c r="D68" s="12">
        <f t="shared" si="32"/>
        <v>5.8510744169462496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182.1451358501113</v>
      </c>
      <c r="H68" s="68">
        <f t="shared" ref="H68:H131" si="56">(B68+E68+F68)*44/12+(C68+D68)*0.475*44/12</f>
        <v>334.42982960951468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296.33846153846156</v>
      </c>
      <c r="L68" s="13">
        <f>VLOOKUP(A68,'Données projet'!$A$35:$I$55,9,0)</f>
        <v>7.1061538461538474</v>
      </c>
      <c r="M68" s="13">
        <f t="array" ref="M68">INDEX(L:L,MIN(IF(ISNUMBER(L68:L264),ROW(L68:L264),"")))</f>
        <v>7.1061538461538474</v>
      </c>
      <c r="N68" s="14">
        <f>IF('Données projet'!$A$36&gt;35,N67+M68-V67,IF(A68&lt;'Données projet'!$A$36,$K$205^A68,IF(A68='Données projet'!$A$36,'Données projet'!$B$36,N67+M68-V67)))</f>
        <v>296.33846153846162</v>
      </c>
      <c r="O68" s="14">
        <f>N68*VLOOKUP('Données projet'!$B$9,Paramètres!$A$1:$I$89,3,0)*VLOOKUP('Données projet'!$B$9,Paramètres!$A$1:$I$89,5,0)</f>
        <v>177.21040000000008</v>
      </c>
      <c r="P68" s="14">
        <f t="shared" si="33"/>
        <v>44.70098851248742</v>
      </c>
      <c r="Q68" s="22">
        <f t="shared" si="54"/>
        <v>386.49566832591569</v>
      </c>
      <c r="R68" s="60">
        <f t="shared" si="55"/>
        <v>679.829001659249</v>
      </c>
      <c r="S68" s="60">
        <f ca="1">AVERAGE(OFFSET($R$3,0,0,'Données projet'!$E$9+1,1))-AVERAGE(OFFSET($H$3,0,0,'Données projet'!$E$9+1,1))</f>
        <v>223.38593045370783</v>
      </c>
      <c r="T68" s="60">
        <f t="shared" si="34"/>
        <v>161.68519532023998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12.8</v>
      </c>
      <c r="AI68" s="14">
        <f>IF('Données projet'!$A$62&gt;35,AI67+AH68-AQ67,IF(A68&lt;'Données projet'!$A$62,$AF$205^A68,IF(A68='Données projet'!$A$62,'Données projet'!$B$62,AI67+AH68-AQ67)))</f>
        <v>312.39999999999998</v>
      </c>
      <c r="AJ68" s="14">
        <f>AI68*VLOOKUP('Données projet'!$B$10,Paramètres!$A$1:$I$89,3,0)*VLOOKUP('Données projet'!$B$10,Paramètres!$A$1:$I$89,5,0)</f>
        <v>186.8152</v>
      </c>
      <c r="AK68" s="14">
        <f t="shared" si="35"/>
        <v>46.83514756492545</v>
      </c>
      <c r="AL68" s="22">
        <f t="shared" ref="AL68:AL131" si="58">(AJ68+AK68)*0.475*44/12</f>
        <v>406.94102200891183</v>
      </c>
      <c r="AM68" s="60">
        <f t="shared" ref="AM68:AM131" si="59">AL68+(AD68+AE68)*44/12</f>
        <v>700.27435534224514</v>
      </c>
      <c r="AN68" s="60">
        <f ca="1">AVERAGE(OFFSET($AM$3,0,0,'Données projet'!$E$10+1,1))-AVERAGE(OFFSET($H$3,0,0,'Données projet'!$E$10+1,1))</f>
        <v>216.19747366796145</v>
      </c>
      <c r="AO68" s="60">
        <f t="shared" si="36"/>
        <v>122.08911898780889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6.7153731391683558E-5</v>
      </c>
      <c r="AX68" s="23">
        <f t="shared" ref="AX68:AX131" si="60">SUM(AU68:AW68)</f>
        <v>6.7153731391683558E-5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9.6897435897435908</v>
      </c>
      <c r="BD68" s="13">
        <f>IF('Données projet'!$A$88&gt;35,BD67+BC68-BL67,IF(A68&lt;'Données projet'!$A$88,$BA$205^A68,IF(A68='Données projet'!$A$88,'Données projet'!$B$88,BD67+BC68-BL67)))</f>
        <v>261.98717948717933</v>
      </c>
      <c r="BE68" s="14">
        <f>BD68*VLOOKUP('Données projet'!$B$11,Paramètres!$A$1:$I$89,3,0)*VLOOKUP('Données projet'!$B$11,Paramètres!$A$1:$I$89,5,0)</f>
        <v>122.60999999999993</v>
      </c>
      <c r="BF68" s="14">
        <f t="shared" si="37"/>
        <v>32.282974526111182</v>
      </c>
      <c r="BG68" s="22">
        <f t="shared" ref="BG68:BG131" si="61">(BE68+BF68)*0.475*44/12</f>
        <v>269.77193063297682</v>
      </c>
      <c r="BH68" s="60">
        <f t="shared" ref="BH68:BH131" si="62">BG68+(AY68+AZ68)*44/12</f>
        <v>563.10526396631008</v>
      </c>
      <c r="BI68" s="60">
        <f ca="1">AVERAGE(OFFSET($BH$3,0,0,'Données projet'!$E$11+1,1))-AVERAGE(OFFSET($H$3,0,0,'Données projet'!$E$11+1,1))</f>
        <v>179.52358670810645</v>
      </c>
      <c r="BJ68" s="60">
        <f t="shared" si="38"/>
        <v>89.471764801078166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175</v>
      </c>
      <c r="BW68" s="13">
        <f>VLOOKUP(A68,'Données projet'!$A$113:$I$133,9,0)</f>
        <v>3.9743589743589722</v>
      </c>
      <c r="BX68" s="13">
        <f t="array" ref="BX68">INDEX(BW:BW,MIN(IF(ISNUMBER(BW68:BW264),ROW(BW68:BW264),"")))</f>
        <v>3.9743589743589722</v>
      </c>
      <c r="BY68" s="13">
        <f>IF('Données projet'!$A$114&gt;35,BY67+BX68-CG67,IF(A68&lt;'Données projet'!$A$114,$BV$205^A68,IF(A68='Données projet'!$A$114,'Données projet'!$B$114,BY67+BX68-CG67)))</f>
        <v>174.99999999999991</v>
      </c>
      <c r="BZ68" s="14">
        <f>BY68*VLOOKUP('Données projet'!$B$12,Paramètres!$A$1:$I$89,3,0)*VLOOKUP('Données projet'!$B$12,Paramètres!$A$1:$I$89,5,0)</f>
        <v>182.90999999999991</v>
      </c>
      <c r="CA68" s="14">
        <f t="shared" si="39"/>
        <v>45.969002027971243</v>
      </c>
      <c r="CB68" s="22">
        <f t="shared" ref="CB68:CB131" si="64">(BZ68+CA68)*0.475*44/12</f>
        <v>398.63092853204972</v>
      </c>
      <c r="CC68" s="60">
        <f t="shared" ref="CC68:CC131" si="65">CB68+(BT68+BU68)*44/12</f>
        <v>691.96426186538304</v>
      </c>
      <c r="CD68" s="60">
        <f ca="1">AVERAGE(OFFSET($CC$3,0,0,'Données projet'!$E$12+1,1))-AVERAGE(OFFSET($H$3,0,0,'Données projet'!$E$12+1,1))</f>
        <v>304.57411436867147</v>
      </c>
      <c r="CE68" s="60">
        <f t="shared" si="40"/>
        <v>178.19974548556962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175</v>
      </c>
      <c r="CR68" s="13">
        <f>VLOOKUP(A68,'Données projet'!$A$139:$I$159,9,0)</f>
        <v>3.9743589743589722</v>
      </c>
      <c r="CS68" s="13">
        <f t="array" ref="CS68">INDEX(CR:CR,MIN(IF(ISNUMBER(CR68:CR264),ROW(CR68:CR264),"")))</f>
        <v>3.9743589743589722</v>
      </c>
      <c r="CT68" s="13">
        <f>IF('Données projet'!$A$140&gt;35,CT67+CS68-DB67,IF(A68&lt;'Données projet'!$A$140,$CQ$205^A68,IF(A68='Données projet'!$A$140,'Données projet'!$B$140,CT67+CS68-DB67)))</f>
        <v>174.99999999999991</v>
      </c>
      <c r="CU68" s="18">
        <f>CT68*VLOOKUP('Données projet'!$B$13,Paramètres!$A$1:$I$89,3,0)*VLOOKUP('Données projet'!$B$13,Paramètres!$A$1:$I$89,5,0)</f>
        <v>169.25999999999991</v>
      </c>
      <c r="CV68" s="14">
        <f t="shared" si="41"/>
        <v>42.924246146122272</v>
      </c>
      <c r="CW68" s="22">
        <f t="shared" ref="CW68:CW131" si="67">(CU68+CV68)*0.475*44/12</f>
        <v>369.55422870449615</v>
      </c>
      <c r="CX68" s="60">
        <f t="shared" ref="CX68:CX131" si="68">CW68+(CO68+CP68)*44/12</f>
        <v>662.88756203782941</v>
      </c>
      <c r="CY68" s="60">
        <f ca="1">AVERAGE(OFFSET($CX$3,0,0,'Données projet'!$E$13+1,1))-AVERAGE(OFFSET($H$3,0,0,'Données projet'!$E$13+1,1))</f>
        <v>279.37339904167601</v>
      </c>
      <c r="CZ68" s="60">
        <f t="shared" si="42"/>
        <v>163.80861186980007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0" t="e">
        <f t="shared" ref="DS68:DS131" si="71">DR68+(DJ68+DK68)*44/12</f>
        <v>#N/A</v>
      </c>
      <c r="DT68" s="60" t="e">
        <f ca="1">AVERAGE(OFFSET($DS$3,0,0,'Données projet'!$E$14+1,1))-AVERAGE(OFFSET($H$3,0,0,'Données projet'!$E$14+1,1))</f>
        <v>#N/A</v>
      </c>
      <c r="DU68" s="60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18.017999999999986</v>
      </c>
      <c r="D69" s="12">
        <f t="shared" ref="D69:D132" si="86">IFERROR(EXP(-1.0587+0.8836*LN(C69)+0.284),0)</f>
        <v>5.9305422092039777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184.86593986052182</v>
      </c>
      <c r="H69" s="68">
        <f t="shared" si="56"/>
        <v>335.04371101436357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7.3692307692307626</v>
      </c>
      <c r="N69" s="14">
        <f>IF('Données projet'!$A$36&gt;35,N68+M69-V68,IF(A69&lt;'Données projet'!$A$36,$K$205^A69,IF(A69='Données projet'!$A$36,'Données projet'!$B$36,N68+M69-V68)))</f>
        <v>303.70769230769235</v>
      </c>
      <c r="O69" s="14">
        <f>N69*VLOOKUP('Données projet'!$B$9,Paramètres!$A$1:$I$89,3,0)*VLOOKUP('Données projet'!$B$9,Paramètres!$A$1:$I$89,5,0)</f>
        <v>181.61720000000003</v>
      </c>
      <c r="P69" s="14">
        <f t="shared" ref="P69:P132" si="87">EXP(-1.0587+0.8836*LN(O69)+0.284)</f>
        <v>45.681795861425101</v>
      </c>
      <c r="Q69" s="22">
        <f t="shared" si="54"/>
        <v>395.87908445864872</v>
      </c>
      <c r="R69" s="60">
        <f t="shared" si="55"/>
        <v>689.21241779198203</v>
      </c>
      <c r="S69" s="60">
        <f ca="1">AVERAGE(OFFSET($R$3,0,0,'Données projet'!$E$9+1,1))-AVERAGE(OFFSET($H$3,0,0,'Données projet'!$E$9+1,1))</f>
        <v>223.38593045370783</v>
      </c>
      <c r="T69" s="60">
        <f t="shared" ref="T69:T132" si="88">$T$3</f>
        <v>161.68519532023998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12.8</v>
      </c>
      <c r="AI69" s="14">
        <f>IF('Données projet'!$A$62&gt;35,AI68+AH69-AQ68,IF(A69&lt;'Données projet'!$A$62,$AF$205^A69,IF(A69='Données projet'!$A$62,'Données projet'!$B$62,AI68+AH69-AQ68)))</f>
        <v>325.2</v>
      </c>
      <c r="AJ69" s="14">
        <f>AI69*VLOOKUP('Données projet'!$B$10,Paramètres!$A$1:$I$89,3,0)*VLOOKUP('Données projet'!$B$10,Paramètres!$A$1:$I$89,5,0)</f>
        <v>194.46960000000001</v>
      </c>
      <c r="AK69" s="14">
        <f t="shared" ref="AK69:AK132" si="89">EXP(-1.0587+0.8836*LN(AJ69)+0.284)</f>
        <v>48.526776743352656</v>
      </c>
      <c r="AL69" s="22">
        <f t="shared" si="58"/>
        <v>423.21868949467256</v>
      </c>
      <c r="AM69" s="60">
        <f t="shared" si="59"/>
        <v>716.55202282800587</v>
      </c>
      <c r="AN69" s="60">
        <f ca="1">AVERAGE(OFFSET($AM$3,0,0,'Données projet'!$E$10+1,1))-AVERAGE(OFFSET($H$3,0,0,'Données projet'!$E$10+1,1))</f>
        <v>216.19747366796145</v>
      </c>
      <c r="AO69" s="60">
        <f t="shared" ref="AO69:AO132" si="90">$AO$3</f>
        <v>122.08911898780889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4.7484858849039374E-5</v>
      </c>
      <c r="AX69" s="23">
        <f t="shared" si="60"/>
        <v>4.7484858849039374E-5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9.6897435897435908</v>
      </c>
      <c r="BD69" s="13">
        <f>IF('Données projet'!$A$88&gt;35,BD68+BC69-BL68,IF(A69&lt;'Données projet'!$A$88,$BA$205^A69,IF(A69='Données projet'!$A$88,'Données projet'!$B$88,BD68+BC69-BL68)))</f>
        <v>271.67692307692295</v>
      </c>
      <c r="BE69" s="14">
        <f>BD69*VLOOKUP('Données projet'!$B$11,Paramètres!$A$1:$I$89,3,0)*VLOOKUP('Données projet'!$B$11,Paramètres!$A$1:$I$89,5,0)</f>
        <v>127.14479999999995</v>
      </c>
      <c r="BF69" s="14">
        <f t="shared" ref="BF69:BF132" si="91">EXP(-1.0587+0.8836*LN(BE69)+0.284)</f>
        <v>33.335756139335082</v>
      </c>
      <c r="BG69" s="22">
        <f t="shared" si="61"/>
        <v>279.50363527600848</v>
      </c>
      <c r="BH69" s="60">
        <f t="shared" si="62"/>
        <v>572.83696860934174</v>
      </c>
      <c r="BI69" s="60">
        <f ca="1">AVERAGE(OFFSET($BH$3,0,0,'Données projet'!$E$11+1,1))-AVERAGE(OFFSET($H$3,0,0,'Données projet'!$E$11+1,1))</f>
        <v>179.52358670810645</v>
      </c>
      <c r="BJ69" s="60">
        <f t="shared" ref="BJ69:BJ132" si="92">$BJ$3</f>
        <v>89.471764801078166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3.8461538461538454</v>
      </c>
      <c r="BY69" s="13">
        <f>IF('Données projet'!$A$114&gt;35,BY68+BX69-CG68,IF(A69&lt;'Données projet'!$A$114,$BV$205^A69,IF(A69='Données projet'!$A$114,'Données projet'!$B$114,BY68+BX69-CG68)))</f>
        <v>178.84615384615375</v>
      </c>
      <c r="BZ69" s="14">
        <f>BY69*VLOOKUP('Données projet'!$B$12,Paramètres!$A$1:$I$89,3,0)*VLOOKUP('Données projet'!$B$12,Paramètres!$A$1:$I$89,5,0)</f>
        <v>186.92999999999992</v>
      </c>
      <c r="CA69" s="14">
        <f t="shared" ref="CA69:CA132" si="93">EXP(-1.0587+0.8836*LN(BZ69)+0.284)</f>
        <v>46.860577294974036</v>
      </c>
      <c r="CB69" s="22">
        <f t="shared" si="64"/>
        <v>407.18525545541297</v>
      </c>
      <c r="CC69" s="60">
        <f t="shared" si="65"/>
        <v>700.51858878874623</v>
      </c>
      <c r="CD69" s="60">
        <f ca="1">AVERAGE(OFFSET($CC$3,0,0,'Données projet'!$E$12+1,1))-AVERAGE(OFFSET($H$3,0,0,'Données projet'!$E$12+1,1))</f>
        <v>304.57411436867147</v>
      </c>
      <c r="CE69" s="60">
        <f t="shared" ref="CE69:CE132" si="94">$CE$3</f>
        <v>178.19974548556962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3.8461538461538454</v>
      </c>
      <c r="CT69" s="13">
        <f>IF('Données projet'!$A$140&gt;35,CT68+CS69-DB68,IF(A69&lt;'Données projet'!$A$140,$CQ$205^A69,IF(A69='Données projet'!$A$140,'Données projet'!$B$140,CT68+CS69-DB68)))</f>
        <v>178.84615384615375</v>
      </c>
      <c r="CU69" s="18">
        <f>CT69*VLOOKUP('Données projet'!$B$13,Paramètres!$A$1:$I$89,3,0)*VLOOKUP('Données projet'!$B$13,Paramètres!$A$1:$I$89,5,0)</f>
        <v>172.97999999999993</v>
      </c>
      <c r="CV69" s="14">
        <f t="shared" ref="CV69:CV132" si="95">EXP(-1.0587+0.8836*LN(CU69)+0.284)</f>
        <v>43.756767944079385</v>
      </c>
      <c r="CW69" s="22">
        <f t="shared" si="67"/>
        <v>377.48320416927146</v>
      </c>
      <c r="CX69" s="60">
        <f t="shared" si="68"/>
        <v>670.81653750260477</v>
      </c>
      <c r="CY69" s="60">
        <f ca="1">AVERAGE(OFFSET($CX$3,0,0,'Données projet'!$E$13+1,1))-AVERAGE(OFFSET($H$3,0,0,'Données projet'!$E$13+1,1))</f>
        <v>279.37339904167601</v>
      </c>
      <c r="CZ69" s="60">
        <f t="shared" ref="CZ69:CZ132" si="96">$CZ$3</f>
        <v>163.80861186980007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0" t="e">
        <f t="shared" si="71"/>
        <v>#N/A</v>
      </c>
      <c r="DT69" s="60" t="e">
        <f ca="1">AVERAGE(OFFSET($DS$3,0,0,'Données projet'!$E$14+1,1))-AVERAGE(OFFSET($H$3,0,0,'Données projet'!$E$14+1,1))</f>
        <v>#N/A</v>
      </c>
      <c r="DU69" s="60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18.290999999999986</v>
      </c>
      <c r="D70" s="12">
        <f t="shared" si="86"/>
        <v>6.0098699670246898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187.58566290334838</v>
      </c>
      <c r="H70" s="68">
        <f t="shared" si="56"/>
        <v>335.65734852590128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7.3692307692307626</v>
      </c>
      <c r="N70" s="14">
        <f>IF('Données projet'!$A$36&gt;35,N69+M70-V69,IF(A70&lt;'Données projet'!$A$36,$K$205^A70,IF(A70='Données projet'!$A$36,'Données projet'!$B$36,N69+M70-V69)))</f>
        <v>311.07692307692309</v>
      </c>
      <c r="O70" s="14">
        <f>N70*VLOOKUP('Données projet'!$B$9,Paramètres!$A$1:$I$89,3,0)*VLOOKUP('Données projet'!$B$9,Paramètres!$A$1:$I$89,5,0)</f>
        <v>186.02400000000003</v>
      </c>
      <c r="P70" s="14">
        <f t="shared" si="87"/>
        <v>46.659836683188253</v>
      </c>
      <c r="Q70" s="22">
        <f t="shared" si="54"/>
        <v>405.25768222321955</v>
      </c>
      <c r="R70" s="60">
        <f t="shared" si="55"/>
        <v>698.59101555655286</v>
      </c>
      <c r="S70" s="60">
        <f ca="1">AVERAGE(OFFSET($R$3,0,0,'Données projet'!$E$9+1,1))-AVERAGE(OFFSET($H$3,0,0,'Données projet'!$E$9+1,1))</f>
        <v>223.38593045370783</v>
      </c>
      <c r="T70" s="60">
        <f t="shared" si="88"/>
        <v>161.68519532023998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>
        <f>VLOOKUP(A70,'Données projet'!$A$61:$I$81,2,0)</f>
        <v>338</v>
      </c>
      <c r="AG70" s="13">
        <f>VLOOKUP(A70,'Données projet'!$A$61:$I$81,9,0)</f>
        <v>12.8</v>
      </c>
      <c r="AH70" s="13">
        <f t="array" ref="AH70">INDEX(AG:AG,MIN(IF(ISNUMBER(AG70:AG266),ROW(AG70:AG266),"")))</f>
        <v>12.8</v>
      </c>
      <c r="AI70" s="14">
        <f>IF('Données projet'!$A$62&gt;35,AI69+AH70-AQ69,IF(A70&lt;'Données projet'!$A$62,$AF$205^A70,IF(A70='Données projet'!$A$62,'Données projet'!$B$62,AI69+AH70-AQ69)))</f>
        <v>338</v>
      </c>
      <c r="AJ70" s="14">
        <f>AI70*VLOOKUP('Données projet'!$B$10,Paramètres!$A$1:$I$89,3,0)*VLOOKUP('Données projet'!$B$10,Paramètres!$A$1:$I$89,5,0)</f>
        <v>202.12400000000002</v>
      </c>
      <c r="AK70" s="14">
        <f t="shared" si="89"/>
        <v>50.210671256169846</v>
      </c>
      <c r="AL70" s="22">
        <f t="shared" si="58"/>
        <v>439.48288577116256</v>
      </c>
      <c r="AM70" s="60">
        <f t="shared" si="59"/>
        <v>732.81621910449587</v>
      </c>
      <c r="AN70" s="60">
        <f ca="1">AVERAGE(OFFSET($AM$3,0,0,'Données projet'!$E$10+1,1))-AVERAGE(OFFSET($H$3,0,0,'Données projet'!$E$10+1,1))</f>
        <v>216.19747366796145</v>
      </c>
      <c r="AO70" s="60">
        <f t="shared" si="90"/>
        <v>122.08911898780889</v>
      </c>
      <c r="AP70" s="16">
        <f>IF(ISNA(VLOOKUP(A70,'Données projet'!$A$61:$I$81,3,0)),0,VLOOKUP(A70,'Données projet'!$A$61:$I$81,3,0))</f>
        <v>5</v>
      </c>
      <c r="AQ70" s="16">
        <f>IF(ISNA(VLOOKUP(A70,'Données projet'!$A$61:$I$81,4,0)),0,VLOOKUP(A70,'Données projet'!$A$61:$I$81,4,0))</f>
        <v>101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3.3576865695841779E-5</v>
      </c>
      <c r="AX70" s="23">
        <f t="shared" si="60"/>
        <v>3.3576865695841779E-5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9.6897435897435908</v>
      </c>
      <c r="BD70" s="13">
        <f>IF('Données projet'!$A$88&gt;35,BD69+BC70-BL69,IF(A70&lt;'Données projet'!$A$88,$BA$205^A70,IF(A70='Données projet'!$A$88,'Données projet'!$B$88,BD69+BC70-BL69)))</f>
        <v>281.36666666666656</v>
      </c>
      <c r="BE70" s="14">
        <f>BD70*VLOOKUP('Données projet'!$B$11,Paramètres!$A$1:$I$89,3,0)*VLOOKUP('Données projet'!$B$11,Paramètres!$A$1:$I$89,5,0)</f>
        <v>131.67959999999997</v>
      </c>
      <c r="BF70" s="14">
        <f t="shared" si="91"/>
        <v>34.38417513752983</v>
      </c>
      <c r="BG70" s="22">
        <f t="shared" si="61"/>
        <v>289.22774169786436</v>
      </c>
      <c r="BH70" s="60">
        <f t="shared" si="62"/>
        <v>582.56107503119767</v>
      </c>
      <c r="BI70" s="60">
        <f ca="1">AVERAGE(OFFSET($BH$3,0,0,'Données projet'!$E$11+1,1))-AVERAGE(OFFSET($H$3,0,0,'Données projet'!$E$11+1,1))</f>
        <v>179.52358670810645</v>
      </c>
      <c r="BJ70" s="60">
        <f t="shared" si="92"/>
        <v>89.471764801078166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3.8461538461538454</v>
      </c>
      <c r="BY70" s="13">
        <f>IF('Données projet'!$A$114&gt;35,BY69+BX70-CG69,IF(A70&lt;'Données projet'!$A$114,$BV$205^A70,IF(A70='Données projet'!$A$114,'Données projet'!$B$114,BY69+BX70-CG69)))</f>
        <v>182.69230769230759</v>
      </c>
      <c r="BZ70" s="14">
        <f>BY70*VLOOKUP('Données projet'!$B$12,Paramètres!$A$1:$I$89,3,0)*VLOOKUP('Données projet'!$B$12,Paramètres!$A$1:$I$89,5,0)</f>
        <v>190.9499999999999</v>
      </c>
      <c r="CA70" s="14">
        <f t="shared" si="93"/>
        <v>47.749923357177302</v>
      </c>
      <c r="CB70" s="22">
        <f t="shared" si="64"/>
        <v>415.73569984708359</v>
      </c>
      <c r="CC70" s="60">
        <f t="shared" si="65"/>
        <v>709.06903318041691</v>
      </c>
      <c r="CD70" s="60">
        <f ca="1">AVERAGE(OFFSET($CC$3,0,0,'Données projet'!$E$12+1,1))-AVERAGE(OFFSET($H$3,0,0,'Données projet'!$E$12+1,1))</f>
        <v>304.57411436867147</v>
      </c>
      <c r="CE70" s="60">
        <f t="shared" si="94"/>
        <v>178.19974548556962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3.8461538461538454</v>
      </c>
      <c r="CT70" s="13">
        <f>IF('Données projet'!$A$140&gt;35,CT69+CS70-DB69,IF(A70&lt;'Données projet'!$A$140,$CQ$205^A70,IF(A70='Données projet'!$A$140,'Données projet'!$B$140,CT69+CS70-DB69)))</f>
        <v>182.69230769230759</v>
      </c>
      <c r="CU70" s="18">
        <f>CT70*VLOOKUP('Données projet'!$B$13,Paramètres!$A$1:$I$89,3,0)*VLOOKUP('Données projet'!$B$13,Paramètres!$A$1:$I$89,5,0)</f>
        <v>176.6999999999999</v>
      </c>
      <c r="CV70" s="14">
        <f t="shared" si="95"/>
        <v>44.587208188570031</v>
      </c>
      <c r="CW70" s="22">
        <f t="shared" si="67"/>
        <v>385.40855426175926</v>
      </c>
      <c r="CX70" s="60">
        <f t="shared" si="68"/>
        <v>678.74188759509252</v>
      </c>
      <c r="CY70" s="60">
        <f ca="1">AVERAGE(OFFSET($CX$3,0,0,'Données projet'!$E$13+1,1))-AVERAGE(OFFSET($H$3,0,0,'Données projet'!$E$13+1,1))</f>
        <v>279.37339904167601</v>
      </c>
      <c r="CZ70" s="60">
        <f t="shared" si="96"/>
        <v>163.80861186980007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0" t="e">
        <f t="shared" si="71"/>
        <v>#N/A</v>
      </c>
      <c r="DT70" s="60" t="e">
        <f ca="1">AVERAGE(OFFSET($DS$3,0,0,'Données projet'!$E$14+1,1))-AVERAGE(OFFSET($H$3,0,0,'Données projet'!$E$14+1,1))</f>
        <v>#N/A</v>
      </c>
      <c r="DU70" s="60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18.563999999999986</v>
      </c>
      <c r="D71" s="12">
        <f t="shared" si="86"/>
        <v>6.0890600219069109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190.30432297612342</v>
      </c>
      <c r="H71" s="68">
        <f t="shared" si="56"/>
        <v>336.27074620482114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7.3692307692307626</v>
      </c>
      <c r="N71" s="14">
        <f>IF('Données projet'!$A$36&gt;35,N70+M71-V70,IF(A71&lt;'Données projet'!$A$36,$K$205^A71,IF(A71='Données projet'!$A$36,'Données projet'!$B$36,N70+M71-V70)))</f>
        <v>318.44615384615383</v>
      </c>
      <c r="O71" s="14">
        <f>N71*VLOOKUP('Données projet'!$B$9,Paramètres!$A$1:$I$89,3,0)*VLOOKUP('Données projet'!$B$9,Paramètres!$A$1:$I$89,5,0)</f>
        <v>190.43080000000003</v>
      </c>
      <c r="P71" s="14">
        <f t="shared" si="87"/>
        <v>47.635184056782364</v>
      </c>
      <c r="Q71" s="22">
        <f t="shared" si="54"/>
        <v>414.63158889889593</v>
      </c>
      <c r="R71" s="60">
        <f t="shared" si="55"/>
        <v>707.96492223222924</v>
      </c>
      <c r="S71" s="60">
        <f ca="1">AVERAGE(OFFSET($R$3,0,0,'Données projet'!$E$9+1,1))-AVERAGE(OFFSET($H$3,0,0,'Données projet'!$E$9+1,1))</f>
        <v>223.38593045370783</v>
      </c>
      <c r="T71" s="60">
        <f t="shared" si="88"/>
        <v>161.68519532023998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11.727272727272727</v>
      </c>
      <c r="AI71" s="14">
        <f>IF('Données projet'!$A$62&gt;35,AI70+AH71-AQ70,IF(A71&lt;'Données projet'!$A$62,$AF$205^A71,IF(A71='Données projet'!$A$62,'Données projet'!$B$62,AI70+AH71-AQ70)))</f>
        <v>248.72727272727275</v>
      </c>
      <c r="AJ71" s="14">
        <f>AI71*VLOOKUP('Données projet'!$B$10,Paramètres!$A$1:$I$89,3,0)*VLOOKUP('Données projet'!$B$10,Paramètres!$A$1:$I$89,5,0)</f>
        <v>148.73890909090912</v>
      </c>
      <c r="AK71" s="14">
        <f t="shared" si="89"/>
        <v>38.291857517656723</v>
      </c>
      <c r="AL71" s="22">
        <f t="shared" si="58"/>
        <v>325.74525184325216</v>
      </c>
      <c r="AM71" s="60">
        <f t="shared" si="59"/>
        <v>619.07858517658542</v>
      </c>
      <c r="AN71" s="60">
        <f ca="1">AVERAGE(OFFSET($AM$3,0,0,'Données projet'!$E$10+1,1))-AVERAGE(OFFSET($H$3,0,0,'Données projet'!$E$10+1,1))</f>
        <v>216.19747366796145</v>
      </c>
      <c r="AO71" s="60">
        <f t="shared" si="90"/>
        <v>122.08911898780889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2.3742429424519687E-5</v>
      </c>
      <c r="AX71" s="23">
        <f t="shared" si="60"/>
        <v>2.3742429424519687E-5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9.6897435897435908</v>
      </c>
      <c r="BD71" s="13">
        <f>IF('Données projet'!$A$88&gt;35,BD70+BC71-BL70,IF(A71&lt;'Données projet'!$A$88,$BA$205^A71,IF(A71='Données projet'!$A$88,'Données projet'!$B$88,BD70+BC71-BL70)))</f>
        <v>291.05641025641017</v>
      </c>
      <c r="BE71" s="14">
        <f>BD71*VLOOKUP('Données projet'!$B$11,Paramètres!$A$1:$I$89,3,0)*VLOOKUP('Données projet'!$B$11,Paramètres!$A$1:$I$89,5,0)</f>
        <v>136.21439999999996</v>
      </c>
      <c r="BF71" s="14">
        <f t="shared" si="91"/>
        <v>35.428398980540805</v>
      </c>
      <c r="BG71" s="22">
        <f t="shared" si="61"/>
        <v>298.94454155777515</v>
      </c>
      <c r="BH71" s="60">
        <f t="shared" si="62"/>
        <v>592.27787489110847</v>
      </c>
      <c r="BI71" s="60">
        <f ca="1">AVERAGE(OFFSET($BH$3,0,0,'Données projet'!$E$11+1,1))-AVERAGE(OFFSET($H$3,0,0,'Données projet'!$E$11+1,1))</f>
        <v>179.52358670810645</v>
      </c>
      <c r="BJ71" s="60">
        <f t="shared" si="92"/>
        <v>89.471764801078166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3.8461538461538454</v>
      </c>
      <c r="BY71" s="13">
        <f>IF('Données projet'!$A$114&gt;35,BY70+BX71-CG70,IF(A71&lt;'Données projet'!$A$114,$BV$205^A71,IF(A71='Données projet'!$A$114,'Données projet'!$B$114,BY70+BX71-CG70)))</f>
        <v>186.53846153846143</v>
      </c>
      <c r="BZ71" s="14">
        <f>BY71*VLOOKUP('Données projet'!$B$12,Paramètres!$A$1:$I$89,3,0)*VLOOKUP('Données projet'!$B$12,Paramètres!$A$1:$I$89,5,0)</f>
        <v>194.96999999999991</v>
      </c>
      <c r="CA71" s="14">
        <f t="shared" si="93"/>
        <v>48.637092551596893</v>
      </c>
      <c r="CB71" s="22">
        <f t="shared" si="64"/>
        <v>424.28235286069776</v>
      </c>
      <c r="CC71" s="60">
        <f t="shared" si="65"/>
        <v>717.61568619403101</v>
      </c>
      <c r="CD71" s="60">
        <f ca="1">AVERAGE(OFFSET($CC$3,0,0,'Données projet'!$E$12+1,1))-AVERAGE(OFFSET($H$3,0,0,'Données projet'!$E$12+1,1))</f>
        <v>304.57411436867147</v>
      </c>
      <c r="CE71" s="60">
        <f t="shared" si="94"/>
        <v>178.19974548556962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3.8461538461538454</v>
      </c>
      <c r="CT71" s="13">
        <f>IF('Données projet'!$A$140&gt;35,CT70+CS71-DB70,IF(A71&lt;'Données projet'!$A$140,$CQ$205^A71,IF(A71='Données projet'!$A$140,'Données projet'!$B$140,CT70+CS71-DB70)))</f>
        <v>186.53846153846143</v>
      </c>
      <c r="CU71" s="18">
        <f>CT71*VLOOKUP('Données projet'!$B$13,Paramètres!$A$1:$I$89,3,0)*VLOOKUP('Données projet'!$B$13,Paramètres!$A$1:$I$89,5,0)</f>
        <v>180.4199999999999</v>
      </c>
      <c r="CV71" s="14">
        <f t="shared" si="95"/>
        <v>45.415615750068753</v>
      </c>
      <c r="CW71" s="22">
        <f t="shared" si="67"/>
        <v>393.33036409803617</v>
      </c>
      <c r="CX71" s="60">
        <f t="shared" si="68"/>
        <v>686.66369743136943</v>
      </c>
      <c r="CY71" s="60">
        <f ca="1">AVERAGE(OFFSET($CX$3,0,0,'Données projet'!$E$13+1,1))-AVERAGE(OFFSET($H$3,0,0,'Données projet'!$E$13+1,1))</f>
        <v>279.37339904167601</v>
      </c>
      <c r="CZ71" s="60">
        <f t="shared" si="96"/>
        <v>163.80861186980007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0" t="e">
        <f t="shared" si="71"/>
        <v>#N/A</v>
      </c>
      <c r="DT71" s="60" t="e">
        <f ca="1">AVERAGE(OFFSET($DS$3,0,0,'Données projet'!$E$14+1,1))-AVERAGE(OFFSET($H$3,0,0,'Données projet'!$E$14+1,1))</f>
        <v>#N/A</v>
      </c>
      <c r="DU71" s="60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18.836999999999986</v>
      </c>
      <c r="D72" s="12">
        <f t="shared" si="86"/>
        <v>6.1681146328389715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193.02193751665163</v>
      </c>
      <c r="H72" s="68">
        <f t="shared" si="56"/>
        <v>336.8839079855278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7.3692307692307626</v>
      </c>
      <c r="N72" s="14">
        <f>IF('Données projet'!$A$36&gt;35,N71+M72-V71,IF(A72&lt;'Données projet'!$A$36,$K$205^A72,IF(A72='Données projet'!$A$36,'Données projet'!$B$36,N71+M72-V71)))</f>
        <v>325.81538461538457</v>
      </c>
      <c r="O72" s="14">
        <f>N72*VLOOKUP('Données projet'!$B$9,Paramètres!$A$1:$I$89,3,0)*VLOOKUP('Données projet'!$B$9,Paramètres!$A$1:$I$89,5,0)</f>
        <v>194.83759999999998</v>
      </c>
      <c r="P72" s="14">
        <f t="shared" si="87"/>
        <v>48.607907485946264</v>
      </c>
      <c r="Q72" s="22">
        <f t="shared" si="54"/>
        <v>424.00092553802301</v>
      </c>
      <c r="R72" s="60">
        <f t="shared" si="55"/>
        <v>717.33425887135627</v>
      </c>
      <c r="S72" s="60">
        <f ca="1">AVERAGE(OFFSET($R$3,0,0,'Données projet'!$E$9+1,1))-AVERAGE(OFFSET($H$3,0,0,'Données projet'!$E$9+1,1))</f>
        <v>223.38593045370783</v>
      </c>
      <c r="T72" s="60">
        <f t="shared" si="88"/>
        <v>161.68519532023998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11.727272727272727</v>
      </c>
      <c r="AI72" s="14">
        <f>IF('Données projet'!$A$62&gt;35,AI71+AH72-AQ71,IF(A72&lt;'Données projet'!$A$62,$AF$205^A72,IF(A72='Données projet'!$A$62,'Données projet'!$B$62,AI71+AH72-AQ71)))</f>
        <v>260.4545454545455</v>
      </c>
      <c r="AJ72" s="14">
        <f>AI72*VLOOKUP('Données projet'!$B$10,Paramètres!$A$1:$I$89,3,0)*VLOOKUP('Données projet'!$B$10,Paramètres!$A$1:$I$89,5,0)</f>
        <v>155.75181818181821</v>
      </c>
      <c r="AK72" s="14">
        <f t="shared" si="89"/>
        <v>39.882830633693523</v>
      </c>
      <c r="AL72" s="22">
        <f t="shared" si="58"/>
        <v>340.73034668701627</v>
      </c>
      <c r="AM72" s="60">
        <f t="shared" si="59"/>
        <v>634.06368002034958</v>
      </c>
      <c r="AN72" s="60">
        <f ca="1">AVERAGE(OFFSET($AM$3,0,0,'Données projet'!$E$10+1,1))-AVERAGE(OFFSET($H$3,0,0,'Données projet'!$E$10+1,1))</f>
        <v>216.19747366796145</v>
      </c>
      <c r="AO72" s="60">
        <f t="shared" si="90"/>
        <v>122.08911898780889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1.6788432847920889E-5</v>
      </c>
      <c r="AX72" s="23">
        <f t="shared" si="60"/>
        <v>1.6788432847920889E-5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300.74615384615385</v>
      </c>
      <c r="BB72" s="13">
        <f>VLOOKUP(A72,'Données projet'!$A$87:$I$107,9,0)</f>
        <v>9.6897435897435908</v>
      </c>
      <c r="BC72" s="13">
        <f t="array" ref="BC72">INDEX(BB:BB,MIN(IF(ISNUMBER(BB72:BB268),ROW(BB72:BB268),"")))</f>
        <v>9.6897435897435908</v>
      </c>
      <c r="BD72" s="13">
        <f>IF('Données projet'!$A$88&gt;35,BD71+BC72-BL71,IF(A72&lt;'Données projet'!$A$88,$BA$205^A72,IF(A72='Données projet'!$A$88,'Données projet'!$B$88,BD71+BC72-BL71)))</f>
        <v>300.74615384615379</v>
      </c>
      <c r="BE72" s="14">
        <f>BD72*VLOOKUP('Données projet'!$B$11,Paramètres!$A$1:$I$89,3,0)*VLOOKUP('Données projet'!$B$11,Paramètres!$A$1:$I$89,5,0)</f>
        <v>140.74919999999997</v>
      </c>
      <c r="BF72" s="14">
        <f t="shared" si="91"/>
        <v>36.468583345471806</v>
      </c>
      <c r="BG72" s="22">
        <f t="shared" si="61"/>
        <v>308.65430599336338</v>
      </c>
      <c r="BH72" s="60">
        <f t="shared" si="62"/>
        <v>601.98763932669669</v>
      </c>
      <c r="BI72" s="60">
        <f ca="1">AVERAGE(OFFSET($BH$3,0,0,'Données projet'!$E$11+1,1))-AVERAGE(OFFSET($H$3,0,0,'Données projet'!$E$11+1,1))</f>
        <v>179.52358670810645</v>
      </c>
      <c r="BJ72" s="60">
        <f t="shared" si="92"/>
        <v>89.471764801078166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3.8461538461538454</v>
      </c>
      <c r="BY72" s="13">
        <f>IF('Données projet'!$A$114&gt;35,BY71+BX72-CG71,IF(A72&lt;'Données projet'!$A$114,$BV$205^A72,IF(A72='Données projet'!$A$114,'Données projet'!$B$114,BY71+BX72-CG71)))</f>
        <v>190.38461538461527</v>
      </c>
      <c r="BZ72" s="14">
        <f>BY72*VLOOKUP('Données projet'!$B$12,Paramètres!$A$1:$I$89,3,0)*VLOOKUP('Données projet'!$B$12,Paramètres!$A$1:$I$89,5,0)</f>
        <v>198.9899999999999</v>
      </c>
      <c r="CA72" s="14">
        <f t="shared" si="93"/>
        <v>49.522134933665335</v>
      </c>
      <c r="CB72" s="22">
        <f t="shared" si="64"/>
        <v>432.82530167613362</v>
      </c>
      <c r="CC72" s="60">
        <f t="shared" si="65"/>
        <v>726.15863500946693</v>
      </c>
      <c r="CD72" s="60">
        <f ca="1">AVERAGE(OFFSET($CC$3,0,0,'Données projet'!$E$12+1,1))-AVERAGE(OFFSET($H$3,0,0,'Données projet'!$E$12+1,1))</f>
        <v>304.57411436867147</v>
      </c>
      <c r="CE72" s="60">
        <f t="shared" si="94"/>
        <v>178.19974548556962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3.8461538461538454</v>
      </c>
      <c r="CT72" s="13">
        <f>IF('Données projet'!$A$140&gt;35,CT71+CS72-DB71,IF(A72&lt;'Données projet'!$A$140,$CQ$205^A72,IF(A72='Données projet'!$A$140,'Données projet'!$B$140,CT71+CS72-DB71)))</f>
        <v>190.38461538461527</v>
      </c>
      <c r="CU72" s="18">
        <f>CT72*VLOOKUP('Données projet'!$B$13,Paramètres!$A$1:$I$89,3,0)*VLOOKUP('Données projet'!$B$13,Paramètres!$A$1:$I$89,5,0)</f>
        <v>184.1399999999999</v>
      </c>
      <c r="CV72" s="14">
        <f t="shared" si="95"/>
        <v>46.242037368587773</v>
      </c>
      <c r="CW72" s="22">
        <f t="shared" si="67"/>
        <v>401.24871508362349</v>
      </c>
      <c r="CX72" s="60">
        <f t="shared" si="68"/>
        <v>694.58204841695681</v>
      </c>
      <c r="CY72" s="60">
        <f ca="1">AVERAGE(OFFSET($CX$3,0,0,'Données projet'!$E$13+1,1))-AVERAGE(OFFSET($H$3,0,0,'Données projet'!$E$13+1,1))</f>
        <v>279.37339904167601</v>
      </c>
      <c r="CZ72" s="60">
        <f t="shared" si="96"/>
        <v>163.80861186980007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0" t="e">
        <f t="shared" si="71"/>
        <v>#N/A</v>
      </c>
      <c r="DT72" s="60" t="e">
        <f ca="1">AVERAGE(OFFSET($DS$3,0,0,'Données projet'!$E$14+1,1))-AVERAGE(OFFSET($H$3,0,0,'Données projet'!$E$14+1,1))</f>
        <v>#N/A</v>
      </c>
      <c r="DU72" s="60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19.109999999999985</v>
      </c>
      <c r="D73" s="12">
        <f t="shared" si="86"/>
        <v>6.2470359895716436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195.7385234282722</v>
      </c>
      <c r="H73" s="68">
        <f t="shared" si="56"/>
        <v>337.49683768183723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333.18461538461537</v>
      </c>
      <c r="L73" s="13">
        <f>VLOOKUP(A73,'Données projet'!$A$35:$I$55,9,0)</f>
        <v>7.3692307692307626</v>
      </c>
      <c r="M73" s="13">
        <f t="array" ref="M73">INDEX(L:L,MIN(IF(ISNUMBER(L73:L269),ROW(L73:L269),"")))</f>
        <v>7.3692307692307626</v>
      </c>
      <c r="N73" s="14">
        <f>IF('Données projet'!$A$36&gt;35,N72+M73-V72,IF(A73&lt;'Données projet'!$A$36,$K$205^A73,IF(A73='Données projet'!$A$36,'Données projet'!$B$36,N72+M73-V72)))</f>
        <v>333.18461538461531</v>
      </c>
      <c r="O73" s="14">
        <f>N73*VLOOKUP('Données projet'!$B$9,Paramètres!$A$1:$I$89,3,0)*VLOOKUP('Données projet'!$B$9,Paramètres!$A$1:$I$89,5,0)</f>
        <v>199.24439999999998</v>
      </c>
      <c r="P73" s="14">
        <f t="shared" si="87"/>
        <v>49.578073150914477</v>
      </c>
      <c r="Q73" s="22">
        <f t="shared" si="54"/>
        <v>433.36580740450927</v>
      </c>
      <c r="R73" s="60">
        <f t="shared" si="55"/>
        <v>726.69914073784253</v>
      </c>
      <c r="S73" s="60">
        <f ca="1">AVERAGE(OFFSET($R$3,0,0,'Données projet'!$E$9+1,1))-AVERAGE(OFFSET($H$3,0,0,'Données projet'!$E$9+1,1))</f>
        <v>223.38593045370783</v>
      </c>
      <c r="T73" s="60">
        <f t="shared" si="88"/>
        <v>161.68519532023998</v>
      </c>
      <c r="U73" s="16">
        <f>IF(ISNA(VLOOKUP(A73,'Données projet'!$A$35:$I$55,3,0)),0,VLOOKUP(A73,'Données projet'!$A$35:$I$55,3,0))</f>
        <v>3</v>
      </c>
      <c r="V73" s="16">
        <f>IF(ISNA(VLOOKUP(A73,'Données projet'!$A$35:$I$55,4,0)),0,VLOOKUP(A73,'Données projet'!$A$35:$I$55,4,0))</f>
        <v>62.976923076923079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11.727272727272727</v>
      </c>
      <c r="AI73" s="14">
        <f>IF('Données projet'!$A$62&gt;35,AI72+AH73-AQ72,IF(A73&lt;'Données projet'!$A$62,$AF$205^A73,IF(A73='Données projet'!$A$62,'Données projet'!$B$62,AI72+AH73-AQ72)))</f>
        <v>272.18181818181824</v>
      </c>
      <c r="AJ73" s="14">
        <f>AI73*VLOOKUP('Données projet'!$B$10,Paramètres!$A$1:$I$89,3,0)*VLOOKUP('Données projet'!$B$10,Paramètres!$A$1:$I$89,5,0)</f>
        <v>162.76472727272733</v>
      </c>
      <c r="AK73" s="14">
        <f t="shared" si="89"/>
        <v>41.465484229036846</v>
      </c>
      <c r="AL73" s="22">
        <f t="shared" si="58"/>
        <v>355.70095169890595</v>
      </c>
      <c r="AM73" s="60">
        <f t="shared" si="59"/>
        <v>649.03428503223927</v>
      </c>
      <c r="AN73" s="60">
        <f ca="1">AVERAGE(OFFSET($AM$3,0,0,'Données projet'!$E$10+1,1))-AVERAGE(OFFSET($H$3,0,0,'Données projet'!$E$10+1,1))</f>
        <v>216.19747366796145</v>
      </c>
      <c r="AO73" s="60">
        <f t="shared" si="90"/>
        <v>122.08911898780889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1.1871214712259843E-5</v>
      </c>
      <c r="AX73" s="23">
        <f t="shared" si="60"/>
        <v>1.1871214712259843E-5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9.9551282051282044</v>
      </c>
      <c r="BD73" s="13">
        <f>IF('Données projet'!$A$88&gt;35,BD72+BC73-BL72,IF(A73&lt;'Données projet'!$A$88,$BA$205^A73,IF(A73='Données projet'!$A$88,'Données projet'!$B$88,BD72+BC73-BL72)))</f>
        <v>310.70128205128196</v>
      </c>
      <c r="BE73" s="14">
        <f>BD73*VLOOKUP('Données projet'!$B$11,Paramètres!$A$1:$I$89,3,0)*VLOOKUP('Données projet'!$B$11,Paramètres!$A$1:$I$89,5,0)</f>
        <v>145.40819999999997</v>
      </c>
      <c r="BF73" s="14">
        <f t="shared" si="91"/>
        <v>37.533201941228626</v>
      </c>
      <c r="BG73" s="22">
        <f t="shared" si="61"/>
        <v>318.62294171430648</v>
      </c>
      <c r="BH73" s="60">
        <f t="shared" si="62"/>
        <v>611.95627504763979</v>
      </c>
      <c r="BI73" s="60">
        <f ca="1">AVERAGE(OFFSET($BH$3,0,0,'Données projet'!$E$11+1,1))-AVERAGE(OFFSET($H$3,0,0,'Données projet'!$E$11+1,1))</f>
        <v>179.52358670810645</v>
      </c>
      <c r="BJ73" s="60">
        <f t="shared" si="92"/>
        <v>89.471764801078166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194.23076923076923</v>
      </c>
      <c r="BW73" s="13">
        <f>VLOOKUP(A73,'Données projet'!$A$113:$I$133,9,0)</f>
        <v>3.8461538461538454</v>
      </c>
      <c r="BX73" s="13">
        <f t="array" ref="BX73">INDEX(BW:BW,MIN(IF(ISNUMBER(BW73:BW269),ROW(BW73:BW269),"")))</f>
        <v>3.8461538461538454</v>
      </c>
      <c r="BY73" s="13">
        <f>IF('Données projet'!$A$114&gt;35,BY72+BX73-CG72,IF(A73&lt;'Données projet'!$A$114,$BV$205^A73,IF(A73='Données projet'!$A$114,'Données projet'!$B$114,BY72+BX73-CG72)))</f>
        <v>194.23076923076911</v>
      </c>
      <c r="BZ73" s="14">
        <f>BY73*VLOOKUP('Données projet'!$B$12,Paramètres!$A$1:$I$89,3,0)*VLOOKUP('Données projet'!$B$12,Paramètres!$A$1:$I$89,5,0)</f>
        <v>203.00999999999988</v>
      </c>
      <c r="CA73" s="14">
        <f t="shared" si="93"/>
        <v>50.405098420745524</v>
      </c>
      <c r="CB73" s="22">
        <f t="shared" si="64"/>
        <v>441.36462974946488</v>
      </c>
      <c r="CC73" s="60">
        <f t="shared" si="65"/>
        <v>734.6979630827982</v>
      </c>
      <c r="CD73" s="60">
        <f ca="1">AVERAGE(OFFSET($CC$3,0,0,'Données projet'!$E$12+1,1))-AVERAGE(OFFSET($H$3,0,0,'Données projet'!$E$12+1,1))</f>
        <v>304.57411436867147</v>
      </c>
      <c r="CE73" s="60">
        <f t="shared" si="94"/>
        <v>178.19974548556962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18.589743589743588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194.23076923076923</v>
      </c>
      <c r="CR73" s="13">
        <f>VLOOKUP(A73,'Données projet'!$A$139:$I$159,9,0)</f>
        <v>3.8461538461538454</v>
      </c>
      <c r="CS73" s="13">
        <f t="array" ref="CS73">INDEX(CR:CR,MIN(IF(ISNUMBER(CR73:CR269),ROW(CR73:CR269),"")))</f>
        <v>3.8461538461538454</v>
      </c>
      <c r="CT73" s="13">
        <f>IF('Données projet'!$A$140&gt;35,CT72+CS73-DB72,IF(A73&lt;'Données projet'!$A$140,$CQ$205^A73,IF(A73='Données projet'!$A$140,'Données projet'!$B$140,CT72+CS73-DB72)))</f>
        <v>194.23076923076911</v>
      </c>
      <c r="CU73" s="18">
        <f>CT73*VLOOKUP('Données projet'!$B$13,Paramètres!$A$1:$I$89,3,0)*VLOOKUP('Données projet'!$B$13,Paramètres!$A$1:$I$89,5,0)</f>
        <v>187.8599999999999</v>
      </c>
      <c r="CV73" s="14">
        <f t="shared" si="95"/>
        <v>47.066517787684205</v>
      </c>
      <c r="CW73" s="22">
        <f t="shared" si="67"/>
        <v>409.1636851468831</v>
      </c>
      <c r="CX73" s="60">
        <f t="shared" si="68"/>
        <v>702.49701848021641</v>
      </c>
      <c r="CY73" s="60">
        <f ca="1">AVERAGE(OFFSET($CX$3,0,0,'Données projet'!$E$13+1,1))-AVERAGE(OFFSET($H$3,0,0,'Données projet'!$E$13+1,1))</f>
        <v>279.37339904167601</v>
      </c>
      <c r="CZ73" s="60">
        <f t="shared" si="96"/>
        <v>163.80861186980007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18.589743589743588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0" t="e">
        <f t="shared" si="71"/>
        <v>#N/A</v>
      </c>
      <c r="DT73" s="60" t="e">
        <f ca="1">AVERAGE(OFFSET($DS$3,0,0,'Données projet'!$E$14+1,1))-AVERAGE(OFFSET($H$3,0,0,'Données projet'!$E$14+1,1))</f>
        <v>#N/A</v>
      </c>
      <c r="DU73" s="60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19.382999999999985</v>
      </c>
      <c r="D74" s="12">
        <f t="shared" si="86"/>
        <v>6.3258262156984566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198.45409710363711</v>
      </c>
      <c r="H74" s="68">
        <f t="shared" si="56"/>
        <v>338.10953899234141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6.5030769230769234</v>
      </c>
      <c r="N74" s="14">
        <f>IF('Données projet'!$A$36&gt;35,N73+M74-V73,IF(A74&lt;'Données projet'!$A$36,$K$205^A74,IF(A74='Données projet'!$A$36,'Données projet'!$B$36,N73+M74-V73)))</f>
        <v>276.71076923076919</v>
      </c>
      <c r="O74" s="14">
        <f>N74*VLOOKUP('Données projet'!$B$9,Paramètres!$A$1:$I$89,3,0)*VLOOKUP('Données projet'!$B$9,Paramètres!$A$1:$I$89,5,0)</f>
        <v>165.47304</v>
      </c>
      <c r="P74" s="14">
        <f t="shared" si="87"/>
        <v>42.074548000442554</v>
      </c>
      <c r="Q74" s="22">
        <f t="shared" si="54"/>
        <v>361.47871576743745</v>
      </c>
      <c r="R74" s="60">
        <f t="shared" si="55"/>
        <v>654.81204910077076</v>
      </c>
      <c r="S74" s="60">
        <f ca="1">AVERAGE(OFFSET($R$3,0,0,'Données projet'!$E$9+1,1))-AVERAGE(OFFSET($H$3,0,0,'Données projet'!$E$9+1,1))</f>
        <v>223.38593045370783</v>
      </c>
      <c r="T74" s="60">
        <f t="shared" si="88"/>
        <v>161.68519532023998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11.727272727272727</v>
      </c>
      <c r="AI74" s="14">
        <f>IF('Données projet'!$A$62&gt;35,AI73+AH74-AQ73,IF(A74&lt;'Données projet'!$A$62,$AF$205^A74,IF(A74='Données projet'!$A$62,'Données projet'!$B$62,AI73+AH74-AQ73)))</f>
        <v>283.90909090909099</v>
      </c>
      <c r="AJ74" s="14">
        <f>AI74*VLOOKUP('Données projet'!$B$10,Paramètres!$A$1:$I$89,3,0)*VLOOKUP('Données projet'!$B$10,Paramètres!$A$1:$I$89,5,0)</f>
        <v>169.77763636363645</v>
      </c>
      <c r="AK74" s="14">
        <f t="shared" si="89"/>
        <v>43.040217734716748</v>
      </c>
      <c r="AL74" s="22">
        <f t="shared" si="58"/>
        <v>370.6577625546318</v>
      </c>
      <c r="AM74" s="60">
        <f t="shared" si="59"/>
        <v>663.99109588796512</v>
      </c>
      <c r="AN74" s="60">
        <f ca="1">AVERAGE(OFFSET($AM$3,0,0,'Données projet'!$E$10+1,1))-AVERAGE(OFFSET($H$3,0,0,'Données projet'!$E$10+1,1))</f>
        <v>216.19747366796145</v>
      </c>
      <c r="AO74" s="60">
        <f t="shared" si="90"/>
        <v>122.08911898780889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8.3942164239604447E-6</v>
      </c>
      <c r="AX74" s="23">
        <f t="shared" si="60"/>
        <v>8.3942164239604447E-6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9.9551282051282044</v>
      </c>
      <c r="BD74" s="13">
        <f>IF('Données projet'!$A$88&gt;35,BD73+BC74-BL73,IF(A74&lt;'Données projet'!$A$88,$BA$205^A74,IF(A74='Données projet'!$A$88,'Données projet'!$B$88,BD73+BC74-BL73)))</f>
        <v>320.65641025641014</v>
      </c>
      <c r="BE74" s="14">
        <f>BD74*VLOOKUP('Données projet'!$B$11,Paramètres!$A$1:$I$89,3,0)*VLOOKUP('Données projet'!$B$11,Paramètres!$A$1:$I$89,5,0)</f>
        <v>150.06719999999996</v>
      </c>
      <c r="BF74" s="14">
        <f t="shared" si="91"/>
        <v>38.593856663876636</v>
      </c>
      <c r="BG74" s="22">
        <f t="shared" si="61"/>
        <v>328.58467368958503</v>
      </c>
      <c r="BH74" s="60">
        <f t="shared" si="62"/>
        <v>621.91800702291835</v>
      </c>
      <c r="BI74" s="60">
        <f ca="1">AVERAGE(OFFSET($BH$3,0,0,'Données projet'!$E$11+1,1))-AVERAGE(OFFSET($H$3,0,0,'Données projet'!$E$11+1,1))</f>
        <v>179.52358670810645</v>
      </c>
      <c r="BJ74" s="60">
        <f t="shared" si="92"/>
        <v>89.471764801078166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3.4615384615384643</v>
      </c>
      <c r="BY74" s="13">
        <f>IF('Données projet'!$A$114&gt;35,BY73+BX74-CG73,IF(A74&lt;'Données projet'!$A$114,$BV$205^A74,IF(A74='Données projet'!$A$114,'Données projet'!$B$114,BY73+BX74-CG73)))</f>
        <v>179.10256410256397</v>
      </c>
      <c r="BZ74" s="14">
        <f>BY74*VLOOKUP('Données projet'!$B$12,Paramètres!$A$1:$I$89,3,0)*VLOOKUP('Données projet'!$B$12,Paramètres!$A$1:$I$89,5,0)</f>
        <v>187.19799999999989</v>
      </c>
      <c r="CA74" s="14">
        <f t="shared" si="93"/>
        <v>46.919935793880072</v>
      </c>
      <c r="CB74" s="22">
        <f t="shared" si="64"/>
        <v>407.75540484100753</v>
      </c>
      <c r="CC74" s="60">
        <f t="shared" si="65"/>
        <v>701.08873817434085</v>
      </c>
      <c r="CD74" s="60">
        <f ca="1">AVERAGE(OFFSET($CC$3,0,0,'Données projet'!$E$12+1,1))-AVERAGE(OFFSET($H$3,0,0,'Données projet'!$E$12+1,1))</f>
        <v>304.57411436867147</v>
      </c>
      <c r="CE74" s="60">
        <f t="shared" si="94"/>
        <v>178.19974548556962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3.4615384615384643</v>
      </c>
      <c r="CT74" s="13">
        <f>IF('Données projet'!$A$140&gt;35,CT73+CS74-DB73,IF(A74&lt;'Données projet'!$A$140,$CQ$205^A74,IF(A74='Données projet'!$A$140,'Données projet'!$B$140,CT73+CS74-DB73)))</f>
        <v>179.10256410256397</v>
      </c>
      <c r="CU74" s="18">
        <f>CT74*VLOOKUP('Données projet'!$B$13,Paramètres!$A$1:$I$89,3,0)*VLOOKUP('Données projet'!$B$13,Paramètres!$A$1:$I$89,5,0)</f>
        <v>173.22799999999989</v>
      </c>
      <c r="CV74" s="14">
        <f t="shared" si="95"/>
        <v>43.812194834059696</v>
      </c>
      <c r="CW74" s="22">
        <f t="shared" si="67"/>
        <v>378.01167266932043</v>
      </c>
      <c r="CX74" s="60">
        <f t="shared" si="68"/>
        <v>671.34500600265369</v>
      </c>
      <c r="CY74" s="60">
        <f ca="1">AVERAGE(OFFSET($CX$3,0,0,'Données projet'!$E$13+1,1))-AVERAGE(OFFSET($H$3,0,0,'Données projet'!$E$13+1,1))</f>
        <v>279.37339904167601</v>
      </c>
      <c r="CZ74" s="60">
        <f t="shared" si="96"/>
        <v>163.80861186980007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0" t="e">
        <f t="shared" si="71"/>
        <v>#N/A</v>
      </c>
      <c r="DT74" s="60" t="e">
        <f ca="1">AVERAGE(OFFSET($DS$3,0,0,'Données projet'!$E$14+1,1))-AVERAGE(OFFSET($H$3,0,0,'Données projet'!$E$14+1,1))</f>
        <v>#N/A</v>
      </c>
      <c r="DU74" s="60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19.655999999999985</v>
      </c>
      <c r="D75" s="12">
        <f t="shared" si="86"/>
        <v>6.4044873715575248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201.16867444711065</v>
      </c>
      <c r="H75" s="68">
        <f t="shared" si="56"/>
        <v>338.72201550546265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6.5030769230769234</v>
      </c>
      <c r="N75" s="14">
        <f>IF('Données projet'!$A$36&gt;35,N74+M75-V74,IF(A75&lt;'Données projet'!$A$36,$K$205^A75,IF(A75='Données projet'!$A$36,'Données projet'!$B$36,N74+M75-V74)))</f>
        <v>283.21384615384613</v>
      </c>
      <c r="O75" s="14">
        <f>N75*VLOOKUP('Données projet'!$B$9,Paramètres!$A$1:$I$89,3,0)*VLOOKUP('Données projet'!$B$9,Paramètres!$A$1:$I$89,5,0)</f>
        <v>169.36187999999999</v>
      </c>
      <c r="P75" s="14">
        <f t="shared" si="87"/>
        <v>42.947074666974054</v>
      </c>
      <c r="Q75" s="22">
        <f t="shared" si="54"/>
        <v>369.77142937831314</v>
      </c>
      <c r="R75" s="60">
        <f t="shared" si="55"/>
        <v>663.10476271164646</v>
      </c>
      <c r="S75" s="60">
        <f ca="1">AVERAGE(OFFSET($R$3,0,0,'Données projet'!$E$9+1,1))-AVERAGE(OFFSET($H$3,0,0,'Données projet'!$E$9+1,1))</f>
        <v>223.38593045370783</v>
      </c>
      <c r="T75" s="60">
        <f t="shared" si="88"/>
        <v>161.68519532023998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11.727272727272727</v>
      </c>
      <c r="AI75" s="14">
        <f>IF('Données projet'!$A$62&gt;35,AI74+AH75-AQ74,IF(A75&lt;'Données projet'!$A$62,$AF$205^A75,IF(A75='Données projet'!$A$62,'Données projet'!$B$62,AI74+AH75-AQ74)))</f>
        <v>295.63636363636374</v>
      </c>
      <c r="AJ75" s="14">
        <f>AI75*VLOOKUP('Données projet'!$B$10,Paramètres!$A$1:$I$89,3,0)*VLOOKUP('Données projet'!$B$10,Paramètres!$A$1:$I$89,5,0)</f>
        <v>176.79054545454554</v>
      </c>
      <c r="AK75" s="14">
        <f t="shared" si="89"/>
        <v>44.607395716532473</v>
      </c>
      <c r="AL75" s="22">
        <f t="shared" si="58"/>
        <v>385.60141420629412</v>
      </c>
      <c r="AM75" s="60">
        <f t="shared" si="59"/>
        <v>678.93474753962744</v>
      </c>
      <c r="AN75" s="60">
        <f ca="1">AVERAGE(OFFSET($AM$3,0,0,'Données projet'!$E$10+1,1))-AVERAGE(OFFSET($H$3,0,0,'Données projet'!$E$10+1,1))</f>
        <v>216.19747366796145</v>
      </c>
      <c r="AO75" s="60">
        <f t="shared" si="90"/>
        <v>122.08911898780889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5.9356073561299217E-6</v>
      </c>
      <c r="AX75" s="23">
        <f t="shared" si="60"/>
        <v>5.9356073561299217E-6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9.9551282051282044</v>
      </c>
      <c r="BD75" s="13">
        <f>IF('Données projet'!$A$88&gt;35,BD74+BC75-BL74,IF(A75&lt;'Données projet'!$A$88,$BA$205^A75,IF(A75='Données projet'!$A$88,'Données projet'!$B$88,BD74+BC75-BL74)))</f>
        <v>330.61153846153832</v>
      </c>
      <c r="BE75" s="14">
        <f>BD75*VLOOKUP('Données projet'!$B$11,Paramètres!$A$1:$I$89,3,0)*VLOOKUP('Données projet'!$B$11,Paramètres!$A$1:$I$89,5,0)</f>
        <v>154.72619999999992</v>
      </c>
      <c r="BF75" s="14">
        <f t="shared" si="91"/>
        <v>39.650684697457002</v>
      </c>
      <c r="BG75" s="22">
        <f t="shared" si="61"/>
        <v>338.53974084807078</v>
      </c>
      <c r="BH75" s="60">
        <f t="shared" si="62"/>
        <v>631.87307418140404</v>
      </c>
      <c r="BI75" s="60">
        <f ca="1">AVERAGE(OFFSET($BH$3,0,0,'Données projet'!$E$11+1,1))-AVERAGE(OFFSET($H$3,0,0,'Données projet'!$E$11+1,1))</f>
        <v>179.52358670810645</v>
      </c>
      <c r="BJ75" s="60">
        <f t="shared" si="92"/>
        <v>89.471764801078166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3.4615384615384643</v>
      </c>
      <c r="BY75" s="13">
        <f>IF('Données projet'!$A$114&gt;35,BY74+BX75-CG74,IF(A75&lt;'Données projet'!$A$114,$BV$205^A75,IF(A75='Données projet'!$A$114,'Données projet'!$B$114,BY74+BX75-CG74)))</f>
        <v>182.56410256410243</v>
      </c>
      <c r="BZ75" s="14">
        <f>BY75*VLOOKUP('Données projet'!$B$12,Paramètres!$A$1:$I$89,3,0)*VLOOKUP('Données projet'!$B$12,Paramètres!$A$1:$I$89,5,0)</f>
        <v>190.81599999999989</v>
      </c>
      <c r="CA75" s="14">
        <f t="shared" si="93"/>
        <v>47.720313844242689</v>
      </c>
      <c r="CB75" s="22">
        <f t="shared" si="64"/>
        <v>415.45074661205581</v>
      </c>
      <c r="CC75" s="60">
        <f t="shared" si="65"/>
        <v>708.78407994538907</v>
      </c>
      <c r="CD75" s="60">
        <f ca="1">AVERAGE(OFFSET($CC$3,0,0,'Données projet'!$E$12+1,1))-AVERAGE(OFFSET($H$3,0,0,'Données projet'!$E$12+1,1))</f>
        <v>304.57411436867147</v>
      </c>
      <c r="CE75" s="60">
        <f t="shared" si="94"/>
        <v>178.19974548556962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3.4615384615384643</v>
      </c>
      <c r="CT75" s="13">
        <f>IF('Données projet'!$A$140&gt;35,CT74+CS75-DB74,IF(A75&lt;'Données projet'!$A$140,$CQ$205^A75,IF(A75='Données projet'!$A$140,'Données projet'!$B$140,CT74+CS75-DB74)))</f>
        <v>182.56410256410243</v>
      </c>
      <c r="CU75" s="18">
        <f>CT75*VLOOKUP('Données projet'!$B$13,Paramètres!$A$1:$I$89,3,0)*VLOOKUP('Données projet'!$B$13,Paramètres!$A$1:$I$89,5,0)</f>
        <v>176.57599999999988</v>
      </c>
      <c r="CV75" s="14">
        <f t="shared" si="95"/>
        <v>44.559559861101476</v>
      </c>
      <c r="CW75" s="22">
        <f t="shared" si="67"/>
        <v>385.14443342475147</v>
      </c>
      <c r="CX75" s="60">
        <f t="shared" si="68"/>
        <v>678.47776675808473</v>
      </c>
      <c r="CY75" s="60">
        <f ca="1">AVERAGE(OFFSET($CX$3,0,0,'Données projet'!$E$13+1,1))-AVERAGE(OFFSET($H$3,0,0,'Données projet'!$E$13+1,1))</f>
        <v>279.37339904167601</v>
      </c>
      <c r="CZ75" s="60">
        <f t="shared" si="96"/>
        <v>163.80861186980007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0" t="e">
        <f t="shared" si="71"/>
        <v>#N/A</v>
      </c>
      <c r="DT75" s="60" t="e">
        <f ca="1">AVERAGE(OFFSET($DS$3,0,0,'Données projet'!$E$14+1,1))-AVERAGE(OFFSET($H$3,0,0,'Données projet'!$E$14+1,1))</f>
        <v>#N/A</v>
      </c>
      <c r="DU75" s="60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19.928999999999984</v>
      </c>
      <c r="D76" s="12">
        <f t="shared" si="86"/>
        <v>6.4830214569676015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203.88227089589012</v>
      </c>
      <c r="H76" s="68">
        <f t="shared" si="56"/>
        <v>339.33427070421851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6.5030769230769234</v>
      </c>
      <c r="N76" s="14">
        <f>IF('Données projet'!$A$36&gt;35,N75+M76-V75,IF(A76&lt;'Données projet'!$A$36,$K$205^A76,IF(A76='Données projet'!$A$36,'Données projet'!$B$36,N75+M76-V75)))</f>
        <v>289.71692307692308</v>
      </c>
      <c r="O76" s="14">
        <f>N76*VLOOKUP('Données projet'!$B$9,Paramètres!$A$1:$I$89,3,0)*VLOOKUP('Données projet'!$B$9,Paramètres!$A$1:$I$89,5,0)</f>
        <v>173.25072000000003</v>
      </c>
      <c r="P76" s="14">
        <f t="shared" si="87"/>
        <v>43.81727219033089</v>
      </c>
      <c r="Q76" s="22">
        <f t="shared" si="54"/>
        <v>378.06008639815968</v>
      </c>
      <c r="R76" s="60">
        <f t="shared" si="55"/>
        <v>671.39341973149294</v>
      </c>
      <c r="S76" s="60">
        <f ca="1">AVERAGE(OFFSET($R$3,0,0,'Données projet'!$E$9+1,1))-AVERAGE(OFFSET($H$3,0,0,'Données projet'!$E$9+1,1))</f>
        <v>223.38593045370783</v>
      </c>
      <c r="T76" s="60">
        <f t="shared" si="88"/>
        <v>161.68519532023998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11.727272727272727</v>
      </c>
      <c r="AI76" s="14">
        <f>IF('Données projet'!$A$62&gt;35,AI75+AH76-AQ75,IF(A76&lt;'Données projet'!$A$62,$AF$205^A76,IF(A76='Données projet'!$A$62,'Données projet'!$B$62,AI75+AH76-AQ75)))</f>
        <v>307.36363636363649</v>
      </c>
      <c r="AJ76" s="14">
        <f>AI76*VLOOKUP('Données projet'!$B$10,Paramètres!$A$1:$I$89,3,0)*VLOOKUP('Données projet'!$B$10,Paramètres!$A$1:$I$89,5,0)</f>
        <v>183.80345454545466</v>
      </c>
      <c r="AK76" s="14">
        <f t="shared" si="89"/>
        <v>46.16735217985719</v>
      </c>
      <c r="AL76" s="22">
        <f t="shared" si="58"/>
        <v>400.53248837991811</v>
      </c>
      <c r="AM76" s="60">
        <f t="shared" si="59"/>
        <v>693.86582171325142</v>
      </c>
      <c r="AN76" s="60">
        <f ca="1">AVERAGE(OFFSET($AM$3,0,0,'Données projet'!$E$10+1,1))-AVERAGE(OFFSET($H$3,0,0,'Données projet'!$E$10+1,1))</f>
        <v>216.19747366796145</v>
      </c>
      <c r="AO76" s="60">
        <f t="shared" si="90"/>
        <v>122.08911898780889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4.1971082119802224E-6</v>
      </c>
      <c r="AX76" s="23">
        <f t="shared" si="60"/>
        <v>4.1971082119802224E-6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9.9551282051282044</v>
      </c>
      <c r="BD76" s="13">
        <f>IF('Données projet'!$A$88&gt;35,BD75+BC76-BL75,IF(A76&lt;'Données projet'!$A$88,$BA$205^A76,IF(A76='Données projet'!$A$88,'Données projet'!$B$88,BD75+BC76-BL75)))</f>
        <v>340.56666666666649</v>
      </c>
      <c r="BE76" s="14">
        <f>BD76*VLOOKUP('Données projet'!$B$11,Paramètres!$A$1:$I$89,3,0)*VLOOKUP('Données projet'!$B$11,Paramètres!$A$1:$I$89,5,0)</f>
        <v>159.38519999999991</v>
      </c>
      <c r="BF76" s="14">
        <f t="shared" si="91"/>
        <v>40.703814494924693</v>
      </c>
      <c r="BG76" s="22">
        <f t="shared" si="61"/>
        <v>348.48836691199364</v>
      </c>
      <c r="BH76" s="60">
        <f t="shared" si="62"/>
        <v>641.82170024532695</v>
      </c>
      <c r="BI76" s="60">
        <f ca="1">AVERAGE(OFFSET($BH$3,0,0,'Données projet'!$E$11+1,1))-AVERAGE(OFFSET($H$3,0,0,'Données projet'!$E$11+1,1))</f>
        <v>179.52358670810645</v>
      </c>
      <c r="BJ76" s="60">
        <f t="shared" si="92"/>
        <v>89.471764801078166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3.4615384615384643</v>
      </c>
      <c r="BY76" s="13">
        <f>IF('Données projet'!$A$114&gt;35,BY75+BX76-CG75,IF(A76&lt;'Données projet'!$A$114,$BV$205^A76,IF(A76='Données projet'!$A$114,'Données projet'!$B$114,BY75+BX76-CG75)))</f>
        <v>186.02564102564088</v>
      </c>
      <c r="BZ76" s="14">
        <f>BY76*VLOOKUP('Données projet'!$B$12,Paramètres!$A$1:$I$89,3,0)*VLOOKUP('Données projet'!$B$12,Paramètres!$A$1:$I$89,5,0)</f>
        <v>194.43399999999986</v>
      </c>
      <c r="CA76" s="14">
        <f t="shared" si="93"/>
        <v>48.518927278356934</v>
      </c>
      <c r="CB76" s="22">
        <f t="shared" si="64"/>
        <v>423.14301500980469</v>
      </c>
      <c r="CC76" s="60">
        <f t="shared" si="65"/>
        <v>716.47634834313794</v>
      </c>
      <c r="CD76" s="60">
        <f ca="1">AVERAGE(OFFSET($CC$3,0,0,'Données projet'!$E$12+1,1))-AVERAGE(OFFSET($H$3,0,0,'Données projet'!$E$12+1,1))</f>
        <v>304.57411436867147</v>
      </c>
      <c r="CE76" s="60">
        <f t="shared" si="94"/>
        <v>178.19974548556962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3.4615384615384643</v>
      </c>
      <c r="CT76" s="13">
        <f>IF('Données projet'!$A$140&gt;35,CT75+CS76-DB75,IF(A76&lt;'Données projet'!$A$140,$CQ$205^A76,IF(A76='Données projet'!$A$140,'Données projet'!$B$140,CT75+CS76-DB75)))</f>
        <v>186.02564102564088</v>
      </c>
      <c r="CU76" s="18">
        <f>CT76*VLOOKUP('Données projet'!$B$13,Paramètres!$A$1:$I$89,3,0)*VLOOKUP('Données projet'!$B$13,Paramètres!$A$1:$I$89,5,0)</f>
        <v>179.92399999999986</v>
      </c>
      <c r="CV76" s="14">
        <f t="shared" si="95"/>
        <v>45.305277151214952</v>
      </c>
      <c r="CW76" s="22">
        <f t="shared" si="67"/>
        <v>392.27432437169915</v>
      </c>
      <c r="CX76" s="60">
        <f t="shared" si="68"/>
        <v>685.60765770503247</v>
      </c>
      <c r="CY76" s="60">
        <f ca="1">AVERAGE(OFFSET($CX$3,0,0,'Données projet'!$E$13+1,1))-AVERAGE(OFFSET($H$3,0,0,'Données projet'!$E$13+1,1))</f>
        <v>279.37339904167601</v>
      </c>
      <c r="CZ76" s="60">
        <f t="shared" si="96"/>
        <v>163.80861186980007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0" t="e">
        <f t="shared" si="71"/>
        <v>#N/A</v>
      </c>
      <c r="DT76" s="60" t="e">
        <f ca="1">AVERAGE(OFFSET($DS$3,0,0,'Données projet'!$E$14+1,1))-AVERAGE(OFFSET($H$3,0,0,'Données projet'!$E$14+1,1))</f>
        <v>#N/A</v>
      </c>
      <c r="DU76" s="60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20.201999999999984</v>
      </c>
      <c r="D77" s="12">
        <f t="shared" si="86"/>
        <v>6.5614304138099282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206.59490143993619</v>
      </c>
      <c r="H77" s="68">
        <f t="shared" si="56"/>
        <v>339.94630797071892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6.5030769230769234</v>
      </c>
      <c r="N77" s="14">
        <f>IF('Données projet'!$A$36&gt;35,N76+M77-V76,IF(A77&lt;'Données projet'!$A$36,$K$205^A77,IF(A77='Données projet'!$A$36,'Données projet'!$B$36,N76+M77-V76)))</f>
        <v>296.22000000000003</v>
      </c>
      <c r="O77" s="14">
        <f>N77*VLOOKUP('Données projet'!$B$9,Paramètres!$A$1:$I$89,3,0)*VLOOKUP('Données projet'!$B$9,Paramètres!$A$1:$I$89,5,0)</f>
        <v>177.13956000000005</v>
      </c>
      <c r="P77" s="14">
        <f t="shared" si="87"/>
        <v>44.685198870372361</v>
      </c>
      <c r="Q77" s="22">
        <f t="shared" si="54"/>
        <v>386.34478836589864</v>
      </c>
      <c r="R77" s="60">
        <f t="shared" si="55"/>
        <v>679.67812169923195</v>
      </c>
      <c r="S77" s="60">
        <f ca="1">AVERAGE(OFFSET($R$3,0,0,'Données projet'!$E$9+1,1))-AVERAGE(OFFSET($H$3,0,0,'Données projet'!$E$9+1,1))</f>
        <v>223.38593045370783</v>
      </c>
      <c r="T77" s="60">
        <f t="shared" si="88"/>
        <v>161.68519532023998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11.727272727272727</v>
      </c>
      <c r="AI77" s="14">
        <f>IF('Données projet'!$A$62&gt;35,AI76+AH77-AQ76,IF(A77&lt;'Données projet'!$A$62,$AF$205^A77,IF(A77='Données projet'!$A$62,'Données projet'!$B$62,AI76+AH77-AQ76)))</f>
        <v>319.09090909090924</v>
      </c>
      <c r="AJ77" s="14">
        <f>AI77*VLOOKUP('Données projet'!$B$10,Paramètres!$A$1:$I$89,3,0)*VLOOKUP('Données projet'!$B$10,Paramètres!$A$1:$I$89,5,0)</f>
        <v>190.81636363636375</v>
      </c>
      <c r="AK77" s="14">
        <f t="shared" si="89"/>
        <v>47.720394198976912</v>
      </c>
      <c r="AL77" s="22">
        <f t="shared" si="58"/>
        <v>415.45151989655164</v>
      </c>
      <c r="AM77" s="60">
        <f t="shared" si="59"/>
        <v>708.7848532298849</v>
      </c>
      <c r="AN77" s="60">
        <f ca="1">AVERAGE(OFFSET($AM$3,0,0,'Données projet'!$E$10+1,1))-AVERAGE(OFFSET($H$3,0,0,'Données projet'!$E$10+1,1))</f>
        <v>216.19747366796145</v>
      </c>
      <c r="AO77" s="60">
        <f t="shared" si="90"/>
        <v>122.08911898780889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2.9678036780649608E-6</v>
      </c>
      <c r="AX77" s="23">
        <f t="shared" si="60"/>
        <v>2.9678036780649608E-6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9.9551282051282044</v>
      </c>
      <c r="BD77" s="13">
        <f>IF('Données projet'!$A$88&gt;35,BD76+BC77-BL76,IF(A77&lt;'Données projet'!$A$88,$BA$205^A77,IF(A77='Données projet'!$A$88,'Données projet'!$B$88,BD76+BC77-BL76)))</f>
        <v>350.52179487179467</v>
      </c>
      <c r="BE77" s="14">
        <f>BD77*VLOOKUP('Données projet'!$B$11,Paramètres!$A$1:$I$89,3,0)*VLOOKUP('Données projet'!$B$11,Paramètres!$A$1:$I$89,5,0)</f>
        <v>164.0441999999999</v>
      </c>
      <c r="BF77" s="14">
        <f t="shared" si="91"/>
        <v>41.753366572621168</v>
      </c>
      <c r="BG77" s="22">
        <f t="shared" si="61"/>
        <v>358.43076178064831</v>
      </c>
      <c r="BH77" s="60">
        <f t="shared" si="62"/>
        <v>651.76409511398163</v>
      </c>
      <c r="BI77" s="60">
        <f ca="1">AVERAGE(OFFSET($BH$3,0,0,'Données projet'!$E$11+1,1))-AVERAGE(OFFSET($H$3,0,0,'Données projet'!$E$11+1,1))</f>
        <v>179.52358670810645</v>
      </c>
      <c r="BJ77" s="60">
        <f t="shared" si="92"/>
        <v>89.471764801078166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3.4615384615384643</v>
      </c>
      <c r="BY77" s="13">
        <f>IF('Données projet'!$A$114&gt;35,BY76+BX77-CG76,IF(A77&lt;'Données projet'!$A$114,$BV$205^A77,IF(A77='Données projet'!$A$114,'Données projet'!$B$114,BY76+BX77-CG76)))</f>
        <v>189.48717948717933</v>
      </c>
      <c r="BZ77" s="14">
        <f>BY77*VLOOKUP('Données projet'!$B$12,Paramètres!$A$1:$I$89,3,0)*VLOOKUP('Données projet'!$B$12,Paramètres!$A$1:$I$89,5,0)</f>
        <v>198.05199999999988</v>
      </c>
      <c r="CA77" s="14">
        <f t="shared" si="93"/>
        <v>49.315812718619298</v>
      </c>
      <c r="CB77" s="22">
        <f t="shared" si="64"/>
        <v>430.83227381826168</v>
      </c>
      <c r="CC77" s="60">
        <f t="shared" si="65"/>
        <v>724.16560715159494</v>
      </c>
      <c r="CD77" s="60">
        <f ca="1">AVERAGE(OFFSET($CC$3,0,0,'Données projet'!$E$12+1,1))-AVERAGE(OFFSET($H$3,0,0,'Données projet'!$E$12+1,1))</f>
        <v>304.57411436867147</v>
      </c>
      <c r="CE77" s="60">
        <f t="shared" si="94"/>
        <v>178.19974548556962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3.4615384615384643</v>
      </c>
      <c r="CT77" s="13">
        <f>IF('Données projet'!$A$140&gt;35,CT76+CS77-DB76,IF(A77&lt;'Données projet'!$A$140,$CQ$205^A77,IF(A77='Données projet'!$A$140,'Données projet'!$B$140,CT76+CS77-DB76)))</f>
        <v>189.48717948717933</v>
      </c>
      <c r="CU77" s="18">
        <f>CT77*VLOOKUP('Données projet'!$B$13,Paramètres!$A$1:$I$89,3,0)*VLOOKUP('Données projet'!$B$13,Paramètres!$A$1:$I$89,5,0)</f>
        <v>183.27199999999985</v>
      </c>
      <c r="CV77" s="14">
        <f t="shared" si="95"/>
        <v>46.049380901112919</v>
      </c>
      <c r="CW77" s="22">
        <f t="shared" si="67"/>
        <v>399.401405069438</v>
      </c>
      <c r="CX77" s="60">
        <f t="shared" si="68"/>
        <v>692.73473840277131</v>
      </c>
      <c r="CY77" s="60">
        <f ca="1">AVERAGE(OFFSET($CX$3,0,0,'Données projet'!$E$13+1,1))-AVERAGE(OFFSET($H$3,0,0,'Données projet'!$E$13+1,1))</f>
        <v>279.37339904167601</v>
      </c>
      <c r="CZ77" s="60">
        <f t="shared" si="96"/>
        <v>163.80861186980007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0" t="e">
        <f t="shared" si="71"/>
        <v>#N/A</v>
      </c>
      <c r="DT77" s="60" t="e">
        <f ca="1">AVERAGE(OFFSET($DS$3,0,0,'Données projet'!$E$14+1,1))-AVERAGE(OFFSET($H$3,0,0,'Données projet'!$E$14+1,1))</f>
        <v>#N/A</v>
      </c>
      <c r="DU77" s="60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20.474999999999984</v>
      </c>
      <c r="D78" s="12">
        <f t="shared" si="86"/>
        <v>6.6397161284665636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209.30658064079441</v>
      </c>
      <c r="H78" s="68">
        <f t="shared" si="56"/>
        <v>340.55813059041253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302.72307692307692</v>
      </c>
      <c r="L78" s="13">
        <f>VLOOKUP(A78,'Données projet'!$A$35:$I$55,9,0)</f>
        <v>6.5030769230769234</v>
      </c>
      <c r="M78" s="13">
        <f t="array" ref="M78">INDEX(L:L,MIN(IF(ISNUMBER(L78:L274),ROW(L78:L274),"")))</f>
        <v>6.5030769230769234</v>
      </c>
      <c r="N78" s="14">
        <f>IF('Données projet'!$A$36&gt;35,N77+M78-V77,IF(A78&lt;'Données projet'!$A$36,$K$205^A78,IF(A78='Données projet'!$A$36,'Données projet'!$B$36,N77+M78-V77)))</f>
        <v>302.72307692307697</v>
      </c>
      <c r="O78" s="14">
        <f>N78*VLOOKUP('Données projet'!$B$9,Paramètres!$A$1:$I$89,3,0)*VLOOKUP('Données projet'!$B$9,Paramètres!$A$1:$I$89,5,0)</f>
        <v>181.02840000000003</v>
      </c>
      <c r="P78" s="14">
        <f t="shared" si="87"/>
        <v>45.550910301007349</v>
      </c>
      <c r="Q78" s="22">
        <f t="shared" si="54"/>
        <v>394.62563210758782</v>
      </c>
      <c r="R78" s="60">
        <f t="shared" si="55"/>
        <v>687.95896544092113</v>
      </c>
      <c r="S78" s="60">
        <f ca="1">AVERAGE(OFFSET($R$3,0,0,'Données projet'!$E$9+1,1))-AVERAGE(OFFSET($H$3,0,0,'Données projet'!$E$9+1,1))</f>
        <v>223.38593045370783</v>
      </c>
      <c r="T78" s="60">
        <f t="shared" si="88"/>
        <v>161.68519532023998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11.727272727272727</v>
      </c>
      <c r="AI78" s="14">
        <f>IF('Données projet'!$A$62&gt;35,AI77+AH78-AQ77,IF(A78&lt;'Données projet'!$A$62,$AF$205^A78,IF(A78='Données projet'!$A$62,'Données projet'!$B$62,AI77+AH78-AQ77)))</f>
        <v>330.81818181818198</v>
      </c>
      <c r="AJ78" s="14">
        <f>AI78*VLOOKUP('Données projet'!$B$10,Paramètres!$A$1:$I$89,3,0)*VLOOKUP('Données projet'!$B$10,Paramètres!$A$1:$I$89,5,0)</f>
        <v>197.82927272727287</v>
      </c>
      <c r="AK78" s="14">
        <f t="shared" si="89"/>
        <v>49.266804997888123</v>
      </c>
      <c r="AL78" s="22">
        <f t="shared" si="58"/>
        <v>430.35900203798877</v>
      </c>
      <c r="AM78" s="60">
        <f t="shared" si="59"/>
        <v>723.69233537132209</v>
      </c>
      <c r="AN78" s="60">
        <f ca="1">AVERAGE(OFFSET($AM$3,0,0,'Données projet'!$E$10+1,1))-AVERAGE(OFFSET($H$3,0,0,'Données projet'!$E$10+1,1))</f>
        <v>216.19747366796145</v>
      </c>
      <c r="AO78" s="60">
        <f t="shared" si="90"/>
        <v>122.08911898780889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2.0985541059901112E-6</v>
      </c>
      <c r="AX78" s="23">
        <f t="shared" si="60"/>
        <v>2.0985541059901112E-6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360.47692307692307</v>
      </c>
      <c r="BB78" s="13">
        <f>VLOOKUP(A78,'Données projet'!$A$87:$I$107,9,0)</f>
        <v>9.9551282051282044</v>
      </c>
      <c r="BC78" s="13">
        <f t="array" ref="BC78">INDEX(BB:BB,MIN(IF(ISNUMBER(BB78:BB274),ROW(BB78:BB274),"")))</f>
        <v>9.9551282051282044</v>
      </c>
      <c r="BD78" s="13">
        <f>IF('Données projet'!$A$88&gt;35,BD77+BC78-BL77,IF(A78&lt;'Données projet'!$A$88,$BA$205^A78,IF(A78='Données projet'!$A$88,'Données projet'!$B$88,BD77+BC78-BL77)))</f>
        <v>360.47692307692284</v>
      </c>
      <c r="BE78" s="14">
        <f>BD78*VLOOKUP('Données projet'!$B$11,Paramètres!$A$1:$I$89,3,0)*VLOOKUP('Données projet'!$B$11,Paramètres!$A$1:$I$89,5,0)</f>
        <v>168.70319999999987</v>
      </c>
      <c r="BF78" s="14">
        <f t="shared" si="91"/>
        <v>42.799454211954576</v>
      </c>
      <c r="BG78" s="22">
        <f t="shared" si="61"/>
        <v>368.36712275248732</v>
      </c>
      <c r="BH78" s="60">
        <f t="shared" si="62"/>
        <v>661.70045608582063</v>
      </c>
      <c r="BI78" s="60">
        <f ca="1">AVERAGE(OFFSET($BH$3,0,0,'Données projet'!$E$11+1,1))-AVERAGE(OFFSET($H$3,0,0,'Données projet'!$E$11+1,1))</f>
        <v>179.52358670810645</v>
      </c>
      <c r="BJ78" s="60">
        <f t="shared" si="92"/>
        <v>89.471764801078166</v>
      </c>
      <c r="BK78" s="16">
        <f>IF(ISNA(VLOOKUP(A78,'Données projet'!$A$87:$I$107,3,0)),0,VLOOKUP(A78,'Données projet'!$A$87:$I$107,3,0))</f>
        <v>3</v>
      </c>
      <c r="BL78" s="16">
        <f>IF(ISNA(VLOOKUP(A78,'Données projet'!$A$87:$I$107,4,0)),0,VLOOKUP(A78,'Données projet'!$A$87:$I$107,4,0))</f>
        <v>85.361538461538458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192.94871794871796</v>
      </c>
      <c r="BW78" s="13">
        <f>VLOOKUP(A78,'Données projet'!$A$113:$I$133,9,0)</f>
        <v>3.4615384615384643</v>
      </c>
      <c r="BX78" s="13">
        <f t="array" ref="BX78">INDEX(BW:BW,MIN(IF(ISNUMBER(BW78:BW274),ROW(BW78:BW274),"")))</f>
        <v>3.4615384615384643</v>
      </c>
      <c r="BY78" s="13">
        <f>IF('Données projet'!$A$114&gt;35,BY77+BX78-CG77,IF(A78&lt;'Données projet'!$A$114,$BV$205^A78,IF(A78='Données projet'!$A$114,'Données projet'!$B$114,BY77+BX78-CG77)))</f>
        <v>192.94871794871779</v>
      </c>
      <c r="BZ78" s="14">
        <f>BY78*VLOOKUP('Données projet'!$B$12,Paramètres!$A$1:$I$89,3,0)*VLOOKUP('Données projet'!$B$12,Paramètres!$A$1:$I$89,5,0)</f>
        <v>201.66999999999987</v>
      </c>
      <c r="CA78" s="14">
        <f t="shared" si="93"/>
        <v>50.111005372790743</v>
      </c>
      <c r="CB78" s="22">
        <f t="shared" si="64"/>
        <v>438.51858435761028</v>
      </c>
      <c r="CC78" s="60">
        <f t="shared" si="65"/>
        <v>731.85191769094354</v>
      </c>
      <c r="CD78" s="60">
        <f ca="1">AVERAGE(OFFSET($CC$3,0,0,'Données projet'!$E$12+1,1))-AVERAGE(OFFSET($H$3,0,0,'Données projet'!$E$12+1,1))</f>
        <v>304.57411436867147</v>
      </c>
      <c r="CE78" s="60">
        <f t="shared" si="94"/>
        <v>178.19974548556962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192.94871794871796</v>
      </c>
      <c r="CR78" s="13">
        <f>VLOOKUP(A78,'Données projet'!$A$139:$I$159,9,0)</f>
        <v>3.4615384615384643</v>
      </c>
      <c r="CS78" s="13">
        <f t="array" ref="CS78">INDEX(CR:CR,MIN(IF(ISNUMBER(CR78:CR274),ROW(CR78:CR274),"")))</f>
        <v>3.4615384615384643</v>
      </c>
      <c r="CT78" s="13">
        <f>IF('Données projet'!$A$140&gt;35,CT77+CS78-DB77,IF(A78&lt;'Données projet'!$A$140,$CQ$205^A78,IF(A78='Données projet'!$A$140,'Données projet'!$B$140,CT77+CS78-DB77)))</f>
        <v>192.94871794871779</v>
      </c>
      <c r="CU78" s="18">
        <f>CT78*VLOOKUP('Données projet'!$B$13,Paramètres!$A$1:$I$89,3,0)*VLOOKUP('Données projet'!$B$13,Paramètres!$A$1:$I$89,5,0)</f>
        <v>186.61999999999983</v>
      </c>
      <c r="CV78" s="14">
        <f t="shared" si="95"/>
        <v>46.791903986571164</v>
      </c>
      <c r="CW78" s="22">
        <f t="shared" si="67"/>
        <v>406.52573277661105</v>
      </c>
      <c r="CX78" s="60">
        <f t="shared" si="68"/>
        <v>699.85906610994437</v>
      </c>
      <c r="CY78" s="60">
        <f ca="1">AVERAGE(OFFSET($CX$3,0,0,'Données projet'!$E$13+1,1))-AVERAGE(OFFSET($H$3,0,0,'Données projet'!$E$13+1,1))</f>
        <v>279.37339904167601</v>
      </c>
      <c r="CZ78" s="60">
        <f t="shared" si="96"/>
        <v>163.80861186980007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0" t="e">
        <f t="shared" si="71"/>
        <v>#N/A</v>
      </c>
      <c r="DT78" s="60" t="e">
        <f ca="1">AVERAGE(OFFSET($DS$3,0,0,'Données projet'!$E$14+1,1))-AVERAGE(OFFSET($H$3,0,0,'Données projet'!$E$14+1,1))</f>
        <v>#N/A</v>
      </c>
      <c r="DU78" s="60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20.747999999999983</v>
      </c>
      <c r="D79" s="12">
        <f t="shared" si="86"/>
        <v>6.717880434124976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212.01732264938565</v>
      </c>
      <c r="H79" s="68">
        <f t="shared" si="56"/>
        <v>341.16974175610096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6.5015384615384617</v>
      </c>
      <c r="N79" s="14">
        <f>IF('Données projet'!$A$36&gt;35,N78+M79-V78,IF(A79&lt;'Données projet'!$A$36,$K$205^A79,IF(A79='Données projet'!$A$36,'Données projet'!$B$36,N78+M79-V78)))</f>
        <v>309.22461538461545</v>
      </c>
      <c r="O79" s="14">
        <f>N79*VLOOKUP('Données projet'!$B$9,Paramètres!$A$1:$I$89,3,0)*VLOOKUP('Données projet'!$B$9,Paramètres!$A$1:$I$89,5,0)</f>
        <v>184.91632000000004</v>
      </c>
      <c r="P79" s="14">
        <f t="shared" si="87"/>
        <v>46.414255509184599</v>
      </c>
      <c r="Q79" s="22">
        <f t="shared" si="54"/>
        <v>402.90075234516326</v>
      </c>
      <c r="R79" s="60">
        <f t="shared" si="55"/>
        <v>696.23408567849651</v>
      </c>
      <c r="S79" s="60">
        <f ca="1">AVERAGE(OFFSET($R$3,0,0,'Données projet'!$E$9+1,1))-AVERAGE(OFFSET($H$3,0,0,'Données projet'!$E$9+1,1))</f>
        <v>223.38593045370783</v>
      </c>
      <c r="T79" s="60">
        <f t="shared" si="88"/>
        <v>161.68519532023998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11.727272727272727</v>
      </c>
      <c r="AI79" s="14">
        <f>IF('Données projet'!$A$62&gt;35,AI78+AH79-AQ78,IF(A79&lt;'Données projet'!$A$62,$AF$205^A79,IF(A79='Données projet'!$A$62,'Données projet'!$B$62,AI78+AH79-AQ78)))</f>
        <v>342.54545454545473</v>
      </c>
      <c r="AJ79" s="14">
        <f>AI79*VLOOKUP('Données projet'!$B$10,Paramètres!$A$1:$I$89,3,0)*VLOOKUP('Données projet'!$B$10,Paramètres!$A$1:$I$89,5,0)</f>
        <v>204.84218181818196</v>
      </c>
      <c r="AK79" s="14">
        <f t="shared" si="89"/>
        <v>50.806846581971655</v>
      </c>
      <c r="AL79" s="22">
        <f t="shared" si="58"/>
        <v>445.25539113026753</v>
      </c>
      <c r="AM79" s="60">
        <f t="shared" si="59"/>
        <v>738.58872446360078</v>
      </c>
      <c r="AN79" s="60">
        <f ca="1">AVERAGE(OFFSET($AM$3,0,0,'Données projet'!$E$10+1,1))-AVERAGE(OFFSET($H$3,0,0,'Données projet'!$E$10+1,1))</f>
        <v>216.19747366796145</v>
      </c>
      <c r="AO79" s="60">
        <f t="shared" si="90"/>
        <v>122.08911898780889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1.4839018390324804E-6</v>
      </c>
      <c r="AX79" s="23">
        <f t="shared" si="60"/>
        <v>1.4839018390324804E-6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8.9320512820512761</v>
      </c>
      <c r="BD79" s="13">
        <f>IF('Données projet'!$A$88&gt;35,BD78+BC79-BL78,IF(A79&lt;'Données projet'!$A$88,$BA$205^A79,IF(A79='Données projet'!$A$88,'Données projet'!$B$88,BD78+BC79-BL78)))</f>
        <v>284.04743589743566</v>
      </c>
      <c r="BE79" s="14">
        <f>BD79*VLOOKUP('Données projet'!$B$11,Paramètres!$A$1:$I$89,3,0)*VLOOKUP('Données projet'!$B$11,Paramètres!$A$1:$I$89,5,0)</f>
        <v>132.93419999999989</v>
      </c>
      <c r="BF79" s="14">
        <f t="shared" si="91"/>
        <v>34.67348355149219</v>
      </c>
      <c r="BG79" s="22">
        <f t="shared" si="61"/>
        <v>291.91671551884872</v>
      </c>
      <c r="BH79" s="60">
        <f t="shared" si="62"/>
        <v>585.25004885218209</v>
      </c>
      <c r="BI79" s="60">
        <f ca="1">AVERAGE(OFFSET($BH$3,0,0,'Données projet'!$E$11+1,1))-AVERAGE(OFFSET($H$3,0,0,'Données projet'!$E$11+1,1))</f>
        <v>179.52358670810645</v>
      </c>
      <c r="BJ79" s="60">
        <f t="shared" si="92"/>
        <v>89.471764801078166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3.3333333333333313</v>
      </c>
      <c r="BY79" s="13">
        <f>IF('Données projet'!$A$114&gt;35,BY78+BX79-CG78,IF(A79&lt;'Données projet'!$A$114,$BV$205^A79,IF(A79='Données projet'!$A$114,'Données projet'!$B$114,BY78+BX79-CG78)))</f>
        <v>196.28205128205113</v>
      </c>
      <c r="BZ79" s="14">
        <f>BY79*VLOOKUP('Données projet'!$B$12,Paramètres!$A$1:$I$89,3,0)*VLOOKUP('Données projet'!$B$12,Paramètres!$A$1:$I$89,5,0)</f>
        <v>205.15399999999985</v>
      </c>
      <c r="CA79" s="14">
        <f t="shared" si="93"/>
        <v>50.875178173128255</v>
      </c>
      <c r="CB79" s="22">
        <f t="shared" si="64"/>
        <v>445.91748531819809</v>
      </c>
      <c r="CC79" s="60">
        <f t="shared" si="65"/>
        <v>739.2508186515314</v>
      </c>
      <c r="CD79" s="60">
        <f ca="1">AVERAGE(OFFSET($CC$3,0,0,'Données projet'!$E$12+1,1))-AVERAGE(OFFSET($H$3,0,0,'Données projet'!$E$12+1,1))</f>
        <v>304.57411436867147</v>
      </c>
      <c r="CE79" s="60">
        <f t="shared" si="94"/>
        <v>178.19974548556962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3.3333333333333313</v>
      </c>
      <c r="CT79" s="13">
        <f>IF('Données projet'!$A$140&gt;35,CT78+CS79-DB78,IF(A79&lt;'Données projet'!$A$140,$CQ$205^A79,IF(A79='Données projet'!$A$140,'Données projet'!$B$140,CT78+CS79-DB78)))</f>
        <v>196.28205128205113</v>
      </c>
      <c r="CU79" s="18">
        <f>CT79*VLOOKUP('Données projet'!$B$13,Paramètres!$A$1:$I$89,3,0)*VLOOKUP('Données projet'!$B$13,Paramètres!$A$1:$I$89,5,0)</f>
        <v>189.84399999999985</v>
      </c>
      <c r="CV79" s="14">
        <f t="shared" si="95"/>
        <v>47.505461817561269</v>
      </c>
      <c r="CW79" s="22">
        <f t="shared" si="67"/>
        <v>413.38364599891889</v>
      </c>
      <c r="CX79" s="60">
        <f t="shared" si="68"/>
        <v>706.71697933225221</v>
      </c>
      <c r="CY79" s="60">
        <f ca="1">AVERAGE(OFFSET($CX$3,0,0,'Données projet'!$E$13+1,1))-AVERAGE(OFFSET($H$3,0,0,'Données projet'!$E$13+1,1))</f>
        <v>279.37339904167601</v>
      </c>
      <c r="CZ79" s="60">
        <f t="shared" si="96"/>
        <v>163.80861186980007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0" t="e">
        <f t="shared" si="71"/>
        <v>#N/A</v>
      </c>
      <c r="DT79" s="60" t="e">
        <f ca="1">AVERAGE(OFFSET($DS$3,0,0,'Données projet'!$E$14+1,1))-AVERAGE(OFFSET($H$3,0,0,'Données projet'!$E$14+1,1))</f>
        <v>#N/A</v>
      </c>
      <c r="DU79" s="60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21.020999999999983</v>
      </c>
      <c r="D80" s="12">
        <f t="shared" si="86"/>
        <v>6.7959251129578675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214.72714122283253</v>
      </c>
      <c r="H80" s="68">
        <f t="shared" si="56"/>
        <v>341.7811445717349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6.5015384615384617</v>
      </c>
      <c r="N80" s="14">
        <f>IF('Données projet'!$A$36&gt;35,N79+M80-V79,IF(A80&lt;'Données projet'!$A$36,$K$205^A80,IF(A80='Données projet'!$A$36,'Données projet'!$B$36,N79+M80-V79)))</f>
        <v>315.72615384615392</v>
      </c>
      <c r="O80" s="14">
        <f>N80*VLOOKUP('Données projet'!$B$9,Paramètres!$A$1:$I$89,3,0)*VLOOKUP('Données projet'!$B$9,Paramètres!$A$1:$I$89,5,0)</f>
        <v>188.80424000000005</v>
      </c>
      <c r="P80" s="14">
        <f t="shared" si="87"/>
        <v>47.275490233483708</v>
      </c>
      <c r="Q80" s="22">
        <f t="shared" si="54"/>
        <v>411.17219682331756</v>
      </c>
      <c r="R80" s="60">
        <f t="shared" si="55"/>
        <v>704.50553015665082</v>
      </c>
      <c r="S80" s="60">
        <f ca="1">AVERAGE(OFFSET($R$3,0,0,'Données projet'!$E$9+1,1))-AVERAGE(OFFSET($H$3,0,0,'Données projet'!$E$9+1,1))</f>
        <v>223.38593045370783</v>
      </c>
      <c r="T80" s="60">
        <f t="shared" si="88"/>
        <v>161.68519532023998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11.727272727272727</v>
      </c>
      <c r="AI80" s="14">
        <f>IF('Données projet'!$A$62&gt;35,AI79+AH80-AQ79,IF(A80&lt;'Données projet'!$A$62,$AF$205^A80,IF(A80='Données projet'!$A$62,'Données projet'!$B$62,AI79+AH80-AQ79)))</f>
        <v>354.27272727272748</v>
      </c>
      <c r="AJ80" s="14">
        <f>AI80*VLOOKUP('Données projet'!$B$10,Paramètres!$A$1:$I$89,3,0)*VLOOKUP('Données projet'!$B$10,Paramètres!$A$1:$I$89,5,0)</f>
        <v>211.85509090909102</v>
      </c>
      <c r="AK80" s="14">
        <f t="shared" si="89"/>
        <v>52.34076199915382</v>
      </c>
      <c r="AL80" s="22">
        <f t="shared" si="58"/>
        <v>460.1411104818597</v>
      </c>
      <c r="AM80" s="60">
        <f t="shared" si="59"/>
        <v>753.47444381519301</v>
      </c>
      <c r="AN80" s="60">
        <f ca="1">AVERAGE(OFFSET($AM$3,0,0,'Données projet'!$E$10+1,1))-AVERAGE(OFFSET($H$3,0,0,'Données projet'!$E$10+1,1))</f>
        <v>216.19747366796145</v>
      </c>
      <c r="AO80" s="60">
        <f t="shared" si="90"/>
        <v>122.08911898780889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1.0492770529950556E-6</v>
      </c>
      <c r="AX80" s="23">
        <f t="shared" si="60"/>
        <v>1.0492770529950556E-6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8.9320512820512761</v>
      </c>
      <c r="BD80" s="13">
        <f>IF('Données projet'!$A$88&gt;35,BD79+BC80-BL79,IF(A80&lt;'Données projet'!$A$88,$BA$205^A80,IF(A80='Données projet'!$A$88,'Données projet'!$B$88,BD79+BC80-BL79)))</f>
        <v>292.97948717948691</v>
      </c>
      <c r="BE80" s="14">
        <f>BD80*VLOOKUP('Données projet'!$B$11,Paramètres!$A$1:$I$89,3,0)*VLOOKUP('Données projet'!$B$11,Paramètres!$A$1:$I$89,5,0)</f>
        <v>137.11439999999988</v>
      </c>
      <c r="BF80" s="14">
        <f t="shared" si="91"/>
        <v>35.635155920090774</v>
      </c>
      <c r="BG80" s="22">
        <f t="shared" si="61"/>
        <v>300.87214322749122</v>
      </c>
      <c r="BH80" s="60">
        <f t="shared" si="62"/>
        <v>594.20547656082454</v>
      </c>
      <c r="BI80" s="60">
        <f ca="1">AVERAGE(OFFSET($BH$3,0,0,'Données projet'!$E$11+1,1))-AVERAGE(OFFSET($H$3,0,0,'Données projet'!$E$11+1,1))</f>
        <v>179.52358670810645</v>
      </c>
      <c r="BJ80" s="60">
        <f t="shared" si="92"/>
        <v>89.471764801078166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3.3333333333333313</v>
      </c>
      <c r="BY80" s="13">
        <f>IF('Données projet'!$A$114&gt;35,BY79+BX80-CG79,IF(A80&lt;'Données projet'!$A$114,$BV$205^A80,IF(A80='Données projet'!$A$114,'Données projet'!$B$114,BY79+BX80-CG79)))</f>
        <v>199.61538461538447</v>
      </c>
      <c r="BZ80" s="14">
        <f>BY80*VLOOKUP('Données projet'!$B$12,Paramètres!$A$1:$I$89,3,0)*VLOOKUP('Données projet'!$B$12,Paramètres!$A$1:$I$89,5,0)</f>
        <v>208.63799999999986</v>
      </c>
      <c r="CA80" s="14">
        <f t="shared" si="93"/>
        <v>51.637841812342764</v>
      </c>
      <c r="CB80" s="22">
        <f t="shared" si="64"/>
        <v>453.31375782316337</v>
      </c>
      <c r="CC80" s="60">
        <f t="shared" si="65"/>
        <v>746.64709115649669</v>
      </c>
      <c r="CD80" s="60">
        <f ca="1">AVERAGE(OFFSET($CC$3,0,0,'Données projet'!$E$12+1,1))-AVERAGE(OFFSET($H$3,0,0,'Données projet'!$E$12+1,1))</f>
        <v>304.57411436867147</v>
      </c>
      <c r="CE80" s="60">
        <f t="shared" si="94"/>
        <v>178.19974548556962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3.3333333333333313</v>
      </c>
      <c r="CT80" s="13">
        <f>IF('Données projet'!$A$140&gt;35,CT79+CS80-DB79,IF(A80&lt;'Données projet'!$A$140,$CQ$205^A80,IF(A80='Données projet'!$A$140,'Données projet'!$B$140,CT79+CS80-DB79)))</f>
        <v>199.61538461538447</v>
      </c>
      <c r="CU80" s="18">
        <f>CT80*VLOOKUP('Données projet'!$B$13,Paramètres!$A$1:$I$89,3,0)*VLOOKUP('Données projet'!$B$13,Paramètres!$A$1:$I$89,5,0)</f>
        <v>193.06799999999984</v>
      </c>
      <c r="CV80" s="14">
        <f t="shared" si="95"/>
        <v>48.217610446683544</v>
      </c>
      <c r="CW80" s="22">
        <f t="shared" si="67"/>
        <v>420.23910486130688</v>
      </c>
      <c r="CX80" s="60">
        <f t="shared" si="68"/>
        <v>713.5724381946402</v>
      </c>
      <c r="CY80" s="60">
        <f ca="1">AVERAGE(OFFSET($CX$3,0,0,'Données projet'!$E$13+1,1))-AVERAGE(OFFSET($H$3,0,0,'Données projet'!$E$13+1,1))</f>
        <v>279.37339904167601</v>
      </c>
      <c r="CZ80" s="60">
        <f t="shared" si="96"/>
        <v>163.80861186980007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0" t="e">
        <f t="shared" si="71"/>
        <v>#N/A</v>
      </c>
      <c r="DT80" s="60" t="e">
        <f ca="1">AVERAGE(OFFSET($DS$3,0,0,'Données projet'!$E$14+1,1))-AVERAGE(OFFSET($H$3,0,0,'Données projet'!$E$14+1,1))</f>
        <v>#N/A</v>
      </c>
      <c r="DU80" s="60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21.293999999999983</v>
      </c>
      <c r="D81" s="12">
        <f t="shared" si="86"/>
        <v>6.8738518981865644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217.4360497403874</v>
      </c>
      <c r="H81" s="68">
        <f t="shared" si="56"/>
        <v>342.3923420560082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6.5015384615384617</v>
      </c>
      <c r="N81" s="14">
        <f>IF('Données projet'!$A$36&gt;35,N80+M81-V80,IF(A81&lt;'Données projet'!$A$36,$K$205^A81,IF(A81='Données projet'!$A$36,'Données projet'!$B$36,N80+M81-V80)))</f>
        <v>322.22769230769239</v>
      </c>
      <c r="O81" s="14">
        <f>N81*VLOOKUP('Données projet'!$B$9,Paramètres!$A$1:$I$89,3,0)*VLOOKUP('Données projet'!$B$9,Paramètres!$A$1:$I$89,5,0)</f>
        <v>192.69216000000009</v>
      </c>
      <c r="P81" s="14">
        <f t="shared" si="87"/>
        <v>48.134662941226772</v>
      </c>
      <c r="Q81" s="22">
        <f t="shared" si="54"/>
        <v>419.4400499559701</v>
      </c>
      <c r="R81" s="60">
        <f t="shared" si="55"/>
        <v>712.77338328930341</v>
      </c>
      <c r="S81" s="60">
        <f ca="1">AVERAGE(OFFSET($R$3,0,0,'Données projet'!$E$9+1,1))-AVERAGE(OFFSET($H$3,0,0,'Données projet'!$E$9+1,1))</f>
        <v>223.38593045370783</v>
      </c>
      <c r="T81" s="60">
        <f t="shared" si="88"/>
        <v>161.68519532023998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>
        <f>VLOOKUP(A81,'Données projet'!$A$61:$I$81,2,0)</f>
        <v>366</v>
      </c>
      <c r="AG81" s="13">
        <f>VLOOKUP(A81,'Données projet'!$A$61:$I$81,9,0)</f>
        <v>11.727272727272727</v>
      </c>
      <c r="AH81" s="13">
        <f t="array" ref="AH81">INDEX(AG:AG,MIN(IF(ISNUMBER(AG81:AG277),ROW(AG81:AG277),"")))</f>
        <v>11.727272727272727</v>
      </c>
      <c r="AI81" s="14">
        <f>IF('Données projet'!$A$62&gt;35,AI80+AH81-AQ80,IF(A81&lt;'Données projet'!$A$62,$AF$205^A81,IF(A81='Données projet'!$A$62,'Données projet'!$B$62,AI80+AH81-AQ80)))</f>
        <v>366.00000000000023</v>
      </c>
      <c r="AJ81" s="14">
        <f>AI81*VLOOKUP('Données projet'!$B$10,Paramètres!$A$1:$I$89,3,0)*VLOOKUP('Données projet'!$B$10,Paramètres!$A$1:$I$89,5,0)</f>
        <v>218.86800000000014</v>
      </c>
      <c r="AK81" s="14">
        <f t="shared" si="89"/>
        <v>53.868777293257544</v>
      </c>
      <c r="AL81" s="22">
        <f t="shared" si="58"/>
        <v>475.01655378575714</v>
      </c>
      <c r="AM81" s="60">
        <f t="shared" si="59"/>
        <v>768.34988711909045</v>
      </c>
      <c r="AN81" s="60">
        <f ca="1">AVERAGE(OFFSET($AM$3,0,0,'Données projet'!$E$10+1,1))-AVERAGE(OFFSET($H$3,0,0,'Données projet'!$E$10+1,1))</f>
        <v>216.19747366796145</v>
      </c>
      <c r="AO81" s="60">
        <f t="shared" si="90"/>
        <v>122.08911898780889</v>
      </c>
      <c r="AP81" s="16">
        <f>IF(ISNA(VLOOKUP(A81,'Données projet'!$A$61:$I$81,3,0)),0,VLOOKUP(A81,'Données projet'!$A$61:$I$81,3,0))</f>
        <v>6</v>
      </c>
      <c r="AQ81" s="16">
        <f>IF(ISNA(VLOOKUP(A81,'Données projet'!$A$61:$I$81,4,0)),0,VLOOKUP(A81,'Données projet'!$A$61:$I$81,4,0))</f>
        <v>100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7.4195091951624021E-7</v>
      </c>
      <c r="AX81" s="23">
        <f t="shared" si="60"/>
        <v>7.4195091951624021E-7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8.9320512820512761</v>
      </c>
      <c r="BD81" s="13">
        <f>IF('Données projet'!$A$88&gt;35,BD80+BC81-BL80,IF(A81&lt;'Données projet'!$A$88,$BA$205^A81,IF(A81='Données projet'!$A$88,'Données projet'!$B$88,BD80+BC81-BL80)))</f>
        <v>301.91153846153816</v>
      </c>
      <c r="BE81" s="14">
        <f>BD81*VLOOKUP('Données projet'!$B$11,Paramètres!$A$1:$I$89,3,0)*VLOOKUP('Données projet'!$B$11,Paramètres!$A$1:$I$89,5,0)</f>
        <v>141.29459999999986</v>
      </c>
      <c r="BF81" s="14">
        <f t="shared" si="91"/>
        <v>36.593421110553088</v>
      </c>
      <c r="BG81" s="22">
        <f t="shared" si="61"/>
        <v>309.82163676754641</v>
      </c>
      <c r="BH81" s="60">
        <f t="shared" si="62"/>
        <v>603.15497010087972</v>
      </c>
      <c r="BI81" s="60">
        <f ca="1">AVERAGE(OFFSET($BH$3,0,0,'Données projet'!$E$11+1,1))-AVERAGE(OFFSET($H$3,0,0,'Données projet'!$E$11+1,1))</f>
        <v>179.52358670810645</v>
      </c>
      <c r="BJ81" s="60">
        <f t="shared" si="92"/>
        <v>89.471764801078166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3.3333333333333313</v>
      </c>
      <c r="BY81" s="13">
        <f>IF('Données projet'!$A$114&gt;35,BY80+BX81-CG80,IF(A81&lt;'Données projet'!$A$114,$BV$205^A81,IF(A81='Données projet'!$A$114,'Données projet'!$B$114,BY80+BX81-CG80)))</f>
        <v>202.94871794871781</v>
      </c>
      <c r="BZ81" s="14">
        <f>BY81*VLOOKUP('Données projet'!$B$12,Paramètres!$A$1:$I$89,3,0)*VLOOKUP('Données projet'!$B$12,Paramètres!$A$1:$I$89,5,0)</f>
        <v>212.1219999999999</v>
      </c>
      <c r="CA81" s="14">
        <f t="shared" si="93"/>
        <v>52.399024400304327</v>
      </c>
      <c r="CB81" s="22">
        <f t="shared" si="64"/>
        <v>460.70745083052981</v>
      </c>
      <c r="CC81" s="60">
        <f t="shared" si="65"/>
        <v>754.04078416386312</v>
      </c>
      <c r="CD81" s="60">
        <f ca="1">AVERAGE(OFFSET($CC$3,0,0,'Données projet'!$E$12+1,1))-AVERAGE(OFFSET($H$3,0,0,'Données projet'!$E$12+1,1))</f>
        <v>304.57411436867147</v>
      </c>
      <c r="CE81" s="60">
        <f t="shared" si="94"/>
        <v>178.19974548556962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3.3333333333333313</v>
      </c>
      <c r="CT81" s="13">
        <f>IF('Données projet'!$A$140&gt;35,CT80+CS81-DB80,IF(A81&lt;'Données projet'!$A$140,$CQ$205^A81,IF(A81='Données projet'!$A$140,'Données projet'!$B$140,CT80+CS81-DB80)))</f>
        <v>202.94871794871781</v>
      </c>
      <c r="CU81" s="18">
        <f>CT81*VLOOKUP('Données projet'!$B$13,Paramètres!$A$1:$I$89,3,0)*VLOOKUP('Données projet'!$B$13,Paramètres!$A$1:$I$89,5,0)</f>
        <v>196.29199999999986</v>
      </c>
      <c r="CV81" s="14">
        <f t="shared" si="95"/>
        <v>48.928376121951537</v>
      </c>
      <c r="CW81" s="22">
        <f t="shared" si="67"/>
        <v>427.09215507906538</v>
      </c>
      <c r="CX81" s="60">
        <f t="shared" si="68"/>
        <v>720.42548841239864</v>
      </c>
      <c r="CY81" s="60">
        <f ca="1">AVERAGE(OFFSET($CX$3,0,0,'Données projet'!$E$13+1,1))-AVERAGE(OFFSET($H$3,0,0,'Données projet'!$E$13+1,1))</f>
        <v>279.37339904167601</v>
      </c>
      <c r="CZ81" s="60">
        <f t="shared" si="96"/>
        <v>163.80861186980007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0" t="e">
        <f t="shared" si="71"/>
        <v>#N/A</v>
      </c>
      <c r="DT81" s="60" t="e">
        <f ca="1">AVERAGE(OFFSET($DS$3,0,0,'Données projet'!$E$14+1,1))-AVERAGE(OFFSET($H$3,0,0,'Données projet'!$E$14+1,1))</f>
        <v>#N/A</v>
      </c>
      <c r="DU81" s="60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21.566999999999982</v>
      </c>
      <c r="D82" s="12">
        <f t="shared" si="86"/>
        <v>6.9516624760355539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220.14406121851994</v>
      </c>
      <c r="H82" s="68">
        <f t="shared" si="56"/>
        <v>343.00333714576186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6.5015384615384617</v>
      </c>
      <c r="N82" s="14">
        <f>IF('Données projet'!$A$36&gt;35,N81+M82-V81,IF(A82&lt;'Données projet'!$A$36,$K$205^A82,IF(A82='Données projet'!$A$36,'Données projet'!$B$36,N81+M82-V81)))</f>
        <v>328.72923076923087</v>
      </c>
      <c r="O82" s="14">
        <f>N82*VLOOKUP('Données projet'!$B$9,Paramètres!$A$1:$I$89,3,0)*VLOOKUP('Données projet'!$B$9,Paramètres!$A$1:$I$89,5,0)</f>
        <v>196.58008000000009</v>
      </c>
      <c r="P82" s="14">
        <f t="shared" si="87"/>
        <v>48.991820032078593</v>
      </c>
      <c r="Q82" s="22">
        <f t="shared" si="54"/>
        <v>427.70439255587036</v>
      </c>
      <c r="R82" s="60">
        <f t="shared" si="55"/>
        <v>721.03772588920367</v>
      </c>
      <c r="S82" s="60">
        <f ca="1">AVERAGE(OFFSET($R$3,0,0,'Données projet'!$E$9+1,1))-AVERAGE(OFFSET($H$3,0,0,'Données projet'!$E$9+1,1))</f>
        <v>223.38593045370783</v>
      </c>
      <c r="T82" s="60">
        <f t="shared" si="88"/>
        <v>161.68519532023998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9.8461538461538467</v>
      </c>
      <c r="AI82" s="14">
        <f>IF('Données projet'!$A$62&gt;35,AI81+AH82-AQ81,IF(A82&lt;'Données projet'!$A$62,$AF$205^A82,IF(A82='Données projet'!$A$62,'Données projet'!$B$62,AI81+AH82-AQ81)))</f>
        <v>275.8461538461541</v>
      </c>
      <c r="AJ82" s="14">
        <f>AI82*VLOOKUP('Données projet'!$B$10,Paramètres!$A$1:$I$89,3,0)*VLOOKUP('Données projet'!$B$10,Paramètres!$A$1:$I$89,5,0)</f>
        <v>164.95600000000016</v>
      </c>
      <c r="AK82" s="14">
        <f t="shared" si="89"/>
        <v>41.958362715874756</v>
      </c>
      <c r="AL82" s="22">
        <f t="shared" si="58"/>
        <v>360.37584839681546</v>
      </c>
      <c r="AM82" s="60">
        <f t="shared" si="59"/>
        <v>653.70918173014877</v>
      </c>
      <c r="AN82" s="60">
        <f ca="1">AVERAGE(OFFSET($AM$3,0,0,'Données projet'!$E$10+1,1))-AVERAGE(OFFSET($H$3,0,0,'Données projet'!$E$10+1,1))</f>
        <v>216.19747366796145</v>
      </c>
      <c r="AO82" s="60">
        <f t="shared" si="90"/>
        <v>122.08911898780889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5.246385264975278E-7</v>
      </c>
      <c r="AX82" s="23">
        <f t="shared" si="60"/>
        <v>5.246385264975278E-7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8.9320512820512761</v>
      </c>
      <c r="BD82" s="13">
        <f>IF('Données projet'!$A$88&gt;35,BD81+BC82-BL81,IF(A82&lt;'Données projet'!$A$88,$BA$205^A82,IF(A82='Données projet'!$A$88,'Données projet'!$B$88,BD81+BC82-BL81)))</f>
        <v>310.8435897435894</v>
      </c>
      <c r="BE82" s="14">
        <f>BD82*VLOOKUP('Données projet'!$B$11,Paramètres!$A$1:$I$89,3,0)*VLOOKUP('Données projet'!$B$11,Paramètres!$A$1:$I$89,5,0)</f>
        <v>145.47479999999985</v>
      </c>
      <c r="BF82" s="14">
        <f t="shared" si="91"/>
        <v>37.548391497194409</v>
      </c>
      <c r="BG82" s="22">
        <f t="shared" si="61"/>
        <v>318.76539185761334</v>
      </c>
      <c r="BH82" s="60">
        <f t="shared" si="62"/>
        <v>612.09872519094665</v>
      </c>
      <c r="BI82" s="60">
        <f ca="1">AVERAGE(OFFSET($BH$3,0,0,'Données projet'!$E$11+1,1))-AVERAGE(OFFSET($H$3,0,0,'Données projet'!$E$11+1,1))</f>
        <v>179.52358670810645</v>
      </c>
      <c r="BJ82" s="60">
        <f t="shared" si="92"/>
        <v>89.471764801078166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3.3333333333333313</v>
      </c>
      <c r="BY82" s="13">
        <f>IF('Données projet'!$A$114&gt;35,BY81+BX82-CG81,IF(A82&lt;'Données projet'!$A$114,$BV$205^A82,IF(A82='Données projet'!$A$114,'Données projet'!$B$114,BY81+BX82-CG81)))</f>
        <v>206.28205128205116</v>
      </c>
      <c r="BZ82" s="14">
        <f>BY82*VLOOKUP('Données projet'!$B$12,Paramètres!$A$1:$I$89,3,0)*VLOOKUP('Données projet'!$B$12,Paramètres!$A$1:$I$89,5,0)</f>
        <v>215.60599999999988</v>
      </c>
      <c r="CA82" s="14">
        <f t="shared" si="93"/>
        <v>53.158753070562781</v>
      </c>
      <c r="CB82" s="22">
        <f t="shared" si="64"/>
        <v>468.09861159789665</v>
      </c>
      <c r="CC82" s="60">
        <f t="shared" si="65"/>
        <v>761.43194493122996</v>
      </c>
      <c r="CD82" s="60">
        <f ca="1">AVERAGE(OFFSET($CC$3,0,0,'Données projet'!$E$12+1,1))-AVERAGE(OFFSET($H$3,0,0,'Données projet'!$E$12+1,1))</f>
        <v>304.57411436867147</v>
      </c>
      <c r="CE82" s="60">
        <f t="shared" si="94"/>
        <v>178.19974548556962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3.3333333333333313</v>
      </c>
      <c r="CT82" s="13">
        <f>IF('Données projet'!$A$140&gt;35,CT81+CS82-DB81,IF(A82&lt;'Données projet'!$A$140,$CQ$205^A82,IF(A82='Données projet'!$A$140,'Données projet'!$B$140,CT81+CS82-DB81)))</f>
        <v>206.28205128205116</v>
      </c>
      <c r="CU82" s="18">
        <f>CT82*VLOOKUP('Données projet'!$B$13,Paramètres!$A$1:$I$89,3,0)*VLOOKUP('Données projet'!$B$13,Paramètres!$A$1:$I$89,5,0)</f>
        <v>199.51599999999988</v>
      </c>
      <c r="CV82" s="14">
        <f t="shared" si="95"/>
        <v>49.63778417972479</v>
      </c>
      <c r="CW82" s="22">
        <f t="shared" si="67"/>
        <v>433.94284077968706</v>
      </c>
      <c r="CX82" s="60">
        <f t="shared" si="68"/>
        <v>727.27617411302037</v>
      </c>
      <c r="CY82" s="60">
        <f ca="1">AVERAGE(OFFSET($CX$3,0,0,'Données projet'!$E$13+1,1))-AVERAGE(OFFSET($H$3,0,0,'Données projet'!$E$13+1,1))</f>
        <v>279.37339904167601</v>
      </c>
      <c r="CZ82" s="60">
        <f t="shared" si="96"/>
        <v>163.80861186980007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0" t="e">
        <f t="shared" si="71"/>
        <v>#N/A</v>
      </c>
      <c r="DT82" s="60" t="e">
        <f ca="1">AVERAGE(OFFSET($DS$3,0,0,'Données projet'!$E$14+1,1))-AVERAGE(OFFSET($H$3,0,0,'Données projet'!$E$14+1,1))</f>
        <v>#N/A</v>
      </c>
      <c r="DU82" s="60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21.839999999999982</v>
      </c>
      <c r="D83" s="12">
        <f t="shared" si="86"/>
        <v>7.0293584875852551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222.8511883252194</v>
      </c>
      <c r="H83" s="68">
        <f t="shared" si="56"/>
        <v>343.61413269921093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335.23076923076923</v>
      </c>
      <c r="L83" s="13">
        <f>VLOOKUP(A83,'Données projet'!$A$35:$I$55,9,0)</f>
        <v>6.5015384615384617</v>
      </c>
      <c r="M83" s="13">
        <f t="array" ref="M83">INDEX(L:L,MIN(IF(ISNUMBER(L83:L279),ROW(L83:L279),"")))</f>
        <v>6.5015384615384617</v>
      </c>
      <c r="N83" s="14">
        <f>IF('Données projet'!$A$36&gt;35,N82+M83-V82,IF(A83&lt;'Données projet'!$A$36,$K$205^A83,IF(A83='Données projet'!$A$36,'Données projet'!$B$36,N82+M83-V82)))</f>
        <v>335.23076923076934</v>
      </c>
      <c r="O83" s="14">
        <f>N83*VLOOKUP('Données projet'!$B$9,Paramètres!$A$1:$I$89,3,0)*VLOOKUP('Données projet'!$B$9,Paramètres!$A$1:$I$89,5,0)</f>
        <v>200.4680000000001</v>
      </c>
      <c r="P83" s="14">
        <f t="shared" si="87"/>
        <v>49.847005965374365</v>
      </c>
      <c r="Q83" s="22">
        <f t="shared" si="54"/>
        <v>435.96530205636054</v>
      </c>
      <c r="R83" s="60">
        <f t="shared" si="55"/>
        <v>729.2986353896938</v>
      </c>
      <c r="S83" s="60">
        <f ca="1">AVERAGE(OFFSET($R$3,0,0,'Données projet'!$E$9+1,1))-AVERAGE(OFFSET($H$3,0,0,'Données projet'!$E$9+1,1))</f>
        <v>223.38593045370783</v>
      </c>
      <c r="T83" s="60">
        <f t="shared" si="88"/>
        <v>161.68519532023998</v>
      </c>
      <c r="U83" s="16">
        <f>IF(ISNA(VLOOKUP(A83,'Données projet'!$A$35:$I$55,3,0)),0,VLOOKUP(A83,'Données projet'!$A$35:$I$55,3,0))</f>
        <v>4</v>
      </c>
      <c r="V83" s="16">
        <f>IF(ISNA(VLOOKUP(A83,'Données projet'!$A$35:$I$55,4,0)),0,VLOOKUP(A83,'Données projet'!$A$35:$I$55,4,0))</f>
        <v>56.992307692307691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9.8461538461538467</v>
      </c>
      <c r="AI83" s="14">
        <f>IF('Données projet'!$A$62&gt;35,AI82+AH83-AQ82,IF(A83&lt;'Données projet'!$A$62,$AF$205^A83,IF(A83='Données projet'!$A$62,'Données projet'!$B$62,AI82+AH83-AQ82)))</f>
        <v>285.69230769230796</v>
      </c>
      <c r="AJ83" s="14">
        <f>AI83*VLOOKUP('Données projet'!$B$10,Paramètres!$A$1:$I$89,3,0)*VLOOKUP('Données projet'!$B$10,Paramètres!$A$1:$I$89,5,0)</f>
        <v>170.84400000000016</v>
      </c>
      <c r="AK83" s="14">
        <f t="shared" si="89"/>
        <v>43.278996990911551</v>
      </c>
      <c r="AL83" s="22">
        <f t="shared" si="58"/>
        <v>372.93088642583785</v>
      </c>
      <c r="AM83" s="60">
        <f t="shared" si="59"/>
        <v>666.26421975917117</v>
      </c>
      <c r="AN83" s="60">
        <f ca="1">AVERAGE(OFFSET($AM$3,0,0,'Données projet'!$E$10+1,1))-AVERAGE(OFFSET($H$3,0,0,'Données projet'!$E$10+1,1))</f>
        <v>216.19747366796145</v>
      </c>
      <c r="AO83" s="60">
        <f t="shared" si="90"/>
        <v>122.08911898780889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3.7097545975812011E-7</v>
      </c>
      <c r="AX83" s="23">
        <f t="shared" si="60"/>
        <v>3.7097545975812011E-7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8.9320512820512761</v>
      </c>
      <c r="BD83" s="13">
        <f>IF('Données projet'!$A$88&gt;35,BD82+BC83-BL82,IF(A83&lt;'Données projet'!$A$88,$BA$205^A83,IF(A83='Données projet'!$A$88,'Données projet'!$B$88,BD82+BC83-BL82)))</f>
        <v>319.77564102564065</v>
      </c>
      <c r="BE83" s="14">
        <f>BD83*VLOOKUP('Données projet'!$B$11,Paramètres!$A$1:$I$89,3,0)*VLOOKUP('Données projet'!$B$11,Paramètres!$A$1:$I$89,5,0)</f>
        <v>149.65499999999983</v>
      </c>
      <c r="BF83" s="14">
        <f t="shared" si="91"/>
        <v>38.500172628917376</v>
      </c>
      <c r="BG83" s="22">
        <f t="shared" si="61"/>
        <v>327.70359232869743</v>
      </c>
      <c r="BH83" s="60">
        <f t="shared" si="62"/>
        <v>621.03692566203074</v>
      </c>
      <c r="BI83" s="60">
        <f ca="1">AVERAGE(OFFSET($BH$3,0,0,'Données projet'!$E$11+1,1))-AVERAGE(OFFSET($H$3,0,0,'Données projet'!$E$11+1,1))</f>
        <v>179.52358670810645</v>
      </c>
      <c r="BJ83" s="60">
        <f t="shared" si="92"/>
        <v>89.471764801078166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209.61538461538461</v>
      </c>
      <c r="BW83" s="13">
        <f>VLOOKUP(A83,'Données projet'!$A$113:$I$133,9,0)</f>
        <v>3.3333333333333313</v>
      </c>
      <c r="BX83" s="13">
        <f t="array" ref="BX83">INDEX(BW:BW,MIN(IF(ISNUMBER(BW83:BW279),ROW(BW83:BW279),"")))</f>
        <v>3.3333333333333313</v>
      </c>
      <c r="BY83" s="13">
        <f>IF('Données projet'!$A$114&gt;35,BY82+BX83-CG82,IF(A83&lt;'Données projet'!$A$114,$BV$205^A83,IF(A83='Données projet'!$A$114,'Données projet'!$B$114,BY82+BX83-CG82)))</f>
        <v>209.6153846153845</v>
      </c>
      <c r="BZ83" s="14">
        <f>BY83*VLOOKUP('Données projet'!$B$12,Paramètres!$A$1:$I$89,3,0)*VLOOKUP('Données projet'!$B$12,Paramètres!$A$1:$I$89,5,0)</f>
        <v>219.08999999999989</v>
      </c>
      <c r="CA83" s="14">
        <f t="shared" si="93"/>
        <v>53.917054029475665</v>
      </c>
      <c r="CB83" s="22">
        <f t="shared" si="64"/>
        <v>475.48728576800335</v>
      </c>
      <c r="CC83" s="60">
        <f t="shared" si="65"/>
        <v>768.82061910133666</v>
      </c>
      <c r="CD83" s="60">
        <f ca="1">AVERAGE(OFFSET($CC$3,0,0,'Données projet'!$E$12+1,1))-AVERAGE(OFFSET($H$3,0,0,'Données projet'!$E$12+1,1))</f>
        <v>304.57411436867147</v>
      </c>
      <c r="CE83" s="60">
        <f t="shared" si="94"/>
        <v>178.19974548556962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17.948717948717949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209.61538461538461</v>
      </c>
      <c r="CR83" s="13">
        <f>VLOOKUP(A83,'Données projet'!$A$139:$I$159,9,0)</f>
        <v>3.3333333333333313</v>
      </c>
      <c r="CS83" s="13">
        <f t="array" ref="CS83">INDEX(CR:CR,MIN(IF(ISNUMBER(CR83:CR279),ROW(CR83:CR279),"")))</f>
        <v>3.3333333333333313</v>
      </c>
      <c r="CT83" s="13">
        <f>IF('Données projet'!$A$140&gt;35,CT82+CS83-DB82,IF(A83&lt;'Données projet'!$A$140,$CQ$205^A83,IF(A83='Données projet'!$A$140,'Données projet'!$B$140,CT82+CS83-DB82)))</f>
        <v>209.6153846153845</v>
      </c>
      <c r="CU83" s="18">
        <f>CT83*VLOOKUP('Données projet'!$B$13,Paramètres!$A$1:$I$89,3,0)*VLOOKUP('Données projet'!$B$13,Paramètres!$A$1:$I$89,5,0)</f>
        <v>202.7399999999999</v>
      </c>
      <c r="CV83" s="14">
        <f t="shared" si="95"/>
        <v>50.345859090583495</v>
      </c>
      <c r="CW83" s="22">
        <f t="shared" si="67"/>
        <v>440.79120458276606</v>
      </c>
      <c r="CX83" s="60">
        <f t="shared" si="68"/>
        <v>734.12453791609937</v>
      </c>
      <c r="CY83" s="60">
        <f ca="1">AVERAGE(OFFSET($CX$3,0,0,'Données projet'!$E$13+1,1))-AVERAGE(OFFSET($H$3,0,0,'Données projet'!$E$13+1,1))</f>
        <v>279.37339904167601</v>
      </c>
      <c r="CZ83" s="60">
        <f t="shared" si="96"/>
        <v>163.80861186980007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17.948717948717949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0" t="e">
        <f t="shared" si="71"/>
        <v>#N/A</v>
      </c>
      <c r="DT83" s="60" t="e">
        <f ca="1">AVERAGE(OFFSET($DS$3,0,0,'Données projet'!$E$14+1,1))-AVERAGE(OFFSET($H$3,0,0,'Données projet'!$E$14+1,1))</f>
        <v>#N/A</v>
      </c>
      <c r="DU83" s="60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22.112999999999982</v>
      </c>
      <c r="D84" s="12">
        <f t="shared" si="86"/>
        <v>7.1069415305295216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225.5574433935611</v>
      </c>
      <c r="H84" s="68">
        <f t="shared" si="56"/>
        <v>344.22473149900554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6.3076923076922977</v>
      </c>
      <c r="N84" s="14">
        <f>IF('Données projet'!$A$36&gt;35,N83+M84-V83,IF(A84&lt;'Données projet'!$A$36,$K$205^A84,IF(A84='Données projet'!$A$36,'Données projet'!$B$36,N83+M84-V83)))</f>
        <v>284.54615384615397</v>
      </c>
      <c r="O84" s="14">
        <f>N84*VLOOKUP('Données projet'!$B$9,Paramètres!$A$1:$I$89,3,0)*VLOOKUP('Données projet'!$B$9,Paramètres!$A$1:$I$89,5,0)</f>
        <v>170.15860000000009</v>
      </c>
      <c r="P84" s="14">
        <f t="shared" si="87"/>
        <v>43.125542781353012</v>
      </c>
      <c r="Q84" s="22">
        <f t="shared" si="54"/>
        <v>371.46988201085668</v>
      </c>
      <c r="R84" s="60">
        <f t="shared" si="55"/>
        <v>664.80321534418999</v>
      </c>
      <c r="S84" s="60">
        <f ca="1">AVERAGE(OFFSET($R$3,0,0,'Données projet'!$E$9+1,1))-AVERAGE(OFFSET($H$3,0,0,'Données projet'!$E$9+1,1))</f>
        <v>223.38593045370783</v>
      </c>
      <c r="T84" s="60">
        <f t="shared" si="88"/>
        <v>161.68519532023998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9.8461538461538467</v>
      </c>
      <c r="AI84" s="14">
        <f>IF('Données projet'!$A$62&gt;35,AI83+AH84-AQ83,IF(A84&lt;'Données projet'!$A$62,$AF$205^A84,IF(A84='Données projet'!$A$62,'Données projet'!$B$62,AI83+AH84-AQ83)))</f>
        <v>295.53846153846183</v>
      </c>
      <c r="AJ84" s="14">
        <f>AI84*VLOOKUP('Données projet'!$B$10,Paramètres!$A$1:$I$89,3,0)*VLOOKUP('Données projet'!$B$10,Paramètres!$A$1:$I$89,5,0)</f>
        <v>176.7320000000002</v>
      </c>
      <c r="AK84" s="14">
        <f t="shared" si="89"/>
        <v>44.594342874150655</v>
      </c>
      <c r="AL84" s="22">
        <f t="shared" si="58"/>
        <v>385.47671383914604</v>
      </c>
      <c r="AM84" s="60">
        <f t="shared" si="59"/>
        <v>678.81004717247936</v>
      </c>
      <c r="AN84" s="60">
        <f ca="1">AVERAGE(OFFSET($AM$3,0,0,'Données projet'!$E$10+1,1))-AVERAGE(OFFSET($H$3,0,0,'Données projet'!$E$10+1,1))</f>
        <v>216.19747366796145</v>
      </c>
      <c r="AO84" s="60">
        <f t="shared" si="90"/>
        <v>122.08911898780889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2.623192632487639E-7</v>
      </c>
      <c r="AX84" s="23">
        <f t="shared" si="60"/>
        <v>2.623192632487639E-7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>
        <f>VLOOKUP(A84,'Données projet'!$A$87:$I$107,2,0)</f>
        <v>328.7076923076923</v>
      </c>
      <c r="BB84" s="13">
        <f>VLOOKUP(A84,'Données projet'!$A$87:$I$107,9,0)</f>
        <v>8.9320512820512761</v>
      </c>
      <c r="BC84" s="13">
        <f t="array" ref="BC84">INDEX(BB:BB,MIN(IF(ISNUMBER(BB84:BB280),ROW(BB84:BB280),"")))</f>
        <v>8.9320512820512761</v>
      </c>
      <c r="BD84" s="13">
        <f>IF('Données projet'!$A$88&gt;35,BD83+BC84-BL83,IF(A84&lt;'Données projet'!$A$88,$BA$205^A84,IF(A84='Données projet'!$A$88,'Données projet'!$B$88,BD83+BC84-BL83)))</f>
        <v>328.7076923076919</v>
      </c>
      <c r="BE84" s="14">
        <f>BD84*VLOOKUP('Données projet'!$B$11,Paramètres!$A$1:$I$89,3,0)*VLOOKUP('Données projet'!$B$11,Paramètres!$A$1:$I$89,5,0)</f>
        <v>153.83519999999982</v>
      </c>
      <c r="BF84" s="14">
        <f t="shared" si="91"/>
        <v>39.44886382269889</v>
      </c>
      <c r="BG84" s="22">
        <f t="shared" si="61"/>
        <v>336.63641115786692</v>
      </c>
      <c r="BH84" s="60">
        <f t="shared" si="62"/>
        <v>629.96974449120023</v>
      </c>
      <c r="BI84" s="60">
        <f ca="1">AVERAGE(OFFSET($BH$3,0,0,'Données projet'!$E$11+1,1))-AVERAGE(OFFSET($H$3,0,0,'Données projet'!$E$11+1,1))</f>
        <v>179.52358670810645</v>
      </c>
      <c r="BJ84" s="60">
        <f t="shared" si="92"/>
        <v>89.471764801078166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3.2051282051282044</v>
      </c>
      <c r="BY84" s="13">
        <f>IF('Données projet'!$A$114&gt;35,BY83+BX84-CG83,IF(A84&lt;'Données projet'!$A$114,$BV$205^A84,IF(A84='Données projet'!$A$114,'Données projet'!$B$114,BY83+BX84-CG83)))</f>
        <v>194.87179487179475</v>
      </c>
      <c r="BZ84" s="14">
        <f>BY84*VLOOKUP('Données projet'!$B$12,Paramètres!$A$1:$I$89,3,0)*VLOOKUP('Données projet'!$B$12,Paramètres!$A$1:$I$89,5,0)</f>
        <v>203.67999999999989</v>
      </c>
      <c r="CA84" s="14">
        <f t="shared" si="93"/>
        <v>50.552060139028619</v>
      </c>
      <c r="CB84" s="22">
        <f t="shared" si="64"/>
        <v>442.78750474214127</v>
      </c>
      <c r="CC84" s="60">
        <f t="shared" si="65"/>
        <v>736.12083807547458</v>
      </c>
      <c r="CD84" s="60">
        <f ca="1">AVERAGE(OFFSET($CC$3,0,0,'Données projet'!$E$12+1,1))-AVERAGE(OFFSET($H$3,0,0,'Données projet'!$E$12+1,1))</f>
        <v>304.57411436867147</v>
      </c>
      <c r="CE84" s="60">
        <f t="shared" si="94"/>
        <v>178.19974548556962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3.2051282051282044</v>
      </c>
      <c r="CT84" s="13">
        <f>IF('Données projet'!$A$140&gt;35,CT83+CS84-DB83,IF(A84&lt;'Données projet'!$A$140,$CQ$205^A84,IF(A84='Données projet'!$A$140,'Données projet'!$B$140,CT83+CS84-DB83)))</f>
        <v>194.87179487179475</v>
      </c>
      <c r="CU84" s="18">
        <f>CT84*VLOOKUP('Données projet'!$B$13,Paramètres!$A$1:$I$89,3,0)*VLOOKUP('Données projet'!$B$13,Paramètres!$A$1:$I$89,5,0)</f>
        <v>188.4799999999999</v>
      </c>
      <c r="CV84" s="14">
        <f t="shared" si="95"/>
        <v>47.203745499649806</v>
      </c>
      <c r="CW84" s="22">
        <f t="shared" si="67"/>
        <v>410.48252341188987</v>
      </c>
      <c r="CX84" s="60">
        <f t="shared" si="68"/>
        <v>703.81585674522319</v>
      </c>
      <c r="CY84" s="60">
        <f ca="1">AVERAGE(OFFSET($CX$3,0,0,'Données projet'!$E$13+1,1))-AVERAGE(OFFSET($H$3,0,0,'Données projet'!$E$13+1,1))</f>
        <v>279.37339904167601</v>
      </c>
      <c r="CZ84" s="60">
        <f t="shared" si="96"/>
        <v>163.80861186980007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0" t="e">
        <f t="shared" si="71"/>
        <v>#N/A</v>
      </c>
      <c r="DT84" s="60" t="e">
        <f ca="1">AVERAGE(OFFSET($DS$3,0,0,'Données projet'!$E$14+1,1))-AVERAGE(OFFSET($H$3,0,0,'Données projet'!$E$14+1,1))</f>
        <v>#N/A</v>
      </c>
      <c r="DU84" s="60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22.385999999999981</v>
      </c>
      <c r="D85" s="12">
        <f t="shared" si="86"/>
        <v>7.1844131608438371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228.26283843458387</v>
      </c>
      <c r="H85" s="68">
        <f t="shared" si="56"/>
        <v>344.83513625513632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6.3076923076922977</v>
      </c>
      <c r="N85" s="14">
        <f>IF('Données projet'!$A$36&gt;35,N84+M85-V84,IF(A85&lt;'Données projet'!$A$36,$K$205^A85,IF(A85='Données projet'!$A$36,'Données projet'!$B$36,N84+M85-V84)))</f>
        <v>290.85384615384629</v>
      </c>
      <c r="O85" s="14">
        <f>N85*VLOOKUP('Données projet'!$B$9,Paramètres!$A$1:$I$89,3,0)*VLOOKUP('Données projet'!$B$9,Paramètres!$A$1:$I$89,5,0)</f>
        <v>173.93060000000008</v>
      </c>
      <c r="P85" s="14">
        <f t="shared" si="87"/>
        <v>43.969172691320942</v>
      </c>
      <c r="Q85" s="22">
        <f t="shared" si="54"/>
        <v>379.50877077071749</v>
      </c>
      <c r="R85" s="60">
        <f t="shared" si="55"/>
        <v>672.8421041040508</v>
      </c>
      <c r="S85" s="60">
        <f ca="1">AVERAGE(OFFSET($R$3,0,0,'Données projet'!$E$9+1,1))-AVERAGE(OFFSET($H$3,0,0,'Données projet'!$E$9+1,1))</f>
        <v>223.38593045370783</v>
      </c>
      <c r="T85" s="60">
        <f t="shared" si="88"/>
        <v>161.68519532023998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9.8461538461538467</v>
      </c>
      <c r="AI85" s="14">
        <f>IF('Données projet'!$A$62&gt;35,AI84+AH85-AQ84,IF(A85&lt;'Données projet'!$A$62,$AF$205^A85,IF(A85='Données projet'!$A$62,'Données projet'!$B$62,AI84+AH85-AQ84)))</f>
        <v>305.3846153846157</v>
      </c>
      <c r="AJ85" s="14">
        <f>AI85*VLOOKUP('Données projet'!$B$10,Paramètres!$A$1:$I$89,3,0)*VLOOKUP('Données projet'!$B$10,Paramètres!$A$1:$I$89,5,0)</f>
        <v>182.62000000000018</v>
      </c>
      <c r="AK85" s="14">
        <f t="shared" si="89"/>
        <v>45.90459675472578</v>
      </c>
      <c r="AL85" s="22">
        <f t="shared" si="58"/>
        <v>398.01367268114768</v>
      </c>
      <c r="AM85" s="60">
        <f t="shared" si="59"/>
        <v>691.34700601448094</v>
      </c>
      <c r="AN85" s="60">
        <f ca="1">AVERAGE(OFFSET($AM$3,0,0,'Données projet'!$E$10+1,1))-AVERAGE(OFFSET($H$3,0,0,'Données projet'!$E$10+1,1))</f>
        <v>216.19747366796145</v>
      </c>
      <c r="AO85" s="60">
        <f t="shared" si="90"/>
        <v>122.08911898780889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1.8548772987906005E-7</v>
      </c>
      <c r="AX85" s="23">
        <f t="shared" si="60"/>
        <v>1.8548772987906005E-7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9.0717948717948698</v>
      </c>
      <c r="BD85" s="13">
        <f>IF('Données projet'!$A$88&gt;35,BD84+BC85-BL84,IF(A85&lt;'Données projet'!$A$88,$BA$205^A85,IF(A85='Données projet'!$A$88,'Données projet'!$B$88,BD84+BC85-BL84)))</f>
        <v>337.77948717948675</v>
      </c>
      <c r="BE85" s="14">
        <f>BD85*VLOOKUP('Données projet'!$B$11,Paramètres!$A$1:$I$89,3,0)*VLOOKUP('Données projet'!$B$11,Paramètres!$A$1:$I$89,5,0)</f>
        <v>158.08079999999978</v>
      </c>
      <c r="BF85" s="14">
        <f t="shared" si="91"/>
        <v>40.409330933945405</v>
      </c>
      <c r="BG85" s="22">
        <f t="shared" si="61"/>
        <v>345.70364470995446</v>
      </c>
      <c r="BH85" s="60">
        <f t="shared" si="62"/>
        <v>639.03697804328772</v>
      </c>
      <c r="BI85" s="60">
        <f ca="1">AVERAGE(OFFSET($BH$3,0,0,'Données projet'!$E$11+1,1))-AVERAGE(OFFSET($H$3,0,0,'Données projet'!$E$11+1,1))</f>
        <v>179.52358670810645</v>
      </c>
      <c r="BJ85" s="60">
        <f t="shared" si="92"/>
        <v>89.471764801078166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3.2051282051282044</v>
      </c>
      <c r="BY85" s="13">
        <f>IF('Données projet'!$A$114&gt;35,BY84+BX85-CG84,IF(A85&lt;'Données projet'!$A$114,$BV$205^A85,IF(A85='Données projet'!$A$114,'Données projet'!$B$114,BY84+BX85-CG84)))</f>
        <v>198.07692307692295</v>
      </c>
      <c r="BZ85" s="14">
        <f>BY85*VLOOKUP('Données projet'!$B$12,Paramètres!$A$1:$I$89,3,0)*VLOOKUP('Données projet'!$B$12,Paramètres!$A$1:$I$89,5,0)</f>
        <v>207.02999999999992</v>
      </c>
      <c r="CA85" s="14">
        <f t="shared" si="93"/>
        <v>51.286028923955122</v>
      </c>
      <c r="CB85" s="22">
        <f t="shared" si="64"/>
        <v>449.90041704255503</v>
      </c>
      <c r="CC85" s="60">
        <f t="shared" si="65"/>
        <v>743.23375037588835</v>
      </c>
      <c r="CD85" s="60">
        <f ca="1">AVERAGE(OFFSET($CC$3,0,0,'Données projet'!$E$12+1,1))-AVERAGE(OFFSET($H$3,0,0,'Données projet'!$E$12+1,1))</f>
        <v>304.57411436867147</v>
      </c>
      <c r="CE85" s="60">
        <f t="shared" si="94"/>
        <v>178.19974548556962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3.2051282051282044</v>
      </c>
      <c r="CT85" s="13">
        <f>IF('Données projet'!$A$140&gt;35,CT84+CS85-DB84,IF(A85&lt;'Données projet'!$A$140,$CQ$205^A85,IF(A85='Données projet'!$A$140,'Données projet'!$B$140,CT84+CS85-DB84)))</f>
        <v>198.07692307692295</v>
      </c>
      <c r="CU85" s="18">
        <f>CT85*VLOOKUP('Données projet'!$B$13,Paramètres!$A$1:$I$89,3,0)*VLOOKUP('Données projet'!$B$13,Paramètres!$A$1:$I$89,5,0)</f>
        <v>191.5799999999999</v>
      </c>
      <c r="CV85" s="14">
        <f t="shared" si="95"/>
        <v>47.889099877553932</v>
      </c>
      <c r="CW85" s="22">
        <f t="shared" si="67"/>
        <v>417.07534895340626</v>
      </c>
      <c r="CX85" s="60">
        <f t="shared" si="68"/>
        <v>710.40868228673958</v>
      </c>
      <c r="CY85" s="60">
        <f ca="1">AVERAGE(OFFSET($CX$3,0,0,'Données projet'!$E$13+1,1))-AVERAGE(OFFSET($H$3,0,0,'Données projet'!$E$13+1,1))</f>
        <v>279.37339904167601</v>
      </c>
      <c r="CZ85" s="60">
        <f t="shared" si="96"/>
        <v>163.80861186980007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0" t="e">
        <f t="shared" si="71"/>
        <v>#N/A</v>
      </c>
      <c r="DT85" s="60" t="e">
        <f ca="1">AVERAGE(OFFSET($DS$3,0,0,'Données projet'!$E$14+1,1))-AVERAGE(OFFSET($H$3,0,0,'Données projet'!$E$14+1,1))</f>
        <v>#N/A</v>
      </c>
      <c r="DU85" s="60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22.658999999999981</v>
      </c>
      <c r="D86" s="12">
        <f t="shared" si="86"/>
        <v>7.2617748943698812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230.96738514952176</v>
      </c>
      <c r="H86" s="68">
        <f t="shared" si="56"/>
        <v>345.44534960769414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6.3076923076922977</v>
      </c>
      <c r="N86" s="14">
        <f>IF('Données projet'!$A$36&gt;35,N85+M86-V85,IF(A86&lt;'Données projet'!$A$36,$K$205^A86,IF(A86='Données projet'!$A$36,'Données projet'!$B$36,N85+M86-V85)))</f>
        <v>297.16153846153861</v>
      </c>
      <c r="O86" s="14">
        <f>N86*VLOOKUP('Données projet'!$B$9,Paramètres!$A$1:$I$89,3,0)*VLOOKUP('Données projet'!$B$9,Paramètres!$A$1:$I$89,5,0)</f>
        <v>177.7026000000001</v>
      </c>
      <c r="P86" s="14">
        <f t="shared" si="87"/>
        <v>44.810675497980817</v>
      </c>
      <c r="Q86" s="22">
        <f t="shared" si="54"/>
        <v>387.54395482565002</v>
      </c>
      <c r="R86" s="60">
        <f t="shared" si="55"/>
        <v>680.87728815898333</v>
      </c>
      <c r="S86" s="60">
        <f ca="1">AVERAGE(OFFSET($R$3,0,0,'Données projet'!$E$9+1,1))-AVERAGE(OFFSET($H$3,0,0,'Données projet'!$E$9+1,1))</f>
        <v>223.38593045370783</v>
      </c>
      <c r="T86" s="60">
        <f t="shared" si="88"/>
        <v>161.68519532023998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9.8461538461538467</v>
      </c>
      <c r="AI86" s="14">
        <f>IF('Données projet'!$A$62&gt;35,AI85+AH86-AQ85,IF(A86&lt;'Données projet'!$A$62,$AF$205^A86,IF(A86='Données projet'!$A$62,'Données projet'!$B$62,AI85+AH86-AQ85)))</f>
        <v>315.23076923076957</v>
      </c>
      <c r="AJ86" s="14">
        <f>AI86*VLOOKUP('Données projet'!$B$10,Paramètres!$A$1:$I$89,3,0)*VLOOKUP('Données projet'!$B$10,Paramètres!$A$1:$I$89,5,0)</f>
        <v>188.50800000000021</v>
      </c>
      <c r="AK86" s="14">
        <f t="shared" si="89"/>
        <v>47.209941638921379</v>
      </c>
      <c r="AL86" s="22">
        <f t="shared" si="58"/>
        <v>410.54208168778837</v>
      </c>
      <c r="AM86" s="60">
        <f t="shared" si="59"/>
        <v>703.87541502112163</v>
      </c>
      <c r="AN86" s="60">
        <f ca="1">AVERAGE(OFFSET($AM$3,0,0,'Données projet'!$E$10+1,1))-AVERAGE(OFFSET($H$3,0,0,'Données projet'!$E$10+1,1))</f>
        <v>216.19747366796145</v>
      </c>
      <c r="AO86" s="60">
        <f t="shared" si="90"/>
        <v>122.08911898780889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1.3115963162438195E-7</v>
      </c>
      <c r="AX86" s="23">
        <f t="shared" si="60"/>
        <v>1.3115963162438195E-7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9.0717948717948698</v>
      </c>
      <c r="BD86" s="13">
        <f>IF('Données projet'!$A$88&gt;35,BD85+BC86-BL85,IF(A86&lt;'Données projet'!$A$88,$BA$205^A86,IF(A86='Données projet'!$A$88,'Données projet'!$B$88,BD85+BC86-BL85)))</f>
        <v>346.8512820512816</v>
      </c>
      <c r="BE86" s="14">
        <f>BD86*VLOOKUP('Données projet'!$B$11,Paramètres!$A$1:$I$89,3,0)*VLOOKUP('Données projet'!$B$11,Paramètres!$A$1:$I$89,5,0)</f>
        <v>162.32639999999978</v>
      </c>
      <c r="BF86" s="14">
        <f t="shared" si="91"/>
        <v>41.366799766899412</v>
      </c>
      <c r="BG86" s="22">
        <f t="shared" si="61"/>
        <v>354.76565626068276</v>
      </c>
      <c r="BH86" s="60">
        <f t="shared" si="62"/>
        <v>648.09898959401607</v>
      </c>
      <c r="BI86" s="60">
        <f ca="1">AVERAGE(OFFSET($BH$3,0,0,'Données projet'!$E$11+1,1))-AVERAGE(OFFSET($H$3,0,0,'Données projet'!$E$11+1,1))</f>
        <v>179.52358670810645</v>
      </c>
      <c r="BJ86" s="60">
        <f t="shared" si="92"/>
        <v>89.471764801078166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3.2051282051282044</v>
      </c>
      <c r="BY86" s="13">
        <f>IF('Données projet'!$A$114&gt;35,BY85+BX86-CG85,IF(A86&lt;'Données projet'!$A$114,$BV$205^A86,IF(A86='Données projet'!$A$114,'Données projet'!$B$114,BY85+BX86-CG85)))</f>
        <v>201.28205128205116</v>
      </c>
      <c r="BZ86" s="14">
        <f>BY86*VLOOKUP('Données projet'!$B$12,Paramètres!$A$1:$I$89,3,0)*VLOOKUP('Données projet'!$B$12,Paramètres!$A$1:$I$89,5,0)</f>
        <v>210.37999999999988</v>
      </c>
      <c r="CA86" s="14">
        <f t="shared" si="93"/>
        <v>52.018616519592918</v>
      </c>
      <c r="CB86" s="22">
        <f t="shared" si="64"/>
        <v>457.01092377162405</v>
      </c>
      <c r="CC86" s="60">
        <f t="shared" si="65"/>
        <v>750.34425710495736</v>
      </c>
      <c r="CD86" s="60">
        <f ca="1">AVERAGE(OFFSET($CC$3,0,0,'Données projet'!$E$12+1,1))-AVERAGE(OFFSET($H$3,0,0,'Données projet'!$E$12+1,1))</f>
        <v>304.57411436867147</v>
      </c>
      <c r="CE86" s="60">
        <f t="shared" si="94"/>
        <v>178.19974548556962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3.2051282051282044</v>
      </c>
      <c r="CT86" s="13">
        <f>IF('Données projet'!$A$140&gt;35,CT85+CS86-DB85,IF(A86&lt;'Données projet'!$A$140,$CQ$205^A86,IF(A86='Données projet'!$A$140,'Données projet'!$B$140,CT85+CS86-DB85)))</f>
        <v>201.28205128205116</v>
      </c>
      <c r="CU86" s="18">
        <f>CT86*VLOOKUP('Données projet'!$B$13,Paramètres!$A$1:$I$89,3,0)*VLOOKUP('Données projet'!$B$13,Paramètres!$A$1:$I$89,5,0)</f>
        <v>194.67999999999986</v>
      </c>
      <c r="CV86" s="14">
        <f t="shared" si="95"/>
        <v>48.573164549212855</v>
      </c>
      <c r="CW86" s="22">
        <f t="shared" si="67"/>
        <v>423.66592825654544</v>
      </c>
      <c r="CX86" s="60">
        <f t="shared" si="68"/>
        <v>716.99926158987876</v>
      </c>
      <c r="CY86" s="60">
        <f ca="1">AVERAGE(OFFSET($CX$3,0,0,'Données projet'!$E$13+1,1))-AVERAGE(OFFSET($H$3,0,0,'Données projet'!$E$13+1,1))</f>
        <v>279.37339904167601</v>
      </c>
      <c r="CZ86" s="60">
        <f t="shared" si="96"/>
        <v>163.80861186980007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0" t="e">
        <f t="shared" si="71"/>
        <v>#N/A</v>
      </c>
      <c r="DT86" s="60" t="e">
        <f ca="1">AVERAGE(OFFSET($DS$3,0,0,'Données projet'!$E$14+1,1))-AVERAGE(OFFSET($H$3,0,0,'Données projet'!$E$14+1,1))</f>
        <v>#N/A</v>
      </c>
      <c r="DU86" s="60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22.931999999999981</v>
      </c>
      <c r="D87" s="12">
        <f t="shared" si="86"/>
        <v>7.3390282083215013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233.671094941429</v>
      </c>
      <c r="H87" s="68">
        <f t="shared" si="56"/>
        <v>346.0553741294932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6.3076923076922977</v>
      </c>
      <c r="N87" s="14">
        <f>IF('Données projet'!$A$36&gt;35,N86+M87-V86,IF(A87&lt;'Données projet'!$A$36,$K$205^A87,IF(A87='Données projet'!$A$36,'Données projet'!$B$36,N86+M87-V86)))</f>
        <v>303.46923076923093</v>
      </c>
      <c r="O87" s="14">
        <f>N87*VLOOKUP('Données projet'!$B$9,Paramètres!$A$1:$I$89,3,0)*VLOOKUP('Données projet'!$B$9,Paramètres!$A$1:$I$89,5,0)</f>
        <v>181.47460000000009</v>
      </c>
      <c r="P87" s="14">
        <f t="shared" si="87"/>
        <v>45.650101553221653</v>
      </c>
      <c r="Q87" s="22">
        <f t="shared" si="54"/>
        <v>395.57552187186116</v>
      </c>
      <c r="R87" s="60">
        <f t="shared" si="55"/>
        <v>688.90885520519441</v>
      </c>
      <c r="S87" s="60">
        <f ca="1">AVERAGE(OFFSET($R$3,0,0,'Données projet'!$E$9+1,1))-AVERAGE(OFFSET($H$3,0,0,'Données projet'!$E$9+1,1))</f>
        <v>223.38593045370783</v>
      </c>
      <c r="T87" s="60">
        <f t="shared" si="88"/>
        <v>161.68519532023998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9.8461538461538467</v>
      </c>
      <c r="AI87" s="14">
        <f>IF('Données projet'!$A$62&gt;35,AI86+AH87-AQ86,IF(A87&lt;'Données projet'!$A$62,$AF$205^A87,IF(A87='Données projet'!$A$62,'Données projet'!$B$62,AI86+AH87-AQ86)))</f>
        <v>325.07692307692344</v>
      </c>
      <c r="AJ87" s="14">
        <f>AI87*VLOOKUP('Données projet'!$B$10,Paramètres!$A$1:$I$89,3,0)*VLOOKUP('Données projet'!$B$10,Paramètres!$A$1:$I$89,5,0)</f>
        <v>194.39600000000024</v>
      </c>
      <c r="AK87" s="14">
        <f t="shared" si="89"/>
        <v>48.510548451355611</v>
      </c>
      <c r="AL87" s="22">
        <f t="shared" si="58"/>
        <v>423.06223855277807</v>
      </c>
      <c r="AM87" s="60">
        <f t="shared" si="59"/>
        <v>716.39557188611138</v>
      </c>
      <c r="AN87" s="60">
        <f ca="1">AVERAGE(OFFSET($AM$3,0,0,'Données projet'!$E$10+1,1))-AVERAGE(OFFSET($H$3,0,0,'Données projet'!$E$10+1,1))</f>
        <v>216.19747366796145</v>
      </c>
      <c r="AO87" s="60">
        <f t="shared" si="90"/>
        <v>122.08911898780889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9.2743864939530027E-8</v>
      </c>
      <c r="AX87" s="23">
        <f t="shared" si="60"/>
        <v>9.2743864939530027E-8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9.0717948717948698</v>
      </c>
      <c r="BD87" s="13">
        <f>IF('Données projet'!$A$88&gt;35,BD86+BC87-BL86,IF(A87&lt;'Données projet'!$A$88,$BA$205^A87,IF(A87='Données projet'!$A$88,'Données projet'!$B$88,BD86+BC87-BL86)))</f>
        <v>355.92307692307645</v>
      </c>
      <c r="BE87" s="14">
        <f>BD87*VLOOKUP('Données projet'!$B$11,Paramètres!$A$1:$I$89,3,0)*VLOOKUP('Données projet'!$B$11,Paramètres!$A$1:$I$89,5,0)</f>
        <v>166.57199999999978</v>
      </c>
      <c r="BF87" s="14">
        <f t="shared" si="91"/>
        <v>42.321357755693079</v>
      </c>
      <c r="BG87" s="22">
        <f t="shared" si="61"/>
        <v>363.82259809116505</v>
      </c>
      <c r="BH87" s="60">
        <f t="shared" si="62"/>
        <v>657.15593142449836</v>
      </c>
      <c r="BI87" s="60">
        <f ca="1">AVERAGE(OFFSET($BH$3,0,0,'Données projet'!$E$11+1,1))-AVERAGE(OFFSET($H$3,0,0,'Données projet'!$E$11+1,1))</f>
        <v>179.52358670810645</v>
      </c>
      <c r="BJ87" s="60">
        <f t="shared" si="92"/>
        <v>89.471764801078166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3.2051282051282044</v>
      </c>
      <c r="BY87" s="13">
        <f>IF('Données projet'!$A$114&gt;35,BY86+BX87-CG86,IF(A87&lt;'Données projet'!$A$114,$BV$205^A87,IF(A87='Données projet'!$A$114,'Données projet'!$B$114,BY86+BX87-CG86)))</f>
        <v>204.48717948717936</v>
      </c>
      <c r="BZ87" s="14">
        <f>BY87*VLOOKUP('Données projet'!$B$12,Paramètres!$A$1:$I$89,3,0)*VLOOKUP('Données projet'!$B$12,Paramètres!$A$1:$I$89,5,0)</f>
        <v>213.7299999999999</v>
      </c>
      <c r="CA87" s="14">
        <f t="shared" si="93"/>
        <v>52.749847458788246</v>
      </c>
      <c r="CB87" s="22">
        <f t="shared" si="64"/>
        <v>464.11906765738928</v>
      </c>
      <c r="CC87" s="60">
        <f t="shared" si="65"/>
        <v>757.45240099072259</v>
      </c>
      <c r="CD87" s="60">
        <f ca="1">AVERAGE(OFFSET($CC$3,0,0,'Données projet'!$E$12+1,1))-AVERAGE(OFFSET($H$3,0,0,'Données projet'!$E$12+1,1))</f>
        <v>304.57411436867147</v>
      </c>
      <c r="CE87" s="60">
        <f t="shared" si="94"/>
        <v>178.19974548556962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3.2051282051282044</v>
      </c>
      <c r="CT87" s="13">
        <f>IF('Données projet'!$A$140&gt;35,CT86+CS87-DB86,IF(A87&lt;'Données projet'!$A$140,$CQ$205^A87,IF(A87='Données projet'!$A$140,'Données projet'!$B$140,CT86+CS87-DB86)))</f>
        <v>204.48717948717936</v>
      </c>
      <c r="CU87" s="18">
        <f>CT87*VLOOKUP('Données projet'!$B$13,Paramètres!$A$1:$I$89,3,0)*VLOOKUP('Données projet'!$B$13,Paramètres!$A$1:$I$89,5,0)</f>
        <v>197.77999999999989</v>
      </c>
      <c r="CV87" s="14">
        <f t="shared" si="95"/>
        <v>49.255962422540271</v>
      </c>
      <c r="CW87" s="22">
        <f t="shared" si="67"/>
        <v>430.25430121925746</v>
      </c>
      <c r="CX87" s="60">
        <f t="shared" si="68"/>
        <v>723.58763455259077</v>
      </c>
      <c r="CY87" s="60">
        <f ca="1">AVERAGE(OFFSET($CX$3,0,0,'Données projet'!$E$13+1,1))-AVERAGE(OFFSET($H$3,0,0,'Données projet'!$E$13+1,1))</f>
        <v>279.37339904167601</v>
      </c>
      <c r="CZ87" s="60">
        <f t="shared" si="96"/>
        <v>163.80861186980007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0" t="e">
        <f t="shared" si="71"/>
        <v>#N/A</v>
      </c>
      <c r="DT87" s="60" t="e">
        <f ca="1">AVERAGE(OFFSET($DS$3,0,0,'Données projet'!$E$14+1,1))-AVERAGE(OFFSET($H$3,0,0,'Données projet'!$E$14+1,1))</f>
        <v>#N/A</v>
      </c>
      <c r="DU87" s="60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23.204999999999981</v>
      </c>
      <c r="D88" s="12">
        <f t="shared" si="86"/>
        <v>7.4161745427169539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236.37397892623599</v>
      </c>
      <c r="H88" s="68">
        <f t="shared" si="56"/>
        <v>346.6652123285653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309.77692307692303</v>
      </c>
      <c r="L88" s="13">
        <f>VLOOKUP(A88,'Données projet'!$A$35:$I$55,9,0)</f>
        <v>6.3076923076922977</v>
      </c>
      <c r="M88" s="13">
        <f t="array" ref="M88">INDEX(L:L,MIN(IF(ISNUMBER(L88:L284),ROW(L88:L284),"")))</f>
        <v>6.3076923076922977</v>
      </c>
      <c r="N88" s="14">
        <f>IF('Données projet'!$A$36&gt;35,N87+M88-V87,IF(A88&lt;'Données projet'!$A$36,$K$205^A88,IF(A88='Données projet'!$A$36,'Données projet'!$B$36,N87+M88-V87)))</f>
        <v>309.77692307692325</v>
      </c>
      <c r="O88" s="14">
        <f>N88*VLOOKUP('Données projet'!$B$9,Paramètres!$A$1:$I$89,3,0)*VLOOKUP('Données projet'!$B$9,Paramètres!$A$1:$I$89,5,0)</f>
        <v>185.24660000000011</v>
      </c>
      <c r="P88" s="14">
        <f t="shared" si="87"/>
        <v>46.487498996153711</v>
      </c>
      <c r="Q88" s="22">
        <f t="shared" si="54"/>
        <v>403.60355575163453</v>
      </c>
      <c r="R88" s="60">
        <f t="shared" si="55"/>
        <v>696.93688908496779</v>
      </c>
      <c r="S88" s="60">
        <f ca="1">AVERAGE(OFFSET($R$3,0,0,'Données projet'!$E$9+1,1))-AVERAGE(OFFSET($H$3,0,0,'Données projet'!$E$9+1,1))</f>
        <v>223.38593045370783</v>
      </c>
      <c r="T88" s="60">
        <f t="shared" si="88"/>
        <v>161.68519532023998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9.8461538461538467</v>
      </c>
      <c r="AI88" s="14">
        <f>IF('Données projet'!$A$62&gt;35,AI87+AH88-AQ87,IF(A88&lt;'Données projet'!$A$62,$AF$205^A88,IF(A88='Données projet'!$A$62,'Données projet'!$B$62,AI87+AH88-AQ87)))</f>
        <v>334.9230769230773</v>
      </c>
      <c r="AJ88" s="14">
        <f>AI88*VLOOKUP('Données projet'!$B$10,Paramètres!$A$1:$I$89,3,0)*VLOOKUP('Données projet'!$B$10,Paramètres!$A$1:$I$89,5,0)</f>
        <v>200.28400000000025</v>
      </c>
      <c r="AK88" s="14">
        <f t="shared" si="89"/>
        <v>49.806577174089412</v>
      </c>
      <c r="AL88" s="22">
        <f t="shared" si="58"/>
        <v>435.5744219115395</v>
      </c>
      <c r="AM88" s="60">
        <f t="shared" si="59"/>
        <v>728.90775524487276</v>
      </c>
      <c r="AN88" s="60">
        <f ca="1">AVERAGE(OFFSET($AM$3,0,0,'Données projet'!$E$10+1,1))-AVERAGE(OFFSET($H$3,0,0,'Données projet'!$E$10+1,1))</f>
        <v>216.19747366796145</v>
      </c>
      <c r="AO88" s="60">
        <f t="shared" si="90"/>
        <v>122.08911898780889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6.5579815812190974E-8</v>
      </c>
      <c r="AX88" s="23">
        <f t="shared" si="60"/>
        <v>6.5579815812190974E-8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9.0717948717948698</v>
      </c>
      <c r="BD88" s="13">
        <f>IF('Données projet'!$A$88&gt;35,BD87+BC88-BL87,IF(A88&lt;'Données projet'!$A$88,$BA$205^A88,IF(A88='Données projet'!$A$88,'Données projet'!$B$88,BD87+BC88-BL87)))</f>
        <v>364.9948717948713</v>
      </c>
      <c r="BE88" s="14">
        <f>BD88*VLOOKUP('Données projet'!$B$11,Paramètres!$A$1:$I$89,3,0)*VLOOKUP('Données projet'!$B$11,Paramètres!$A$1:$I$89,5,0)</f>
        <v>170.81759999999977</v>
      </c>
      <c r="BF88" s="14">
        <f t="shared" si="91"/>
        <v>43.273087623453243</v>
      </c>
      <c r="BG88" s="22">
        <f t="shared" si="61"/>
        <v>372.87461427751396</v>
      </c>
      <c r="BH88" s="60">
        <f t="shared" si="62"/>
        <v>666.20794761084721</v>
      </c>
      <c r="BI88" s="60">
        <f ca="1">AVERAGE(OFFSET($BH$3,0,0,'Données projet'!$E$11+1,1))-AVERAGE(OFFSET($H$3,0,0,'Données projet'!$E$11+1,1))</f>
        <v>179.52358670810645</v>
      </c>
      <c r="BJ88" s="60">
        <f t="shared" si="92"/>
        <v>89.471764801078166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207.69230769230768</v>
      </c>
      <c r="BW88" s="13">
        <f>VLOOKUP(A88,'Données projet'!$A$113:$I$133,9,0)</f>
        <v>3.2051282051282044</v>
      </c>
      <c r="BX88" s="13">
        <f t="array" ref="BX88">INDEX(BW:BW,MIN(IF(ISNUMBER(BW88:BW284),ROW(BW88:BW284),"")))</f>
        <v>3.2051282051282044</v>
      </c>
      <c r="BY88" s="13">
        <f>IF('Données projet'!$A$114&gt;35,BY87+BX88-CG87,IF(A88&lt;'Données projet'!$A$114,$BV$205^A88,IF(A88='Données projet'!$A$114,'Données projet'!$B$114,BY87+BX88-CG87)))</f>
        <v>207.69230769230757</v>
      </c>
      <c r="BZ88" s="14">
        <f>BY88*VLOOKUP('Données projet'!$B$12,Paramètres!$A$1:$I$89,3,0)*VLOOKUP('Données projet'!$B$12,Paramètres!$A$1:$I$89,5,0)</f>
        <v>217.0799999999999</v>
      </c>
      <c r="CA88" s="14">
        <f t="shared" si="93"/>
        <v>53.479745461216197</v>
      </c>
      <c r="CB88" s="22">
        <f t="shared" si="64"/>
        <v>471.22489001161802</v>
      </c>
      <c r="CC88" s="60">
        <f t="shared" si="65"/>
        <v>764.55822334495133</v>
      </c>
      <c r="CD88" s="60">
        <f ca="1">AVERAGE(OFFSET($CC$3,0,0,'Données projet'!$E$12+1,1))-AVERAGE(OFFSET($H$3,0,0,'Données projet'!$E$12+1,1))</f>
        <v>304.57411436867147</v>
      </c>
      <c r="CE88" s="60">
        <f t="shared" si="94"/>
        <v>178.19974548556962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207.69230769230768</v>
      </c>
      <c r="CR88" s="13">
        <f>VLOOKUP(A88,'Données projet'!$A$139:$I$159,9,0)</f>
        <v>3.2051282051282044</v>
      </c>
      <c r="CS88" s="13">
        <f t="array" ref="CS88">INDEX(CR:CR,MIN(IF(ISNUMBER(CR88:CR284),ROW(CR88:CR284),"")))</f>
        <v>3.2051282051282044</v>
      </c>
      <c r="CT88" s="13">
        <f>IF('Données projet'!$A$140&gt;35,CT87+CS88-DB87,IF(A88&lt;'Données projet'!$A$140,$CQ$205^A88,IF(A88='Données projet'!$A$140,'Données projet'!$B$140,CT87+CS88-DB87)))</f>
        <v>207.69230769230757</v>
      </c>
      <c r="CU88" s="18">
        <f>CT88*VLOOKUP('Données projet'!$B$13,Paramètres!$A$1:$I$89,3,0)*VLOOKUP('Données projet'!$B$13,Paramètres!$A$1:$I$89,5,0)</f>
        <v>200.87999999999988</v>
      </c>
      <c r="CV88" s="14">
        <f t="shared" si="95"/>
        <v>49.937515646139005</v>
      </c>
      <c r="CW88" s="22">
        <f t="shared" si="67"/>
        <v>436.84050641702515</v>
      </c>
      <c r="CX88" s="60">
        <f t="shared" si="68"/>
        <v>730.17383975035841</v>
      </c>
      <c r="CY88" s="60">
        <f ca="1">AVERAGE(OFFSET($CX$3,0,0,'Données projet'!$E$13+1,1))-AVERAGE(OFFSET($H$3,0,0,'Données projet'!$E$13+1,1))</f>
        <v>279.37339904167601</v>
      </c>
      <c r="CZ88" s="60">
        <f t="shared" si="96"/>
        <v>163.80861186980007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0" t="e">
        <f t="shared" si="71"/>
        <v>#N/A</v>
      </c>
      <c r="DT88" s="60" t="e">
        <f ca="1">AVERAGE(OFFSET($DS$3,0,0,'Données projet'!$E$14+1,1))-AVERAGE(OFFSET($H$3,0,0,'Données projet'!$E$14+1,1))</f>
        <v>#N/A</v>
      </c>
      <c r="DU88" s="60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</v>
      </c>
      <c r="D89" s="12">
        <f t="shared" si="86"/>
        <v>7.4932153017418131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239.07604794326997</v>
      </c>
      <c r="H89" s="68">
        <f t="shared" si="56"/>
        <v>347.27486665053357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6.2153846153846306</v>
      </c>
      <c r="N89" s="14">
        <f>IF('Données projet'!$A$36&gt;35,N88+M89-V88,IF(A89&lt;'Données projet'!$A$36,$K$205^A89,IF(A89='Données projet'!$A$36,'Données projet'!$B$36,N88+M89-V88)))</f>
        <v>315.99230769230786</v>
      </c>
      <c r="O89" s="14">
        <f>N89*VLOOKUP('Données projet'!$B$9,Paramètres!$A$1:$I$89,3,0)*VLOOKUP('Données projet'!$B$9,Paramètres!$A$1:$I$89,5,0)</f>
        <v>188.96340000000012</v>
      </c>
      <c r="P89" s="14">
        <f t="shared" si="87"/>
        <v>47.310702390879683</v>
      </c>
      <c r="Q89" s="22">
        <f t="shared" si="54"/>
        <v>411.51072833078229</v>
      </c>
      <c r="R89" s="60">
        <f t="shared" si="55"/>
        <v>704.84406166411554</v>
      </c>
      <c r="S89" s="60">
        <f ca="1">AVERAGE(OFFSET($R$3,0,0,'Données projet'!$E$9+1,1))-AVERAGE(OFFSET($H$3,0,0,'Données projet'!$E$9+1,1))</f>
        <v>223.38593045370783</v>
      </c>
      <c r="T89" s="60">
        <f t="shared" si="88"/>
        <v>161.68519532023998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9.8461538461538467</v>
      </c>
      <c r="AI89" s="14">
        <f>IF('Données projet'!$A$62&gt;35,AI88+AH89-AQ88,IF(A89&lt;'Données projet'!$A$62,$AF$205^A89,IF(A89='Données projet'!$A$62,'Données projet'!$B$62,AI88+AH89-AQ88)))</f>
        <v>344.76923076923117</v>
      </c>
      <c r="AJ89" s="14">
        <f>AI89*VLOOKUP('Données projet'!$B$10,Paramètres!$A$1:$I$89,3,0)*VLOOKUP('Données projet'!$B$10,Paramètres!$A$1:$I$89,5,0)</f>
        <v>206.17200000000028</v>
      </c>
      <c r="AK89" s="14">
        <f t="shared" si="89"/>
        <v>51.098177848020335</v>
      </c>
      <c r="AL89" s="22">
        <f t="shared" si="58"/>
        <v>448.07889308530258</v>
      </c>
      <c r="AM89" s="60">
        <f t="shared" si="59"/>
        <v>741.4122264186359</v>
      </c>
      <c r="AN89" s="60">
        <f ca="1">AVERAGE(OFFSET($AM$3,0,0,'Données projet'!$E$10+1,1))-AVERAGE(OFFSET($H$3,0,0,'Données projet'!$E$10+1,1))</f>
        <v>216.19747366796145</v>
      </c>
      <c r="AO89" s="60">
        <f t="shared" si="90"/>
        <v>122.08911898780889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4.6371932469765013E-8</v>
      </c>
      <c r="AX89" s="23">
        <f t="shared" si="60"/>
        <v>4.6371932469765013E-8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9.0717948717948698</v>
      </c>
      <c r="BD89" s="13">
        <f>IF('Données projet'!$A$88&gt;35,BD88+BC89-BL88,IF(A89&lt;'Données projet'!$A$88,$BA$205^A89,IF(A89='Données projet'!$A$88,'Données projet'!$B$88,BD88+BC89-BL88)))</f>
        <v>374.06666666666615</v>
      </c>
      <c r="BE89" s="14">
        <f>BD89*VLOOKUP('Données projet'!$B$11,Paramètres!$A$1:$I$89,3,0)*VLOOKUP('Données projet'!$B$11,Paramètres!$A$1:$I$89,5,0)</f>
        <v>175.06319999999977</v>
      </c>
      <c r="BF89" s="14">
        <f t="shared" si="91"/>
        <v>44.222067746824685</v>
      </c>
      <c r="BG89" s="22">
        <f t="shared" si="61"/>
        <v>381.92184132571924</v>
      </c>
      <c r="BH89" s="60">
        <f t="shared" si="62"/>
        <v>675.2551746590525</v>
      </c>
      <c r="BI89" s="60">
        <f ca="1">AVERAGE(OFFSET($BH$3,0,0,'Données projet'!$E$11+1,1))-AVERAGE(OFFSET($H$3,0,0,'Données projet'!$E$11+1,1))</f>
        <v>179.52358670810645</v>
      </c>
      <c r="BJ89" s="60">
        <f t="shared" si="92"/>
        <v>89.471764801078166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2.9487179487179502</v>
      </c>
      <c r="BY89" s="13">
        <f>IF('Données projet'!$A$114&gt;35,BY88+BX89-CG88,IF(A89&lt;'Données projet'!$A$114,$BV$205^A89,IF(A89='Données projet'!$A$114,'Données projet'!$B$114,BY88+BX89-CG88)))</f>
        <v>210.64102564102552</v>
      </c>
      <c r="BZ89" s="14">
        <f>BY89*VLOOKUP('Données projet'!$B$12,Paramètres!$A$1:$I$89,3,0)*VLOOKUP('Données projet'!$B$12,Paramètres!$A$1:$I$89,5,0)</f>
        <v>220.16199999999989</v>
      </c>
      <c r="CA89" s="14">
        <f t="shared" si="93"/>
        <v>54.150094111630509</v>
      </c>
      <c r="CB89" s="22">
        <f t="shared" si="64"/>
        <v>477.76023057775632</v>
      </c>
      <c r="CC89" s="60">
        <f t="shared" si="65"/>
        <v>771.09356391108963</v>
      </c>
      <c r="CD89" s="60">
        <f ca="1">AVERAGE(OFFSET($CC$3,0,0,'Données projet'!$E$12+1,1))-AVERAGE(OFFSET($H$3,0,0,'Données projet'!$E$12+1,1))</f>
        <v>304.57411436867147</v>
      </c>
      <c r="CE89" s="60">
        <f t="shared" si="94"/>
        <v>178.19974548556962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2.9487179487179502</v>
      </c>
      <c r="CT89" s="13">
        <f>IF('Données projet'!$A$140&gt;35,CT88+CS89-DB88,IF(A89&lt;'Données projet'!$A$140,$CQ$205^A89,IF(A89='Données projet'!$A$140,'Données projet'!$B$140,CT88+CS89-DB88)))</f>
        <v>210.64102564102552</v>
      </c>
      <c r="CU89" s="18">
        <f>CT89*VLOOKUP('Données projet'!$B$13,Paramètres!$A$1:$I$89,3,0)*VLOOKUP('Données projet'!$B$13,Paramètres!$A$1:$I$89,5,0)</f>
        <v>203.73199999999989</v>
      </c>
      <c r="CV89" s="14">
        <f t="shared" si="95"/>
        <v>50.56346376780138</v>
      </c>
      <c r="CW89" s="22">
        <f t="shared" si="67"/>
        <v>442.89793272892052</v>
      </c>
      <c r="CX89" s="60">
        <f t="shared" si="68"/>
        <v>736.23126606225378</v>
      </c>
      <c r="CY89" s="60">
        <f ca="1">AVERAGE(OFFSET($CX$3,0,0,'Données projet'!$E$13+1,1))-AVERAGE(OFFSET($H$3,0,0,'Données projet'!$E$13+1,1))</f>
        <v>279.37339904167601</v>
      </c>
      <c r="CZ89" s="60">
        <f t="shared" si="96"/>
        <v>163.80861186980007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0" t="e">
        <f t="shared" si="71"/>
        <v>#N/A</v>
      </c>
      <c r="DT89" s="60" t="e">
        <f ca="1">AVERAGE(OFFSET($DS$3,0,0,'Données projet'!$E$14+1,1))-AVERAGE(OFFSET($H$3,0,0,'Données projet'!$E$14+1,1))</f>
        <v>#N/A</v>
      </c>
      <c r="DU89" s="60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23.75099999999998</v>
      </c>
      <c r="D90" s="12">
        <f t="shared" si="86"/>
        <v>7.5701518550466886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241.77731256527258</v>
      </c>
      <c r="H90" s="68">
        <f t="shared" si="56"/>
        <v>347.88433948087294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6.2153846153846306</v>
      </c>
      <c r="N90" s="14">
        <f>IF('Données projet'!$A$36&gt;35,N89+M90-V89,IF(A90&lt;'Données projet'!$A$36,$K$205^A90,IF(A90='Données projet'!$A$36,'Données projet'!$B$36,N89+M90-V89)))</f>
        <v>322.20769230769247</v>
      </c>
      <c r="O90" s="14">
        <f>N90*VLOOKUP('Données projet'!$B$9,Paramètres!$A$1:$I$89,3,0)*VLOOKUP('Données projet'!$B$9,Paramètres!$A$1:$I$89,5,0)</f>
        <v>192.6802000000001</v>
      </c>
      <c r="P90" s="14">
        <f t="shared" si="87"/>
        <v>48.132023072411428</v>
      </c>
      <c r="Q90" s="22">
        <f t="shared" si="54"/>
        <v>419.41462185111681</v>
      </c>
      <c r="R90" s="60">
        <f t="shared" si="55"/>
        <v>712.74795518445012</v>
      </c>
      <c r="S90" s="60">
        <f ca="1">AVERAGE(OFFSET($R$3,0,0,'Données projet'!$E$9+1,1))-AVERAGE(OFFSET($H$3,0,0,'Données projet'!$E$9+1,1))</f>
        <v>223.38593045370783</v>
      </c>
      <c r="T90" s="60">
        <f t="shared" si="88"/>
        <v>161.68519532023998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9.8461538461538467</v>
      </c>
      <c r="AI90" s="14">
        <f>IF('Données projet'!$A$62&gt;35,AI89+AH90-AQ89,IF(A90&lt;'Données projet'!$A$62,$AF$205^A90,IF(A90='Données projet'!$A$62,'Données projet'!$B$62,AI89+AH90-AQ89)))</f>
        <v>354.61538461538504</v>
      </c>
      <c r="AJ90" s="14">
        <f>AI90*VLOOKUP('Données projet'!$B$10,Paramètres!$A$1:$I$89,3,0)*VLOOKUP('Données projet'!$B$10,Paramètres!$A$1:$I$89,5,0)</f>
        <v>212.06000000000026</v>
      </c>
      <c r="AK90" s="14">
        <f t="shared" si="89"/>
        <v>52.385491456666884</v>
      </c>
      <c r="AL90" s="22">
        <f t="shared" si="58"/>
        <v>460.5758976203619</v>
      </c>
      <c r="AM90" s="60">
        <f t="shared" si="59"/>
        <v>753.90923095369521</v>
      </c>
      <c r="AN90" s="60">
        <f ca="1">AVERAGE(OFFSET($AM$3,0,0,'Données projet'!$E$10+1,1))-AVERAGE(OFFSET($H$3,0,0,'Données projet'!$E$10+1,1))</f>
        <v>216.19747366796145</v>
      </c>
      <c r="AO90" s="60">
        <f t="shared" si="90"/>
        <v>122.08911898780889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3.2789907906095487E-8</v>
      </c>
      <c r="AX90" s="23">
        <f t="shared" si="60"/>
        <v>3.2789907906095487E-8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>
        <f>VLOOKUP(A90,'Données projet'!$A$87:$I$107,2,0)</f>
        <v>383.13846153846151</v>
      </c>
      <c r="BB90" s="13">
        <f>VLOOKUP(A90,'Données projet'!$A$87:$I$107,9,0)</f>
        <v>9.0717948717948698</v>
      </c>
      <c r="BC90" s="13">
        <f t="array" ref="BC90">INDEX(BB:BB,MIN(IF(ISNUMBER(BB90:BB286),ROW(BB90:BB286),"")))</f>
        <v>9.0717948717948698</v>
      </c>
      <c r="BD90" s="13">
        <f>IF('Données projet'!$A$88&gt;35,BD89+BC90-BL89,IF(A90&lt;'Données projet'!$A$88,$BA$205^A90,IF(A90='Données projet'!$A$88,'Données projet'!$B$88,BD89+BC90-BL89)))</f>
        <v>383.138461538461</v>
      </c>
      <c r="BE90" s="14">
        <f>BD90*VLOOKUP('Données projet'!$B$11,Paramètres!$A$1:$I$89,3,0)*VLOOKUP('Données projet'!$B$11,Paramètres!$A$1:$I$89,5,0)</f>
        <v>179.30879999999974</v>
      </c>
      <c r="BF90" s="14">
        <f t="shared" si="91"/>
        <v>45.168372484136519</v>
      </c>
      <c r="BG90" s="22">
        <f t="shared" si="61"/>
        <v>390.96440874320393</v>
      </c>
      <c r="BH90" s="60">
        <f t="shared" si="62"/>
        <v>684.29774207653725</v>
      </c>
      <c r="BI90" s="60">
        <f ca="1">AVERAGE(OFFSET($BH$3,0,0,'Données projet'!$E$11+1,1))-AVERAGE(OFFSET($H$3,0,0,'Données projet'!$E$11+1,1))</f>
        <v>179.52358670810645</v>
      </c>
      <c r="BJ90" s="60">
        <f t="shared" si="92"/>
        <v>89.471764801078166</v>
      </c>
      <c r="BK90" s="16">
        <f>IF(ISNA(VLOOKUP(A90,'Données projet'!$A$87:$I$107,3,0)),0,VLOOKUP(A90,'Données projet'!$A$87:$I$107,3,0))</f>
        <v>4</v>
      </c>
      <c r="BL90" s="16">
        <f>IF(ISNA(VLOOKUP(A90,'Données projet'!$A$87:$I$107,4,0)),0,VLOOKUP(A90,'Données projet'!$A$87:$I$107,4,0))</f>
        <v>82.938461538461524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2.9487179487179502</v>
      </c>
      <c r="BY90" s="13">
        <f>IF('Données projet'!$A$114&gt;35,BY89+BX90-CG89,IF(A90&lt;'Données projet'!$A$114,$BV$205^A90,IF(A90='Données projet'!$A$114,'Données projet'!$B$114,BY89+BX90-CG89)))</f>
        <v>213.58974358974348</v>
      </c>
      <c r="BZ90" s="14">
        <f>BY90*VLOOKUP('Données projet'!$B$12,Paramètres!$A$1:$I$89,3,0)*VLOOKUP('Données projet'!$B$12,Paramètres!$A$1:$I$89,5,0)</f>
        <v>223.24399999999989</v>
      </c>
      <c r="CA90" s="14">
        <f t="shared" si="93"/>
        <v>54.819351308623148</v>
      </c>
      <c r="CB90" s="22">
        <f t="shared" si="64"/>
        <v>484.2936701958518</v>
      </c>
      <c r="CC90" s="60">
        <f t="shared" si="65"/>
        <v>777.62700352918512</v>
      </c>
      <c r="CD90" s="60">
        <f ca="1">AVERAGE(OFFSET($CC$3,0,0,'Données projet'!$E$12+1,1))-AVERAGE(OFFSET($H$3,0,0,'Données projet'!$E$12+1,1))</f>
        <v>304.57411436867147</v>
      </c>
      <c r="CE90" s="60">
        <f t="shared" si="94"/>
        <v>178.19974548556962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2.9487179487179502</v>
      </c>
      <c r="CT90" s="13">
        <f>IF('Données projet'!$A$140&gt;35,CT89+CS90-DB89,IF(A90&lt;'Données projet'!$A$140,$CQ$205^A90,IF(A90='Données projet'!$A$140,'Données projet'!$B$140,CT89+CS90-DB89)))</f>
        <v>213.58974358974348</v>
      </c>
      <c r="CU90" s="18">
        <f>CT90*VLOOKUP('Données projet'!$B$13,Paramètres!$A$1:$I$89,3,0)*VLOOKUP('Données projet'!$B$13,Paramètres!$A$1:$I$89,5,0)</f>
        <v>206.58399999999989</v>
      </c>
      <c r="CV90" s="14">
        <f t="shared" si="95"/>
        <v>51.188392728436547</v>
      </c>
      <c r="CW90" s="22">
        <f t="shared" si="67"/>
        <v>448.95358400202684</v>
      </c>
      <c r="CX90" s="60">
        <f t="shared" si="68"/>
        <v>742.28691733536016</v>
      </c>
      <c r="CY90" s="60">
        <f ca="1">AVERAGE(OFFSET($CX$3,0,0,'Données projet'!$E$13+1,1))-AVERAGE(OFFSET($H$3,0,0,'Données projet'!$E$13+1,1))</f>
        <v>279.37339904167601</v>
      </c>
      <c r="CZ90" s="60">
        <f t="shared" si="96"/>
        <v>163.80861186980007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0" t="e">
        <f t="shared" si="71"/>
        <v>#N/A</v>
      </c>
      <c r="DT90" s="60" t="e">
        <f ca="1">AVERAGE(OFFSET($DS$3,0,0,'Données projet'!$E$14+1,1))-AVERAGE(OFFSET($H$3,0,0,'Données projet'!$E$14+1,1))</f>
        <v>#N/A</v>
      </c>
      <c r="DU90" s="60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</v>
      </c>
      <c r="D91" s="12">
        <f t="shared" si="86"/>
        <v>7.6469855389835546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244.47778310794308</v>
      </c>
      <c r="H91" s="68">
        <f t="shared" si="56"/>
        <v>348.49363314706295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6.2153846153846306</v>
      </c>
      <c r="N91" s="14">
        <f>IF('Données projet'!$A$36&gt;35,N90+M91-V90,IF(A91&lt;'Données projet'!$A$36,$K$205^A91,IF(A91='Données projet'!$A$36,'Données projet'!$B$36,N90+M91-V90)))</f>
        <v>328.42307692307708</v>
      </c>
      <c r="O91" s="14">
        <f>N91*VLOOKUP('Données projet'!$B$9,Paramètres!$A$1:$I$89,3,0)*VLOOKUP('Données projet'!$B$9,Paramètres!$A$1:$I$89,5,0)</f>
        <v>196.39700000000011</v>
      </c>
      <c r="P91" s="14">
        <f t="shared" si="87"/>
        <v>48.951501545219521</v>
      </c>
      <c r="Q91" s="22">
        <f t="shared" si="54"/>
        <v>427.31530685792421</v>
      </c>
      <c r="R91" s="60">
        <f t="shared" si="55"/>
        <v>720.64864019125753</v>
      </c>
      <c r="S91" s="60">
        <f ca="1">AVERAGE(OFFSET($R$3,0,0,'Données projet'!$E$9+1,1))-AVERAGE(OFFSET($H$3,0,0,'Données projet'!$E$9+1,1))</f>
        <v>223.38593045370783</v>
      </c>
      <c r="T91" s="60">
        <f t="shared" si="88"/>
        <v>161.68519532023998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9.8461538461538467</v>
      </c>
      <c r="AI91" s="14">
        <f>IF('Données projet'!$A$62&gt;35,AI90+AH91-AQ90,IF(A91&lt;'Données projet'!$A$62,$AF$205^A91,IF(A91='Données projet'!$A$62,'Données projet'!$B$62,AI90+AH91-AQ90)))</f>
        <v>364.46153846153891</v>
      </c>
      <c r="AJ91" s="14">
        <f>AI91*VLOOKUP('Données projet'!$B$10,Paramètres!$A$1:$I$89,3,0)*VLOOKUP('Données projet'!$B$10,Paramètres!$A$1:$I$89,5,0)</f>
        <v>217.94800000000029</v>
      </c>
      <c r="AK91" s="14">
        <f t="shared" si="89"/>
        <v>53.66865070903814</v>
      </c>
      <c r="AL91" s="22">
        <f t="shared" si="58"/>
        <v>473.06566665157521</v>
      </c>
      <c r="AM91" s="60">
        <f t="shared" si="59"/>
        <v>766.39899998490853</v>
      </c>
      <c r="AN91" s="60">
        <f ca="1">AVERAGE(OFFSET($AM$3,0,0,'Données projet'!$E$10+1,1))-AVERAGE(OFFSET($H$3,0,0,'Données projet'!$E$10+1,1))</f>
        <v>216.19747366796145</v>
      </c>
      <c r="AO91" s="60">
        <f t="shared" si="90"/>
        <v>122.08911898780889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2.3185966234882507E-8</v>
      </c>
      <c r="AX91" s="23">
        <f t="shared" si="60"/>
        <v>2.3185966234882507E-8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8.1205128205128201</v>
      </c>
      <c r="BD91" s="13">
        <f>IF('Données projet'!$A$88&gt;35,BD90+BC91-BL90,IF(A91&lt;'Données projet'!$A$88,$BA$205^A91,IF(A91='Données projet'!$A$88,'Données projet'!$B$88,BD90+BC91-BL90)))</f>
        <v>308.32051282051231</v>
      </c>
      <c r="BE91" s="14">
        <f>BD91*VLOOKUP('Données projet'!$B$11,Paramètres!$A$1:$I$89,3,0)*VLOOKUP('Données projet'!$B$11,Paramètres!$A$1:$I$89,5,0)</f>
        <v>144.29399999999976</v>
      </c>
      <c r="BF91" s="14">
        <f t="shared" si="91"/>
        <v>37.278964348289335</v>
      </c>
      <c r="BG91" s="22">
        <f t="shared" si="61"/>
        <v>316.23957957327008</v>
      </c>
      <c r="BH91" s="60">
        <f t="shared" si="62"/>
        <v>609.57291290660339</v>
      </c>
      <c r="BI91" s="60">
        <f ca="1">AVERAGE(OFFSET($BH$3,0,0,'Données projet'!$E$11+1,1))-AVERAGE(OFFSET($H$3,0,0,'Données projet'!$E$11+1,1))</f>
        <v>179.52358670810645</v>
      </c>
      <c r="BJ91" s="60">
        <f t="shared" si="92"/>
        <v>89.471764801078166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2.9487179487179502</v>
      </c>
      <c r="BY91" s="13">
        <f>IF('Données projet'!$A$114&gt;35,BY90+BX91-CG90,IF(A91&lt;'Données projet'!$A$114,$BV$205^A91,IF(A91='Données projet'!$A$114,'Données projet'!$B$114,BY90+BX91-CG90)))</f>
        <v>216.53846153846143</v>
      </c>
      <c r="BZ91" s="14">
        <f>BY91*VLOOKUP('Données projet'!$B$12,Paramètres!$A$1:$I$89,3,0)*VLOOKUP('Données projet'!$B$12,Paramètres!$A$1:$I$89,5,0)</f>
        <v>226.32599999999991</v>
      </c>
      <c r="CA91" s="14">
        <f t="shared" si="93"/>
        <v>55.487533861769222</v>
      </c>
      <c r="CB91" s="22">
        <f t="shared" si="64"/>
        <v>490.82523814258121</v>
      </c>
      <c r="CC91" s="60">
        <f t="shared" si="65"/>
        <v>784.15857147591453</v>
      </c>
      <c r="CD91" s="60">
        <f ca="1">AVERAGE(OFFSET($CC$3,0,0,'Données projet'!$E$12+1,1))-AVERAGE(OFFSET($H$3,0,0,'Données projet'!$E$12+1,1))</f>
        <v>304.57411436867147</v>
      </c>
      <c r="CE91" s="60">
        <f t="shared" si="94"/>
        <v>178.19974548556962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2.9487179487179502</v>
      </c>
      <c r="CT91" s="13">
        <f>IF('Données projet'!$A$140&gt;35,CT90+CS91-DB90,IF(A91&lt;'Données projet'!$A$140,$CQ$205^A91,IF(A91='Données projet'!$A$140,'Données projet'!$B$140,CT90+CS91-DB90)))</f>
        <v>216.53846153846143</v>
      </c>
      <c r="CU91" s="18">
        <f>CT91*VLOOKUP('Données projet'!$B$13,Paramètres!$A$1:$I$89,3,0)*VLOOKUP('Données projet'!$B$13,Paramètres!$A$1:$I$89,5,0)</f>
        <v>209.43599999999992</v>
      </c>
      <c r="CV91" s="14">
        <f t="shared" si="95"/>
        <v>51.81231822423775</v>
      </c>
      <c r="CW91" s="22">
        <f t="shared" si="67"/>
        <v>455.00748757388055</v>
      </c>
      <c r="CX91" s="60">
        <f t="shared" si="68"/>
        <v>748.34082090721381</v>
      </c>
      <c r="CY91" s="60">
        <f ca="1">AVERAGE(OFFSET($CX$3,0,0,'Données projet'!$E$13+1,1))-AVERAGE(OFFSET($H$3,0,0,'Données projet'!$E$13+1,1))</f>
        <v>279.37339904167601</v>
      </c>
      <c r="CZ91" s="60">
        <f t="shared" si="96"/>
        <v>163.80861186980007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0" t="e">
        <f t="shared" si="71"/>
        <v>#N/A</v>
      </c>
      <c r="DT91" s="60" t="e">
        <f ca="1">AVERAGE(OFFSET($DS$3,0,0,'Données projet'!$E$14+1,1))-AVERAGE(OFFSET($H$3,0,0,'Données projet'!$E$14+1,1))</f>
        <v>#N/A</v>
      </c>
      <c r="DU91" s="60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24.296999999999979</v>
      </c>
      <c r="D92" s="12">
        <f t="shared" si="86"/>
        <v>7.7237176577843316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247.17746963903679</v>
      </c>
      <c r="H92" s="68">
        <f t="shared" si="56"/>
        <v>349.10274992064097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6.2153846153846306</v>
      </c>
      <c r="N92" s="14">
        <f>IF('Données projet'!$A$36&gt;35,N91+M92-V91,IF(A92&lt;'Données projet'!$A$36,$K$205^A92,IF(A92='Données projet'!$A$36,'Données projet'!$B$36,N91+M92-V91)))</f>
        <v>334.63846153846168</v>
      </c>
      <c r="O92" s="14">
        <f>N92*VLOOKUP('Données projet'!$B$9,Paramètres!$A$1:$I$89,3,0)*VLOOKUP('Données projet'!$B$9,Paramètres!$A$1:$I$89,5,0)</f>
        <v>200.11380000000011</v>
      </c>
      <c r="P92" s="14">
        <f t="shared" si="87"/>
        <v>49.769176692955753</v>
      </c>
      <c r="Q92" s="22">
        <f t="shared" si="54"/>
        <v>435.21285107356476</v>
      </c>
      <c r="R92" s="60">
        <f t="shared" si="55"/>
        <v>728.54618440689808</v>
      </c>
      <c r="S92" s="60">
        <f ca="1">AVERAGE(OFFSET($R$3,0,0,'Données projet'!$E$9+1,1))-AVERAGE(OFFSET($H$3,0,0,'Données projet'!$E$9+1,1))</f>
        <v>223.38593045370783</v>
      </c>
      <c r="T92" s="60">
        <f t="shared" si="88"/>
        <v>161.68519532023998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9.8461538461538467</v>
      </c>
      <c r="AI92" s="14">
        <f>IF('Données projet'!$A$62&gt;35,AI91+AH92-AQ91,IF(A92&lt;'Données projet'!$A$62,$AF$205^A92,IF(A92='Données projet'!$A$62,'Données projet'!$B$62,AI91+AH92-AQ91)))</f>
        <v>374.30769230769278</v>
      </c>
      <c r="AJ92" s="14">
        <f>AI92*VLOOKUP('Données projet'!$B$10,Paramètres!$A$1:$I$89,3,0)*VLOOKUP('Données projet'!$B$10,Paramètres!$A$1:$I$89,5,0)</f>
        <v>223.8360000000003</v>
      </c>
      <c r="AK92" s="14">
        <f t="shared" si="89"/>
        <v>54.947780735524987</v>
      </c>
      <c r="AL92" s="22">
        <f t="shared" si="58"/>
        <v>485.54841811437319</v>
      </c>
      <c r="AM92" s="60">
        <f t="shared" si="59"/>
        <v>778.88175144770651</v>
      </c>
      <c r="AN92" s="60">
        <f ca="1">AVERAGE(OFFSET($AM$3,0,0,'Données projet'!$E$10+1,1))-AVERAGE(OFFSET($H$3,0,0,'Données projet'!$E$10+1,1))</f>
        <v>216.19747366796145</v>
      </c>
      <c r="AO92" s="60">
        <f t="shared" si="90"/>
        <v>122.08911898780889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1.6394953953047744E-8</v>
      </c>
      <c r="AX92" s="23">
        <f t="shared" si="60"/>
        <v>1.6394953953047744E-8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8.1205128205128201</v>
      </c>
      <c r="BD92" s="13">
        <f>IF('Données projet'!$A$88&gt;35,BD91+BC92-BL91,IF(A92&lt;'Données projet'!$A$88,$BA$205^A92,IF(A92='Données projet'!$A$88,'Données projet'!$B$88,BD91+BC92-BL91)))</f>
        <v>316.44102564102513</v>
      </c>
      <c r="BE92" s="14">
        <f>BD92*VLOOKUP('Données projet'!$B$11,Paramètres!$A$1:$I$89,3,0)*VLOOKUP('Données projet'!$B$11,Paramètres!$A$1:$I$89,5,0)</f>
        <v>148.09439999999975</v>
      </c>
      <c r="BF92" s="14">
        <f t="shared" si="91"/>
        <v>38.145209470220848</v>
      </c>
      <c r="BG92" s="22">
        <f t="shared" si="61"/>
        <v>324.36731982730089</v>
      </c>
      <c r="BH92" s="60">
        <f t="shared" si="62"/>
        <v>617.70065316063415</v>
      </c>
      <c r="BI92" s="60">
        <f ca="1">AVERAGE(OFFSET($BH$3,0,0,'Données projet'!$E$11+1,1))-AVERAGE(OFFSET($H$3,0,0,'Données projet'!$E$11+1,1))</f>
        <v>179.52358670810645</v>
      </c>
      <c r="BJ92" s="60">
        <f t="shared" si="92"/>
        <v>89.471764801078166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2.9487179487179502</v>
      </c>
      <c r="BY92" s="13">
        <f>IF('Données projet'!$A$114&gt;35,BY91+BX92-CG91,IF(A92&lt;'Données projet'!$A$114,$BV$205^A92,IF(A92='Données projet'!$A$114,'Données projet'!$B$114,BY91+BX92-CG91)))</f>
        <v>219.48717948717939</v>
      </c>
      <c r="BZ92" s="14">
        <f>BY92*VLOOKUP('Données projet'!$B$12,Paramètres!$A$1:$I$89,3,0)*VLOOKUP('Données projet'!$B$12,Paramètres!$A$1:$I$89,5,0)</f>
        <v>229.40799999999993</v>
      </c>
      <c r="CA92" s="14">
        <f t="shared" si="93"/>
        <v>56.154658096528863</v>
      </c>
      <c r="CB92" s="22">
        <f t="shared" si="64"/>
        <v>497.35496285145433</v>
      </c>
      <c r="CC92" s="60">
        <f t="shared" si="65"/>
        <v>790.68829618478765</v>
      </c>
      <c r="CD92" s="60">
        <f ca="1">AVERAGE(OFFSET($CC$3,0,0,'Données projet'!$E$12+1,1))-AVERAGE(OFFSET($H$3,0,0,'Données projet'!$E$12+1,1))</f>
        <v>304.57411436867147</v>
      </c>
      <c r="CE92" s="60">
        <f t="shared" si="94"/>
        <v>178.19974548556962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2.9487179487179502</v>
      </c>
      <c r="CT92" s="13">
        <f>IF('Données projet'!$A$140&gt;35,CT91+CS92-DB91,IF(A92&lt;'Données projet'!$A$140,$CQ$205^A92,IF(A92='Données projet'!$A$140,'Données projet'!$B$140,CT91+CS92-DB91)))</f>
        <v>219.48717948717939</v>
      </c>
      <c r="CU92" s="18">
        <f>CT92*VLOOKUP('Données projet'!$B$13,Paramètres!$A$1:$I$89,3,0)*VLOOKUP('Données projet'!$B$13,Paramètres!$A$1:$I$89,5,0)</f>
        <v>212.28799999999993</v>
      </c>
      <c r="CV92" s="14">
        <f t="shared" si="95"/>
        <v>52.435255499348528</v>
      </c>
      <c r="CW92" s="22">
        <f t="shared" si="67"/>
        <v>461.0596699946986</v>
      </c>
      <c r="CX92" s="60">
        <f t="shared" si="68"/>
        <v>754.39300332803191</v>
      </c>
      <c r="CY92" s="60">
        <f ca="1">AVERAGE(OFFSET($CX$3,0,0,'Données projet'!$E$13+1,1))-AVERAGE(OFFSET($H$3,0,0,'Données projet'!$E$13+1,1))</f>
        <v>279.37339904167601</v>
      </c>
      <c r="CZ92" s="60">
        <f t="shared" si="96"/>
        <v>163.80861186980007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0" t="e">
        <f t="shared" si="71"/>
        <v>#N/A</v>
      </c>
      <c r="DT92" s="60" t="e">
        <f ca="1">AVERAGE(OFFSET($DS$3,0,0,'Données projet'!$E$14+1,1))-AVERAGE(OFFSET($H$3,0,0,'Données projet'!$E$14+1,1))</f>
        <v>#N/A</v>
      </c>
      <c r="DU92" s="60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24.569999999999979</v>
      </c>
      <c r="D93" s="12">
        <f t="shared" si="86"/>
        <v>7.8003494846849248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249.87638198704133</v>
      </c>
      <c r="H93" s="68">
        <f t="shared" si="56"/>
        <v>349.7116920191595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340.85384615384618</v>
      </c>
      <c r="L93" s="13">
        <f>VLOOKUP(A93,'Données projet'!$A$35:$I$55,9,0)</f>
        <v>6.2153846153846306</v>
      </c>
      <c r="M93" s="13">
        <f t="array" ref="M93">INDEX(L:L,MIN(IF(ISNUMBER(L93:L289),ROW(L93:L289),"")))</f>
        <v>6.2153846153846306</v>
      </c>
      <c r="N93" s="14">
        <f>IF('Données projet'!$A$36&gt;35,N92+M93-V92,IF(A93&lt;'Données projet'!$A$36,$K$205^A93,IF(A93='Données projet'!$A$36,'Données projet'!$B$36,N92+M93-V92)))</f>
        <v>340.85384615384629</v>
      </c>
      <c r="O93" s="14">
        <f>N93*VLOOKUP('Données projet'!$B$9,Paramètres!$A$1:$I$89,3,0)*VLOOKUP('Données projet'!$B$9,Paramètres!$A$1:$I$89,5,0)</f>
        <v>203.83060000000009</v>
      </c>
      <c r="P93" s="14">
        <f t="shared" si="87"/>
        <v>50.5850858721899</v>
      </c>
      <c r="Q93" s="22">
        <f t="shared" si="54"/>
        <v>443.1073195607309</v>
      </c>
      <c r="R93" s="60">
        <f t="shared" si="55"/>
        <v>736.44065289406421</v>
      </c>
      <c r="S93" s="60">
        <f ca="1">AVERAGE(OFFSET($R$3,0,0,'Données projet'!$E$9+1,1))-AVERAGE(OFFSET($H$3,0,0,'Données projet'!$E$9+1,1))</f>
        <v>223.38593045370783</v>
      </c>
      <c r="T93" s="60">
        <f t="shared" si="88"/>
        <v>161.68519532023998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9.8461538461538467</v>
      </c>
      <c r="AI93" s="14">
        <f>IF('Données projet'!$A$62&gt;35,AI92+AH93-AQ92,IF(A93&lt;'Données projet'!$A$62,$AF$205^A93,IF(A93='Données projet'!$A$62,'Données projet'!$B$62,AI92+AH93-AQ92)))</f>
        <v>384.15384615384664</v>
      </c>
      <c r="AJ93" s="14">
        <f>AI93*VLOOKUP('Données projet'!$B$10,Paramètres!$A$1:$I$89,3,0)*VLOOKUP('Données projet'!$B$10,Paramètres!$A$1:$I$89,5,0)</f>
        <v>229.72400000000033</v>
      </c>
      <c r="AK93" s="14">
        <f t="shared" si="89"/>
        <v>56.222999708510343</v>
      </c>
      <c r="AL93" s="22">
        <f t="shared" si="58"/>
        <v>498.02435782565607</v>
      </c>
      <c r="AM93" s="60">
        <f t="shared" si="59"/>
        <v>791.35769115898938</v>
      </c>
      <c r="AN93" s="60">
        <f ca="1">AVERAGE(OFFSET($AM$3,0,0,'Données projet'!$E$10+1,1))-AVERAGE(OFFSET($H$3,0,0,'Données projet'!$E$10+1,1))</f>
        <v>216.19747366796145</v>
      </c>
      <c r="AO93" s="60">
        <f t="shared" si="90"/>
        <v>122.08911898780889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1.1592983117441253E-8</v>
      </c>
      <c r="AX93" s="23">
        <f t="shared" si="60"/>
        <v>1.1592983117441253E-8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8.1205128205128201</v>
      </c>
      <c r="BD93" s="13">
        <f>IF('Données projet'!$A$88&gt;35,BD92+BC93-BL92,IF(A93&lt;'Données projet'!$A$88,$BA$205^A93,IF(A93='Données projet'!$A$88,'Données projet'!$B$88,BD92+BC93-BL92)))</f>
        <v>324.56153846153796</v>
      </c>
      <c r="BE93" s="14">
        <f>BD93*VLOOKUP('Données projet'!$B$11,Paramètres!$A$1:$I$89,3,0)*VLOOKUP('Données projet'!$B$11,Paramètres!$A$1:$I$89,5,0)</f>
        <v>151.89479999999978</v>
      </c>
      <c r="BF93" s="14">
        <f t="shared" si="91"/>
        <v>39.008870628729497</v>
      </c>
      <c r="BG93" s="22">
        <f t="shared" si="61"/>
        <v>332.49055967837018</v>
      </c>
      <c r="BH93" s="60">
        <f t="shared" si="62"/>
        <v>625.82389301170349</v>
      </c>
      <c r="BI93" s="60">
        <f ca="1">AVERAGE(OFFSET($BH$3,0,0,'Données projet'!$E$11+1,1))-AVERAGE(OFFSET($H$3,0,0,'Données projet'!$E$11+1,1))</f>
        <v>179.52358670810645</v>
      </c>
      <c r="BJ93" s="60">
        <f t="shared" si="92"/>
        <v>89.471764801078166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222.43589743589743</v>
      </c>
      <c r="BW93" s="13">
        <f>VLOOKUP(A93,'Données projet'!$A$113:$I$133,9,0)</f>
        <v>2.9487179487179502</v>
      </c>
      <c r="BX93" s="13">
        <f t="array" ref="BX93">INDEX(BW:BW,MIN(IF(ISNUMBER(BW93:BW289),ROW(BW93:BW289),"")))</f>
        <v>2.9487179487179502</v>
      </c>
      <c r="BY93" s="13">
        <f>IF('Données projet'!$A$114&gt;35,BY92+BX93-CG92,IF(A93&lt;'Données projet'!$A$114,$BV$205^A93,IF(A93='Données projet'!$A$114,'Données projet'!$B$114,BY92+BX93-CG92)))</f>
        <v>222.43589743589735</v>
      </c>
      <c r="BZ93" s="14">
        <f>BY93*VLOOKUP('Données projet'!$B$12,Paramètres!$A$1:$I$89,3,0)*VLOOKUP('Données projet'!$B$12,Paramètres!$A$1:$I$89,5,0)</f>
        <v>232.48999999999995</v>
      </c>
      <c r="CA93" s="14">
        <f t="shared" si="93"/>
        <v>56.820739874502536</v>
      </c>
      <c r="CB93" s="22">
        <f t="shared" si="64"/>
        <v>503.8828719480918</v>
      </c>
      <c r="CC93" s="60">
        <f t="shared" si="65"/>
        <v>797.21620528142512</v>
      </c>
      <c r="CD93" s="60">
        <f ca="1">AVERAGE(OFFSET($CC$3,0,0,'Données projet'!$E$12+1,1))-AVERAGE(OFFSET($H$3,0,0,'Données projet'!$E$12+1,1))</f>
        <v>304.57411436867147</v>
      </c>
      <c r="CE93" s="60">
        <f t="shared" si="94"/>
        <v>178.19974548556962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16.666666666666668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222.43589743589743</v>
      </c>
      <c r="CR93" s="13">
        <f>VLOOKUP(A93,'Données projet'!$A$139:$I$159,9,0)</f>
        <v>2.9487179487179502</v>
      </c>
      <c r="CS93" s="13">
        <f t="array" ref="CS93">INDEX(CR:CR,MIN(IF(ISNUMBER(CR93:CR289),ROW(CR93:CR289),"")))</f>
        <v>2.9487179487179502</v>
      </c>
      <c r="CT93" s="13">
        <f>IF('Données projet'!$A$140&gt;35,CT92+CS93-DB92,IF(A93&lt;'Données projet'!$A$140,$CQ$205^A93,IF(A93='Données projet'!$A$140,'Données projet'!$B$140,CT92+CS93-DB92)))</f>
        <v>222.43589743589735</v>
      </c>
      <c r="CU93" s="18">
        <f>CT93*VLOOKUP('Données projet'!$B$13,Paramètres!$A$1:$I$89,3,0)*VLOOKUP('Données projet'!$B$13,Paramètres!$A$1:$I$89,5,0)</f>
        <v>215.13999999999993</v>
      </c>
      <c r="CV93" s="14">
        <f t="shared" si="95"/>
        <v>53.057219364776572</v>
      </c>
      <c r="CW93" s="22">
        <f t="shared" si="67"/>
        <v>467.11015706031912</v>
      </c>
      <c r="CX93" s="60">
        <f t="shared" si="68"/>
        <v>760.44349039365238</v>
      </c>
      <c r="CY93" s="60">
        <f ca="1">AVERAGE(OFFSET($CX$3,0,0,'Données projet'!$E$13+1,1))-AVERAGE(OFFSET($H$3,0,0,'Données projet'!$E$13+1,1))</f>
        <v>279.37339904167601</v>
      </c>
      <c r="CZ93" s="60">
        <f t="shared" si="96"/>
        <v>163.80861186980007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16.666666666666668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0" t="e">
        <f t="shared" si="71"/>
        <v>#N/A</v>
      </c>
      <c r="DT93" s="60" t="e">
        <f ca="1">AVERAGE(OFFSET($DS$3,0,0,'Données projet'!$E$14+1,1))-AVERAGE(OFFSET($H$3,0,0,'Données projet'!$E$14+1,1))</f>
        <v>#N/A</v>
      </c>
      <c r="DU93" s="60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24.842999999999979</v>
      </c>
      <c r="D94" s="12">
        <f t="shared" si="86"/>
        <v>7.8768822629979001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252.5745297494573</v>
      </c>
      <c r="H94" s="68">
        <f t="shared" si="56"/>
        <v>350.32046160805464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6.376923076923072</v>
      </c>
      <c r="N94" s="14">
        <f>IF('Données projet'!$A$36&gt;35,N93+M94-V93,IF(A94&lt;'Données projet'!$A$36,$K$205^A94,IF(A94='Données projet'!$A$36,'Données projet'!$B$36,N93+M94-V93)))</f>
        <v>347.23076923076934</v>
      </c>
      <c r="O94" s="14">
        <f>N94*VLOOKUP('Données projet'!$B$9,Paramètres!$A$1:$I$89,3,0)*VLOOKUP('Données projet'!$B$9,Paramètres!$A$1:$I$89,5,0)</f>
        <v>207.64400000000006</v>
      </c>
      <c r="P94" s="14">
        <f t="shared" si="87"/>
        <v>51.420402842834136</v>
      </c>
      <c r="Q94" s="22">
        <f t="shared" si="54"/>
        <v>451.20383495126947</v>
      </c>
      <c r="R94" s="60">
        <f t="shared" si="55"/>
        <v>744.53716828460279</v>
      </c>
      <c r="S94" s="60">
        <f ca="1">AVERAGE(OFFSET($R$3,0,0,'Données projet'!$E$9+1,1))-AVERAGE(OFFSET($H$3,0,0,'Données projet'!$E$9+1,1))</f>
        <v>223.38593045370783</v>
      </c>
      <c r="T94" s="60">
        <f t="shared" si="88"/>
        <v>161.68519532023998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>
        <f>VLOOKUP(A94,'Données projet'!$A$61:$I$81,2,0)</f>
        <v>394</v>
      </c>
      <c r="AG94" s="13">
        <f>VLOOKUP(A94,'Données projet'!$A$61:$I$81,9,0)</f>
        <v>9.8461538461538467</v>
      </c>
      <c r="AH94" s="13">
        <f t="array" ref="AH94">INDEX(AG:AG,MIN(IF(ISNUMBER(AG94:AG290),ROW(AG94:AG290),"")))</f>
        <v>9.8461538461538467</v>
      </c>
      <c r="AI94" s="14">
        <f>IF('Données projet'!$A$62&gt;35,AI93+AH94-AQ93,IF(A94&lt;'Données projet'!$A$62,$AF$205^A94,IF(A94='Données projet'!$A$62,'Données projet'!$B$62,AI93+AH94-AQ93)))</f>
        <v>394.00000000000051</v>
      </c>
      <c r="AJ94" s="14">
        <f>AI94*VLOOKUP('Données projet'!$B$10,Paramètres!$A$1:$I$89,3,0)*VLOOKUP('Données projet'!$B$10,Paramètres!$A$1:$I$89,5,0)</f>
        <v>235.61200000000031</v>
      </c>
      <c r="AK94" s="14">
        <f t="shared" si="89"/>
        <v>57.494419397561799</v>
      </c>
      <c r="AL94" s="22">
        <f t="shared" si="58"/>
        <v>510.49368045075397</v>
      </c>
      <c r="AM94" s="60">
        <f t="shared" si="59"/>
        <v>803.82701378408728</v>
      </c>
      <c r="AN94" s="60">
        <f ca="1">AVERAGE(OFFSET($AM$3,0,0,'Données projet'!$E$10+1,1))-AVERAGE(OFFSET($H$3,0,0,'Données projet'!$E$10+1,1))</f>
        <v>216.19747366796145</v>
      </c>
      <c r="AO94" s="60">
        <f t="shared" si="90"/>
        <v>122.08911898780889</v>
      </c>
      <c r="AP94" s="16">
        <f>IF(ISNA(VLOOKUP(A94,'Données projet'!$A$61:$I$81,3,0)),0,VLOOKUP(A94,'Données projet'!$A$61:$I$81,3,0))</f>
        <v>7</v>
      </c>
      <c r="AQ94" s="16">
        <f>IF(ISNA(VLOOKUP(A94,'Données projet'!$A$61:$I$81,4,0)),0,VLOOKUP(A94,'Données projet'!$A$61:$I$81,4,0))</f>
        <v>394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8.1974769765238718E-9</v>
      </c>
      <c r="AX94" s="23">
        <f t="shared" si="60"/>
        <v>8.1974769765238718E-9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8.1205128205128201</v>
      </c>
      <c r="BD94" s="13">
        <f>IF('Données projet'!$A$88&gt;35,BD93+BC94-BL93,IF(A94&lt;'Données projet'!$A$88,$BA$205^A94,IF(A94='Données projet'!$A$88,'Données projet'!$B$88,BD93+BC94-BL93)))</f>
        <v>332.68205128205079</v>
      </c>
      <c r="BE94" s="14">
        <f>BD94*VLOOKUP('Données projet'!$B$11,Paramètres!$A$1:$I$89,3,0)*VLOOKUP('Données projet'!$B$11,Paramètres!$A$1:$I$89,5,0)</f>
        <v>155.69519999999977</v>
      </c>
      <c r="BF94" s="14">
        <f t="shared" si="91"/>
        <v>39.870019909996607</v>
      </c>
      <c r="BG94" s="22">
        <f t="shared" si="61"/>
        <v>340.60942467657702</v>
      </c>
      <c r="BH94" s="60">
        <f t="shared" si="62"/>
        <v>633.94275800991034</v>
      </c>
      <c r="BI94" s="60">
        <f ca="1">AVERAGE(OFFSET($BH$3,0,0,'Données projet'!$E$11+1,1))-AVERAGE(OFFSET($H$3,0,0,'Données projet'!$E$11+1,1))</f>
        <v>179.52358670810645</v>
      </c>
      <c r="BJ94" s="60">
        <f t="shared" si="92"/>
        <v>89.471764801078166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2.9487179487179445</v>
      </c>
      <c r="BY94" s="13">
        <f>IF('Données projet'!$A$114&gt;35,BY93+BX94-CG93,IF(A94&lt;'Données projet'!$A$114,$BV$205^A94,IF(A94='Données projet'!$A$114,'Données projet'!$B$114,BY93+BX94-CG93)))</f>
        <v>208.71794871794864</v>
      </c>
      <c r="BZ94" s="14">
        <f>BY94*VLOOKUP('Données projet'!$B$12,Paramètres!$A$1:$I$89,3,0)*VLOOKUP('Données projet'!$B$12,Paramètres!$A$1:$I$89,5,0)</f>
        <v>218.15199999999993</v>
      </c>
      <c r="CA94" s="14">
        <f t="shared" si="93"/>
        <v>53.713035074209799</v>
      </c>
      <c r="CB94" s="22">
        <f t="shared" si="64"/>
        <v>473.49826942091528</v>
      </c>
      <c r="CC94" s="60">
        <f t="shared" si="65"/>
        <v>766.83160275424859</v>
      </c>
      <c r="CD94" s="60">
        <f ca="1">AVERAGE(OFFSET($CC$3,0,0,'Données projet'!$E$12+1,1))-AVERAGE(OFFSET($H$3,0,0,'Données projet'!$E$12+1,1))</f>
        <v>304.57411436867147</v>
      </c>
      <c r="CE94" s="60">
        <f t="shared" si="94"/>
        <v>178.19974548556962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2.9487179487179445</v>
      </c>
      <c r="CT94" s="13">
        <f>IF('Données projet'!$A$140&gt;35,CT93+CS94-DB93,IF(A94&lt;'Données projet'!$A$140,$CQ$205^A94,IF(A94='Données projet'!$A$140,'Données projet'!$B$140,CT93+CS94-DB93)))</f>
        <v>208.71794871794864</v>
      </c>
      <c r="CU94" s="18">
        <f>CT94*VLOOKUP('Données projet'!$B$13,Paramètres!$A$1:$I$89,3,0)*VLOOKUP('Données projet'!$B$13,Paramètres!$A$1:$I$89,5,0)</f>
        <v>201.87199999999996</v>
      </c>
      <c r="CV94" s="14">
        <f t="shared" si="95"/>
        <v>50.155353326525876</v>
      </c>
      <c r="CW94" s="22">
        <f t="shared" si="67"/>
        <v>438.94764037703249</v>
      </c>
      <c r="CX94" s="60">
        <f t="shared" si="68"/>
        <v>732.28097371036574</v>
      </c>
      <c r="CY94" s="60">
        <f ca="1">AVERAGE(OFFSET($CX$3,0,0,'Données projet'!$E$13+1,1))-AVERAGE(OFFSET($H$3,0,0,'Données projet'!$E$13+1,1))</f>
        <v>279.37339904167601</v>
      </c>
      <c r="CZ94" s="60">
        <f t="shared" si="96"/>
        <v>163.80861186980007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0" t="e">
        <f t="shared" si="71"/>
        <v>#N/A</v>
      </c>
      <c r="DT94" s="60" t="e">
        <f ca="1">AVERAGE(OFFSET($DS$3,0,0,'Données projet'!$E$14+1,1))-AVERAGE(OFFSET($H$3,0,0,'Données projet'!$E$14+1,1))</f>
        <v>#N/A</v>
      </c>
      <c r="DU94" s="60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25.115999999999978</v>
      </c>
      <c r="D95" s="12">
        <f t="shared" si="86"/>
        <v>7.9533172071366955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255.2719223007042</v>
      </c>
      <c r="H95" s="68">
        <f t="shared" si="56"/>
        <v>350.92906080242972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6.376923076923072</v>
      </c>
      <c r="N95" s="14">
        <f>IF('Données projet'!$A$36&gt;35,N94+M95-V94,IF(A95&lt;'Données projet'!$A$36,$K$205^A95,IF(A95='Données projet'!$A$36,'Données projet'!$B$36,N94+M95-V94)))</f>
        <v>353.60769230769239</v>
      </c>
      <c r="O95" s="14">
        <f>N95*VLOOKUP('Données projet'!$B$9,Paramètres!$A$1:$I$89,3,0)*VLOOKUP('Données projet'!$B$9,Paramètres!$A$1:$I$89,5,0)</f>
        <v>211.45740000000009</v>
      </c>
      <c r="P95" s="14">
        <f t="shared" si="87"/>
        <v>52.253935960910923</v>
      </c>
      <c r="Q95" s="22">
        <f t="shared" si="54"/>
        <v>459.29724346525336</v>
      </c>
      <c r="R95" s="60">
        <f t="shared" si="55"/>
        <v>752.63057679858662</v>
      </c>
      <c r="S95" s="60">
        <f ca="1">AVERAGE(OFFSET($R$3,0,0,'Données projet'!$E$9+1,1))-AVERAGE(OFFSET($H$3,0,0,'Données projet'!$E$9+1,1))</f>
        <v>223.38593045370783</v>
      </c>
      <c r="T95" s="60">
        <f t="shared" si="88"/>
        <v>161.68519532023998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5.1159076974727213E-13</v>
      </c>
      <c r="AJ95" s="14">
        <f>AI95*VLOOKUP('Données projet'!$B$10,Paramètres!$A$1:$I$89,3,0)*VLOOKUP('Données projet'!$B$10,Paramètres!$A$1:$I$89,5,0)</f>
        <v>3.0593128030886877E-13</v>
      </c>
      <c r="AK95" s="14">
        <f t="shared" si="89"/>
        <v>4.0350537939347394E-12</v>
      </c>
      <c r="AL95" s="22">
        <f t="shared" si="58"/>
        <v>7.5605490043076185E-12</v>
      </c>
      <c r="AM95" s="60">
        <f t="shared" si="59"/>
        <v>293.33333333334087</v>
      </c>
      <c r="AN95" s="60">
        <f ca="1">AVERAGE(OFFSET($AM$3,0,0,'Données projet'!$E$10+1,1))-AVERAGE(OFFSET($H$3,0,0,'Données projet'!$E$10+1,1))</f>
        <v>216.19747366796145</v>
      </c>
      <c r="AO95" s="60">
        <f t="shared" si="90"/>
        <v>122.08911898780889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5.7964915587206267E-9</v>
      </c>
      <c r="AX95" s="23">
        <f t="shared" si="60"/>
        <v>5.7964915587206267E-9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8.1205128205128201</v>
      </c>
      <c r="BD95" s="13">
        <f>IF('Données projet'!$A$88&gt;35,BD94+BC95-BL94,IF(A95&lt;'Données projet'!$A$88,$BA$205^A95,IF(A95='Données projet'!$A$88,'Données projet'!$B$88,BD94+BC95-BL94)))</f>
        <v>340.80256410256362</v>
      </c>
      <c r="BE95" s="14">
        <f>BD95*VLOOKUP('Données projet'!$B$11,Paramètres!$A$1:$I$89,3,0)*VLOOKUP('Données projet'!$B$11,Paramètres!$A$1:$I$89,5,0)</f>
        <v>159.49559999999977</v>
      </c>
      <c r="BF95" s="14">
        <f t="shared" si="91"/>
        <v>40.728725680425562</v>
      </c>
      <c r="BG95" s="22">
        <f t="shared" si="61"/>
        <v>348.72403389340735</v>
      </c>
      <c r="BH95" s="60">
        <f t="shared" si="62"/>
        <v>642.05736722674067</v>
      </c>
      <c r="BI95" s="60">
        <f ca="1">AVERAGE(OFFSET($BH$3,0,0,'Données projet'!$E$11+1,1))-AVERAGE(OFFSET($H$3,0,0,'Données projet'!$E$11+1,1))</f>
        <v>179.52358670810645</v>
      </c>
      <c r="BJ95" s="60">
        <f t="shared" si="92"/>
        <v>89.471764801078166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2.9487179487179445</v>
      </c>
      <c r="BY95" s="13">
        <f>IF('Données projet'!$A$114&gt;35,BY94+BX95-CG94,IF(A95&lt;'Données projet'!$A$114,$BV$205^A95,IF(A95='Données projet'!$A$114,'Données projet'!$B$114,BY94+BX95-CG94)))</f>
        <v>211.6666666666666</v>
      </c>
      <c r="BZ95" s="14">
        <f>BY95*VLOOKUP('Données projet'!$B$12,Paramètres!$A$1:$I$89,3,0)*VLOOKUP('Données projet'!$B$12,Paramètres!$A$1:$I$89,5,0)</f>
        <v>221.23399999999995</v>
      </c>
      <c r="CA95" s="14">
        <f t="shared" si="93"/>
        <v>54.383002150969347</v>
      </c>
      <c r="CB95" s="22">
        <f t="shared" si="64"/>
        <v>480.0329454129382</v>
      </c>
      <c r="CC95" s="60">
        <f t="shared" si="65"/>
        <v>773.36627874627152</v>
      </c>
      <c r="CD95" s="60">
        <f ca="1">AVERAGE(OFFSET($CC$3,0,0,'Données projet'!$E$12+1,1))-AVERAGE(OFFSET($H$3,0,0,'Données projet'!$E$12+1,1))</f>
        <v>304.57411436867147</v>
      </c>
      <c r="CE95" s="60">
        <f t="shared" si="94"/>
        <v>178.19974548556962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2.9487179487179445</v>
      </c>
      <c r="CT95" s="13">
        <f>IF('Données projet'!$A$140&gt;35,CT94+CS95-DB94,IF(A95&lt;'Données projet'!$A$140,$CQ$205^A95,IF(A95='Données projet'!$A$140,'Données projet'!$B$140,CT94+CS95-DB94)))</f>
        <v>211.6666666666666</v>
      </c>
      <c r="CU95" s="18">
        <f>CT95*VLOOKUP('Données projet'!$B$13,Paramètres!$A$1:$I$89,3,0)*VLOOKUP('Données projet'!$B$13,Paramètres!$A$1:$I$89,5,0)</f>
        <v>204.72399999999993</v>
      </c>
      <c r="CV95" s="14">
        <f t="shared" si="95"/>
        <v>50.780945148056489</v>
      </c>
      <c r="CW95" s="22">
        <f t="shared" si="67"/>
        <v>445.00444613286498</v>
      </c>
      <c r="CX95" s="60">
        <f t="shared" si="68"/>
        <v>738.3377794661983</v>
      </c>
      <c r="CY95" s="60">
        <f ca="1">AVERAGE(OFFSET($CX$3,0,0,'Données projet'!$E$13+1,1))-AVERAGE(OFFSET($H$3,0,0,'Données projet'!$E$13+1,1))</f>
        <v>279.37339904167601</v>
      </c>
      <c r="CZ95" s="60">
        <f t="shared" si="96"/>
        <v>163.80861186980007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0" t="e">
        <f t="shared" si="71"/>
        <v>#N/A</v>
      </c>
      <c r="DT95" s="60" t="e">
        <f ca="1">AVERAGE(OFFSET($DS$3,0,0,'Données projet'!$E$14+1,1))-AVERAGE(OFFSET($H$3,0,0,'Données projet'!$E$14+1,1))</f>
        <v>#N/A</v>
      </c>
      <c r="DU95" s="60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25.388999999999978</v>
      </c>
      <c r="D96" s="12">
        <f t="shared" si="86"/>
        <v>8.0296555035939932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257.96856879967271</v>
      </c>
      <c r="H96" s="68">
        <f t="shared" si="56"/>
        <v>351.53749166875946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6.376923076923072</v>
      </c>
      <c r="N96" s="14">
        <f>IF('Données projet'!$A$36&gt;35,N95+M96-V95,IF(A96&lt;'Données projet'!$A$36,$K$205^A96,IF(A96='Données projet'!$A$36,'Données projet'!$B$36,N95+M96-V95)))</f>
        <v>359.98461538461544</v>
      </c>
      <c r="O96" s="14">
        <f>N96*VLOOKUP('Données projet'!$B$9,Paramètres!$A$1:$I$89,3,0)*VLOOKUP('Données projet'!$B$9,Paramètres!$A$1:$I$89,5,0)</f>
        <v>215.27080000000007</v>
      </c>
      <c r="P96" s="14">
        <f t="shared" si="87"/>
        <v>53.085721107043916</v>
      </c>
      <c r="Q96" s="22">
        <f t="shared" si="54"/>
        <v>467.38760759476827</v>
      </c>
      <c r="R96" s="60">
        <f t="shared" si="55"/>
        <v>760.72094092810153</v>
      </c>
      <c r="S96" s="60">
        <f ca="1">AVERAGE(OFFSET($R$3,0,0,'Données projet'!$E$9+1,1))-AVERAGE(OFFSET($H$3,0,0,'Données projet'!$E$9+1,1))</f>
        <v>223.38593045370783</v>
      </c>
      <c r="T96" s="60">
        <f t="shared" si="88"/>
        <v>161.68519532023998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5.1159076974727213E-13</v>
      </c>
      <c r="AJ96" s="14">
        <f>AI96*VLOOKUP('Données projet'!$B$10,Paramètres!$A$1:$I$89,3,0)*VLOOKUP('Données projet'!$B$10,Paramètres!$A$1:$I$89,5,0)</f>
        <v>3.0593128030886877E-13</v>
      </c>
      <c r="AK96" s="14">
        <f t="shared" si="89"/>
        <v>4.0350537939347394E-12</v>
      </c>
      <c r="AL96" s="22">
        <f t="shared" si="58"/>
        <v>7.5605490043076185E-12</v>
      </c>
      <c r="AM96" s="60">
        <f t="shared" si="59"/>
        <v>293.33333333334087</v>
      </c>
      <c r="AN96" s="60">
        <f ca="1">AVERAGE(OFFSET($AM$3,0,0,'Données projet'!$E$10+1,1))-AVERAGE(OFFSET($H$3,0,0,'Données projet'!$E$10+1,1))</f>
        <v>216.19747366796145</v>
      </c>
      <c r="AO96" s="60">
        <f t="shared" si="90"/>
        <v>122.08911898780889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4.0987384882619359E-9</v>
      </c>
      <c r="AX96" s="23">
        <f t="shared" si="60"/>
        <v>4.0987384882619359E-9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>
        <f>VLOOKUP(A96,'Données projet'!$A$87:$I$107,2,0)</f>
        <v>348.92307692307691</v>
      </c>
      <c r="BB96" s="13">
        <f>VLOOKUP(A96,'Données projet'!$A$87:$I$107,9,0)</f>
        <v>8.1205128205128201</v>
      </c>
      <c r="BC96" s="13">
        <f t="array" ref="BC96">INDEX(BB:BB,MIN(IF(ISNUMBER(BB96:BB292),ROW(BB96:BB292),"")))</f>
        <v>8.1205128205128201</v>
      </c>
      <c r="BD96" s="13">
        <f>IF('Données projet'!$A$88&gt;35,BD95+BC96-BL95,IF(A96&lt;'Données projet'!$A$88,$BA$205^A96,IF(A96='Données projet'!$A$88,'Données projet'!$B$88,BD95+BC96-BL95)))</f>
        <v>348.92307692307645</v>
      </c>
      <c r="BE96" s="14">
        <f>BD96*VLOOKUP('Données projet'!$B$11,Paramètres!$A$1:$I$89,3,0)*VLOOKUP('Données projet'!$B$11,Paramètres!$A$1:$I$89,5,0)</f>
        <v>163.29599999999979</v>
      </c>
      <c r="BF96" s="14">
        <f t="shared" si="91"/>
        <v>41.585052862581854</v>
      </c>
      <c r="BG96" s="22">
        <f t="shared" si="61"/>
        <v>356.8345004023297</v>
      </c>
      <c r="BH96" s="60">
        <f t="shared" si="62"/>
        <v>650.16783373566295</v>
      </c>
      <c r="BI96" s="60">
        <f ca="1">AVERAGE(OFFSET($BH$3,0,0,'Données projet'!$E$11+1,1))-AVERAGE(OFFSET($H$3,0,0,'Données projet'!$E$11+1,1))</f>
        <v>179.52358670810645</v>
      </c>
      <c r="BJ96" s="60">
        <f t="shared" si="92"/>
        <v>89.471764801078166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2.9487179487179445</v>
      </c>
      <c r="BY96" s="13">
        <f>IF('Données projet'!$A$114&gt;35,BY95+BX96-CG95,IF(A96&lt;'Données projet'!$A$114,$BV$205^A96,IF(A96='Données projet'!$A$114,'Données projet'!$B$114,BY95+BX96-CG95)))</f>
        <v>214.61538461538456</v>
      </c>
      <c r="BZ96" s="14">
        <f>BY96*VLOOKUP('Données projet'!$B$12,Paramètres!$A$1:$I$89,3,0)*VLOOKUP('Données projet'!$B$12,Paramètres!$A$1:$I$89,5,0)</f>
        <v>224.31599999999997</v>
      </c>
      <c r="CA96" s="14">
        <f t="shared" si="93"/>
        <v>55.051883677338395</v>
      </c>
      <c r="CB96" s="22">
        <f t="shared" si="64"/>
        <v>486.56573073803094</v>
      </c>
      <c r="CC96" s="60">
        <f t="shared" si="65"/>
        <v>779.89906407136425</v>
      </c>
      <c r="CD96" s="60">
        <f ca="1">AVERAGE(OFFSET($CC$3,0,0,'Données projet'!$E$12+1,1))-AVERAGE(OFFSET($H$3,0,0,'Données projet'!$E$12+1,1))</f>
        <v>304.57411436867147</v>
      </c>
      <c r="CE96" s="60">
        <f t="shared" si="94"/>
        <v>178.19974548556962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2.9487179487179445</v>
      </c>
      <c r="CT96" s="13">
        <f>IF('Données projet'!$A$140&gt;35,CT95+CS96-DB95,IF(A96&lt;'Données projet'!$A$140,$CQ$205^A96,IF(A96='Données projet'!$A$140,'Données projet'!$B$140,CT95+CS96-DB95)))</f>
        <v>214.61538461538456</v>
      </c>
      <c r="CU96" s="18">
        <f>CT96*VLOOKUP('Données projet'!$B$13,Paramètres!$A$1:$I$89,3,0)*VLOOKUP('Données projet'!$B$13,Paramètres!$A$1:$I$89,5,0)</f>
        <v>207.57599999999994</v>
      </c>
      <c r="CV96" s="14">
        <f t="shared" si="95"/>
        <v>51.405523320603862</v>
      </c>
      <c r="CW96" s="22">
        <f t="shared" si="67"/>
        <v>451.05948645005157</v>
      </c>
      <c r="CX96" s="60">
        <f t="shared" si="68"/>
        <v>744.39281978338488</v>
      </c>
      <c r="CY96" s="60">
        <f ca="1">AVERAGE(OFFSET($CX$3,0,0,'Données projet'!$E$13+1,1))-AVERAGE(OFFSET($H$3,0,0,'Données projet'!$E$13+1,1))</f>
        <v>279.37339904167601</v>
      </c>
      <c r="CZ96" s="60">
        <f t="shared" si="96"/>
        <v>163.80861186980007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0" t="e">
        <f t="shared" si="71"/>
        <v>#N/A</v>
      </c>
      <c r="DT96" s="60" t="e">
        <f ca="1">AVERAGE(OFFSET($DS$3,0,0,'Données projet'!$E$14+1,1))-AVERAGE(OFFSET($H$3,0,0,'Données projet'!$E$14+1,1))</f>
        <v>#N/A</v>
      </c>
      <c r="DU96" s="60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25.661999999999978</v>
      </c>
      <c r="D97" s="12">
        <f t="shared" si="86"/>
        <v>8.1058983118768051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260.66447819694361</v>
      </c>
      <c r="H97" s="68">
        <f t="shared" si="56"/>
        <v>352.1457562265187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6.376923076923072</v>
      </c>
      <c r="N97" s="14">
        <f>IF('Données projet'!$A$36&gt;35,N96+M97-V96,IF(A97&lt;'Données projet'!$A$36,$K$205^A97,IF(A97='Données projet'!$A$36,'Données projet'!$B$36,N96+M97-V96)))</f>
        <v>366.36153846153849</v>
      </c>
      <c r="O97" s="14">
        <f>N97*VLOOKUP('Données projet'!$B$9,Paramètres!$A$1:$I$89,3,0)*VLOOKUP('Données projet'!$B$9,Paramètres!$A$1:$I$89,5,0)</f>
        <v>219.08420000000004</v>
      </c>
      <c r="P97" s="14">
        <f t="shared" si="87"/>
        <v>53.915792817838494</v>
      </c>
      <c r="Q97" s="22">
        <f t="shared" si="54"/>
        <v>475.4749874910687</v>
      </c>
      <c r="R97" s="60">
        <f t="shared" si="55"/>
        <v>768.80832082440202</v>
      </c>
      <c r="S97" s="60">
        <f ca="1">AVERAGE(OFFSET($R$3,0,0,'Données projet'!$E$9+1,1))-AVERAGE(OFFSET($H$3,0,0,'Données projet'!$E$9+1,1))</f>
        <v>223.38593045370783</v>
      </c>
      <c r="T97" s="60">
        <f t="shared" si="88"/>
        <v>161.68519532023998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5.1159076974727213E-13</v>
      </c>
      <c r="AJ97" s="14">
        <f>AI97*VLOOKUP('Données projet'!$B$10,Paramètres!$A$1:$I$89,3,0)*VLOOKUP('Données projet'!$B$10,Paramètres!$A$1:$I$89,5,0)</f>
        <v>3.0593128030886877E-13</v>
      </c>
      <c r="AK97" s="14">
        <f t="shared" si="89"/>
        <v>4.0350537939347394E-12</v>
      </c>
      <c r="AL97" s="22">
        <f t="shared" si="58"/>
        <v>7.5605490043076185E-12</v>
      </c>
      <c r="AM97" s="60">
        <f t="shared" si="59"/>
        <v>293.33333333334087</v>
      </c>
      <c r="AN97" s="60">
        <f ca="1">AVERAGE(OFFSET($AM$3,0,0,'Données projet'!$E$10+1,1))-AVERAGE(OFFSET($H$3,0,0,'Données projet'!$E$10+1,1))</f>
        <v>216.19747366796145</v>
      </c>
      <c r="AO97" s="60">
        <f t="shared" si="90"/>
        <v>122.08911898780889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2.8982457793603133E-9</v>
      </c>
      <c r="AX97" s="23">
        <f t="shared" si="60"/>
        <v>2.8982457793603133E-9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8.1576923076923151</v>
      </c>
      <c r="BD97" s="13">
        <f>IF('Données projet'!$A$88&gt;35,BD96+BC97-BL96,IF(A97&lt;'Données projet'!$A$88,$BA$205^A97,IF(A97='Données projet'!$A$88,'Données projet'!$B$88,BD96+BC97-BL96)))</f>
        <v>357.08076923076874</v>
      </c>
      <c r="BE97" s="14">
        <f>BD97*VLOOKUP('Données projet'!$B$11,Paramètres!$A$1:$I$89,3,0)*VLOOKUP('Données projet'!$B$11,Paramètres!$A$1:$I$89,5,0)</f>
        <v>167.11379999999977</v>
      </c>
      <c r="BF97" s="14">
        <f t="shared" si="91"/>
        <v>42.442968004718075</v>
      </c>
      <c r="BG97" s="22">
        <f t="shared" si="61"/>
        <v>364.97803760821688</v>
      </c>
      <c r="BH97" s="60">
        <f t="shared" si="62"/>
        <v>658.31137094155019</v>
      </c>
      <c r="BI97" s="60">
        <f ca="1">AVERAGE(OFFSET($BH$3,0,0,'Données projet'!$E$11+1,1))-AVERAGE(OFFSET($H$3,0,0,'Données projet'!$E$11+1,1))</f>
        <v>179.52358670810645</v>
      </c>
      <c r="BJ97" s="60">
        <f t="shared" si="92"/>
        <v>89.471764801078166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2.9487179487179445</v>
      </c>
      <c r="BY97" s="13">
        <f>IF('Données projet'!$A$114&gt;35,BY96+BX97-CG96,IF(A97&lt;'Données projet'!$A$114,$BV$205^A97,IF(A97='Données projet'!$A$114,'Données projet'!$B$114,BY96+BX97-CG96)))</f>
        <v>217.56410256410251</v>
      </c>
      <c r="BZ97" s="14">
        <f>BY97*VLOOKUP('Données projet'!$B$12,Paramètres!$A$1:$I$89,3,0)*VLOOKUP('Données projet'!$B$12,Paramètres!$A$1:$I$89,5,0)</f>
        <v>227.39799999999997</v>
      </c>
      <c r="CA97" s="14">
        <f t="shared" si="93"/>
        <v>55.719696292134564</v>
      </c>
      <c r="CB97" s="22">
        <f t="shared" si="64"/>
        <v>493.09665437546772</v>
      </c>
      <c r="CC97" s="60">
        <f t="shared" si="65"/>
        <v>786.42998770880104</v>
      </c>
      <c r="CD97" s="60">
        <f ca="1">AVERAGE(OFFSET($CC$3,0,0,'Données projet'!$E$12+1,1))-AVERAGE(OFFSET($H$3,0,0,'Données projet'!$E$12+1,1))</f>
        <v>304.57411436867147</v>
      </c>
      <c r="CE97" s="60">
        <f t="shared" si="94"/>
        <v>178.19974548556962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2.9487179487179445</v>
      </c>
      <c r="CT97" s="13">
        <f>IF('Données projet'!$A$140&gt;35,CT96+CS97-DB96,IF(A97&lt;'Données projet'!$A$140,$CQ$205^A97,IF(A97='Données projet'!$A$140,'Données projet'!$B$140,CT96+CS97-DB96)))</f>
        <v>217.56410256410251</v>
      </c>
      <c r="CU97" s="18">
        <f>CT97*VLOOKUP('Données projet'!$B$13,Paramètres!$A$1:$I$89,3,0)*VLOOKUP('Données projet'!$B$13,Paramètres!$A$1:$I$89,5,0)</f>
        <v>210.42799999999994</v>
      </c>
      <c r="CV97" s="14">
        <f t="shared" si="95"/>
        <v>52.029103380913988</v>
      </c>
      <c r="CW97" s="22">
        <f t="shared" si="67"/>
        <v>457.11278838842503</v>
      </c>
      <c r="CX97" s="60">
        <f t="shared" si="68"/>
        <v>750.44612172175835</v>
      </c>
      <c r="CY97" s="60">
        <f ca="1">AVERAGE(OFFSET($CX$3,0,0,'Données projet'!$E$13+1,1))-AVERAGE(OFFSET($H$3,0,0,'Données projet'!$E$13+1,1))</f>
        <v>279.37339904167601</v>
      </c>
      <c r="CZ97" s="60">
        <f t="shared" si="96"/>
        <v>163.80861186980007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0" t="e">
        <f t="shared" si="71"/>
        <v>#N/A</v>
      </c>
      <c r="DT97" s="60" t="e">
        <f ca="1">AVERAGE(OFFSET($DS$3,0,0,'Données projet'!$E$14+1,1))-AVERAGE(OFFSET($H$3,0,0,'Données projet'!$E$14+1,1))</f>
        <v>#N/A</v>
      </c>
      <c r="DU97" s="60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25.934999999999977</v>
      </c>
      <c r="D98" s="12">
        <f t="shared" si="86"/>
        <v>8.1820467654006723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263.35965924168926</v>
      </c>
      <c r="H98" s="68">
        <f t="shared" si="56"/>
        <v>352.75385644973943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372.73846153846154</v>
      </c>
      <c r="L98" s="13">
        <f>VLOOKUP(A98,'Données projet'!$A$35:$I$55,9,0)</f>
        <v>6.376923076923072</v>
      </c>
      <c r="M98" s="13">
        <f t="array" ref="M98">INDEX(L:L,MIN(IF(ISNUMBER(L98:L294),ROW(L98:L294),"")))</f>
        <v>6.376923076923072</v>
      </c>
      <c r="N98" s="14">
        <f>IF('Données projet'!$A$36&gt;35,N97+M98-V97,IF(A98&lt;'Données projet'!$A$36,$K$205^A98,IF(A98='Données projet'!$A$36,'Données projet'!$B$36,N97+M98-V97)))</f>
        <v>372.73846153846154</v>
      </c>
      <c r="O98" s="14">
        <f>N98*VLOOKUP('Données projet'!$B$9,Paramètres!$A$1:$I$89,3,0)*VLOOKUP('Données projet'!$B$9,Paramètres!$A$1:$I$89,5,0)</f>
        <v>222.89760000000001</v>
      </c>
      <c r="P98" s="14">
        <f t="shared" si="87"/>
        <v>54.744184358727466</v>
      </c>
      <c r="Q98" s="22">
        <f t="shared" si="54"/>
        <v>483.55944109145031</v>
      </c>
      <c r="R98" s="60">
        <f t="shared" si="55"/>
        <v>776.89277442478362</v>
      </c>
      <c r="S98" s="60">
        <f ca="1">AVERAGE(OFFSET($R$3,0,0,'Données projet'!$E$9+1,1))-AVERAGE(OFFSET($H$3,0,0,'Données projet'!$E$9+1,1))</f>
        <v>223.38593045370783</v>
      </c>
      <c r="T98" s="60">
        <f t="shared" si="88"/>
        <v>161.68519532023998</v>
      </c>
      <c r="U98" s="16">
        <f>IF(ISNA(VLOOKUP(A98,'Données projet'!$A$35:$I$55,3,0)),0,VLOOKUP(A98,'Données projet'!$A$35:$I$55,3,0))</f>
        <v>5</v>
      </c>
      <c r="V98" s="16">
        <f>IF(ISNA(VLOOKUP(A98,'Données projet'!$A$35:$I$55,4,0)),0,VLOOKUP(A98,'Données projet'!$A$35:$I$55,4,0))</f>
        <v>203.73846153846154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5.1159076974727213E-13</v>
      </c>
      <c r="AJ98" s="14">
        <f>AI98*VLOOKUP('Données projet'!$B$10,Paramètres!$A$1:$I$89,3,0)*VLOOKUP('Données projet'!$B$10,Paramètres!$A$1:$I$89,5,0)</f>
        <v>3.0593128030886877E-13</v>
      </c>
      <c r="AK98" s="14">
        <f t="shared" si="89"/>
        <v>4.0350537939347394E-12</v>
      </c>
      <c r="AL98" s="22">
        <f t="shared" si="58"/>
        <v>7.5605490043076185E-12</v>
      </c>
      <c r="AM98" s="60">
        <f t="shared" si="59"/>
        <v>293.33333333334087</v>
      </c>
      <c r="AN98" s="60">
        <f ca="1">AVERAGE(OFFSET($AM$3,0,0,'Données projet'!$E$10+1,1))-AVERAGE(OFFSET($H$3,0,0,'Données projet'!$E$10+1,1))</f>
        <v>216.19747366796145</v>
      </c>
      <c r="AO98" s="60">
        <f t="shared" si="90"/>
        <v>122.08911898780889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2.049369244130968E-9</v>
      </c>
      <c r="AX98" s="23">
        <f t="shared" si="60"/>
        <v>2.049369244130968E-9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8.1576923076923151</v>
      </c>
      <c r="BD98" s="13">
        <f>IF('Données projet'!$A$88&gt;35,BD97+BC98-BL97,IF(A98&lt;'Données projet'!$A$88,$BA$205^A98,IF(A98='Données projet'!$A$88,'Données projet'!$B$88,BD97+BC98-BL97)))</f>
        <v>365.23846153846102</v>
      </c>
      <c r="BE98" s="14">
        <f>BD98*VLOOKUP('Données projet'!$B$11,Paramètres!$A$1:$I$89,3,0)*VLOOKUP('Données projet'!$B$11,Paramètres!$A$1:$I$89,5,0)</f>
        <v>170.93159999999975</v>
      </c>
      <c r="BF98" s="14">
        <f t="shared" si="91"/>
        <v>43.298604585177706</v>
      </c>
      <c r="BG98" s="22">
        <f t="shared" si="61"/>
        <v>373.11760631918406</v>
      </c>
      <c r="BH98" s="60">
        <f t="shared" si="62"/>
        <v>666.45093965251738</v>
      </c>
      <c r="BI98" s="60">
        <f ca="1">AVERAGE(OFFSET($BH$3,0,0,'Données projet'!$E$11+1,1))-AVERAGE(OFFSET($H$3,0,0,'Données projet'!$E$11+1,1))</f>
        <v>179.52358670810645</v>
      </c>
      <c r="BJ98" s="60">
        <f t="shared" si="92"/>
        <v>89.471764801078166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220.5128205128205</v>
      </c>
      <c r="BW98" s="13">
        <f>VLOOKUP(A98,'Données projet'!$A$113:$I$133,9,0)</f>
        <v>2.9487179487179445</v>
      </c>
      <c r="BX98" s="13">
        <f t="array" ref="BX98">INDEX(BW:BW,MIN(IF(ISNUMBER(BW98:BW294),ROW(BW98:BW294),"")))</f>
        <v>2.9487179487179445</v>
      </c>
      <c r="BY98" s="13">
        <f>IF('Données projet'!$A$114&gt;35,BY97+BX98-CG97,IF(A98&lt;'Données projet'!$A$114,$BV$205^A98,IF(A98='Données projet'!$A$114,'Données projet'!$B$114,BY97+BX98-CG97)))</f>
        <v>220.51282051282047</v>
      </c>
      <c r="BZ98" s="14">
        <f>BY98*VLOOKUP('Données projet'!$B$12,Paramètres!$A$1:$I$89,3,0)*VLOOKUP('Données projet'!$B$12,Paramètres!$A$1:$I$89,5,0)</f>
        <v>230.48</v>
      </c>
      <c r="CA98" s="14">
        <f t="shared" si="93"/>
        <v>56.386456157236054</v>
      </c>
      <c r="CB98" s="22">
        <f t="shared" si="64"/>
        <v>499.62574447385276</v>
      </c>
      <c r="CC98" s="60">
        <f t="shared" si="65"/>
        <v>792.95907780718608</v>
      </c>
      <c r="CD98" s="60">
        <f ca="1">AVERAGE(OFFSET($CC$3,0,0,'Données projet'!$E$12+1,1))-AVERAGE(OFFSET($H$3,0,0,'Données projet'!$E$12+1,1))</f>
        <v>304.57411436867147</v>
      </c>
      <c r="CE98" s="60">
        <f t="shared" si="94"/>
        <v>178.19974548556962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220.5128205128205</v>
      </c>
      <c r="CR98" s="13">
        <f>VLOOKUP(A98,'Données projet'!$A$139:$I$159,9,0)</f>
        <v>2.9487179487179445</v>
      </c>
      <c r="CS98" s="13">
        <f t="array" ref="CS98">INDEX(CR:CR,MIN(IF(ISNUMBER(CR98:CR294),ROW(CR98:CR294),"")))</f>
        <v>2.9487179487179445</v>
      </c>
      <c r="CT98" s="13">
        <f>IF('Données projet'!$A$140&gt;35,CT97+CS98-DB97,IF(A98&lt;'Données projet'!$A$140,$CQ$205^A98,IF(A98='Données projet'!$A$140,'Données projet'!$B$140,CT97+CS98-DB97)))</f>
        <v>220.51282051282047</v>
      </c>
      <c r="CU98" s="18">
        <f>CT98*VLOOKUP('Données projet'!$B$13,Paramètres!$A$1:$I$89,3,0)*VLOOKUP('Données projet'!$B$13,Paramètres!$A$1:$I$89,5,0)</f>
        <v>213.27999999999997</v>
      </c>
      <c r="CV98" s="14">
        <f t="shared" si="95"/>
        <v>52.651700420383207</v>
      </c>
      <c r="CW98" s="22">
        <f t="shared" si="67"/>
        <v>463.16437823216739</v>
      </c>
      <c r="CX98" s="60">
        <f t="shared" si="68"/>
        <v>756.49771156550071</v>
      </c>
      <c r="CY98" s="60">
        <f ca="1">AVERAGE(OFFSET($CX$3,0,0,'Données projet'!$E$13+1,1))-AVERAGE(OFFSET($H$3,0,0,'Données projet'!$E$13+1,1))</f>
        <v>279.37339904167601</v>
      </c>
      <c r="CZ98" s="60">
        <f t="shared" si="96"/>
        <v>163.80861186980007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0" t="e">
        <f t="shared" si="71"/>
        <v>#N/A</v>
      </c>
      <c r="DT98" s="60" t="e">
        <f ca="1">AVERAGE(OFFSET($DS$3,0,0,'Données projet'!$E$14+1,1))-AVERAGE(OFFSET($H$3,0,0,'Données projet'!$E$14+1,1))</f>
        <v>#N/A</v>
      </c>
      <c r="DU98" s="60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26.207999999999977</v>
      </c>
      <c r="D99" s="12">
        <f t="shared" si="86"/>
        <v>8.2581019723450915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266.05412048827776</v>
      </c>
      <c r="H99" s="68">
        <f t="shared" si="56"/>
        <v>353.361794268501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4.6046153846153803</v>
      </c>
      <c r="N99" s="14">
        <f>IF('Données projet'!$A$36&gt;35,N98+M99-V98,IF(A99&lt;'Données projet'!$A$36,$K$205^A99,IF(A99='Données projet'!$A$36,'Données projet'!$B$36,N98+M99-V98)))</f>
        <v>173.60461538461539</v>
      </c>
      <c r="O99" s="14">
        <f>N99*VLOOKUP('Données projet'!$B$9,Paramètres!$A$1:$I$89,3,0)*VLOOKUP('Données projet'!$B$9,Paramètres!$A$1:$I$89,5,0)</f>
        <v>103.81556</v>
      </c>
      <c r="P99" s="14">
        <f t="shared" si="87"/>
        <v>27.869011613348999</v>
      </c>
      <c r="Q99" s="22">
        <f t="shared" ref="Q99:Q130" si="107">(O99+P99)*0.475*44/12</f>
        <v>229.35062889324948</v>
      </c>
      <c r="R99" s="60">
        <f t="shared" si="55"/>
        <v>522.68396222658282</v>
      </c>
      <c r="S99" s="60">
        <f ca="1">AVERAGE(OFFSET($R$3,0,0,'Données projet'!$E$9+1,1))-AVERAGE(OFFSET($H$3,0,0,'Données projet'!$E$9+1,1))</f>
        <v>223.38593045370783</v>
      </c>
      <c r="T99" s="60">
        <f t="shared" si="88"/>
        <v>161.68519532023998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5.1159076974727213E-13</v>
      </c>
      <c r="AJ99" s="14">
        <f>AI99*VLOOKUP('Données projet'!$B$10,Paramètres!$A$1:$I$89,3,0)*VLOOKUP('Données projet'!$B$10,Paramètres!$A$1:$I$89,5,0)</f>
        <v>3.0593128030886877E-13</v>
      </c>
      <c r="AK99" s="14">
        <f t="shared" si="89"/>
        <v>4.0350537939347394E-12</v>
      </c>
      <c r="AL99" s="22">
        <f t="shared" si="58"/>
        <v>7.5605490043076185E-12</v>
      </c>
      <c r="AM99" s="60">
        <f t="shared" si="59"/>
        <v>293.33333333334087</v>
      </c>
      <c r="AN99" s="60">
        <f ca="1">AVERAGE(OFFSET($AM$3,0,0,'Données projet'!$E$10+1,1))-AVERAGE(OFFSET($H$3,0,0,'Données projet'!$E$10+1,1))</f>
        <v>216.19747366796145</v>
      </c>
      <c r="AO99" s="60">
        <f t="shared" si="90"/>
        <v>122.08911898780889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1.4491228896801567E-9</v>
      </c>
      <c r="AX99" s="23">
        <f t="shared" si="60"/>
        <v>1.4491228896801567E-9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8.1576923076923151</v>
      </c>
      <c r="BD99" s="13">
        <f>IF('Données projet'!$A$88&gt;35,BD98+BC99-BL98,IF(A99&lt;'Données projet'!$A$88,$BA$205^A99,IF(A99='Données projet'!$A$88,'Données projet'!$B$88,BD98+BC99-BL98)))</f>
        <v>373.39615384615331</v>
      </c>
      <c r="BE99" s="14">
        <f>BD99*VLOOKUP('Données projet'!$B$11,Paramètres!$A$1:$I$89,3,0)*VLOOKUP('Données projet'!$B$11,Paramètres!$A$1:$I$89,5,0)</f>
        <v>174.74939999999975</v>
      </c>
      <c r="BF99" s="14">
        <f t="shared" si="91"/>
        <v>44.152019355804249</v>
      </c>
      <c r="BG99" s="22">
        <f t="shared" si="61"/>
        <v>381.25330537802529</v>
      </c>
      <c r="BH99" s="60">
        <f t="shared" si="62"/>
        <v>674.58663871135855</v>
      </c>
      <c r="BI99" s="60">
        <f ca="1">AVERAGE(OFFSET($BH$3,0,0,'Données projet'!$E$11+1,1))-AVERAGE(OFFSET($H$3,0,0,'Données projet'!$E$11+1,1))</f>
        <v>179.52358670810645</v>
      </c>
      <c r="BJ99" s="60">
        <f t="shared" si="92"/>
        <v>89.471764801078166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2.6923076923076961</v>
      </c>
      <c r="BY99" s="13">
        <f>IF('Données projet'!$A$114&gt;35,BY98+BX99-CG98,IF(A99&lt;'Données projet'!$A$114,$BV$205^A99,IF(A99='Données projet'!$A$114,'Données projet'!$B$114,BY98+BX99-CG98)))</f>
        <v>223.20512820512818</v>
      </c>
      <c r="BZ99" s="14">
        <f>BY99*VLOOKUP('Données projet'!$B$12,Paramètres!$A$1:$I$89,3,0)*VLOOKUP('Données projet'!$B$12,Paramètres!$A$1:$I$89,5,0)</f>
        <v>233.29399999999998</v>
      </c>
      <c r="CA99" s="14">
        <f t="shared" si="93"/>
        <v>56.994330815285466</v>
      </c>
      <c r="CB99" s="22">
        <f t="shared" si="64"/>
        <v>505.58550950328885</v>
      </c>
      <c r="CC99" s="60">
        <f t="shared" si="65"/>
        <v>798.91884283662216</v>
      </c>
      <c r="CD99" s="60">
        <f ca="1">AVERAGE(OFFSET($CC$3,0,0,'Données projet'!$E$12+1,1))-AVERAGE(OFFSET($H$3,0,0,'Données projet'!$E$12+1,1))</f>
        <v>304.57411436867147</v>
      </c>
      <c r="CE99" s="60">
        <f t="shared" si="94"/>
        <v>178.19974548556962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2.6923076923076961</v>
      </c>
      <c r="CT99" s="13">
        <f>IF('Données projet'!$A$140&gt;35,CT98+CS99-DB98,IF(A99&lt;'Données projet'!$A$140,$CQ$205^A99,IF(A99='Données projet'!$A$140,'Données projet'!$B$140,CT98+CS99-DB98)))</f>
        <v>223.20512820512818</v>
      </c>
      <c r="CU99" s="18">
        <f>CT99*VLOOKUP('Données projet'!$B$13,Paramètres!$A$1:$I$89,3,0)*VLOOKUP('Données projet'!$B$13,Paramètres!$A$1:$I$89,5,0)</f>
        <v>215.88399999999999</v>
      </c>
      <c r="CV99" s="14">
        <f t="shared" si="95"/>
        <v>53.219312513250223</v>
      </c>
      <c r="CW99" s="22">
        <f t="shared" si="67"/>
        <v>468.68826929391076</v>
      </c>
      <c r="CX99" s="60">
        <f t="shared" si="68"/>
        <v>762.02160262724408</v>
      </c>
      <c r="CY99" s="60">
        <f ca="1">AVERAGE(OFFSET($CX$3,0,0,'Données projet'!$E$13+1,1))-AVERAGE(OFFSET($H$3,0,0,'Données projet'!$E$13+1,1))</f>
        <v>279.37339904167601</v>
      </c>
      <c r="CZ99" s="60">
        <f t="shared" si="96"/>
        <v>163.80861186980007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0" t="e">
        <f t="shared" si="71"/>
        <v>#N/A</v>
      </c>
      <c r="DT99" s="60" t="e">
        <f ca="1">AVERAGE(OFFSET($DS$3,0,0,'Données projet'!$E$14+1,1))-AVERAGE(OFFSET($H$3,0,0,'Données projet'!$E$14+1,1))</f>
        <v>#N/A</v>
      </c>
      <c r="DU99" s="60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26.480999999999977</v>
      </c>
      <c r="D100" s="12">
        <f t="shared" si="86"/>
        <v>8.3340650164723247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268.74787030259324</v>
      </c>
      <c r="H100" s="68">
        <f t="shared" si="56"/>
        <v>353.96957157035592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4.6046153846153803</v>
      </c>
      <c r="N100" s="14">
        <f>IF('Données projet'!$A$36&gt;35,N99+M100-V99,IF(A100&lt;'Données projet'!$A$36,$K$205^A100,IF(A100='Données projet'!$A$36,'Données projet'!$B$36,N99+M100-V99)))</f>
        <v>178.20923076923077</v>
      </c>
      <c r="O100" s="14">
        <f>N100*VLOOKUP('Données projet'!$B$9,Paramètres!$A$1:$I$89,3,0)*VLOOKUP('Données projet'!$B$9,Paramètres!$A$1:$I$89,5,0)</f>
        <v>106.56912000000001</v>
      </c>
      <c r="P100" s="14">
        <f t="shared" si="87"/>
        <v>28.52115782606614</v>
      </c>
      <c r="Q100" s="22">
        <f t="shared" si="107"/>
        <v>235.28223388039854</v>
      </c>
      <c r="R100" s="60">
        <f t="shared" si="55"/>
        <v>528.61556721373188</v>
      </c>
      <c r="S100" s="60">
        <f ca="1">AVERAGE(OFFSET($R$3,0,0,'Données projet'!$E$9+1,1))-AVERAGE(OFFSET($H$3,0,0,'Données projet'!$E$9+1,1))</f>
        <v>223.38593045370783</v>
      </c>
      <c r="T100" s="60">
        <f t="shared" si="88"/>
        <v>161.68519532023998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5.1159076974727213E-13</v>
      </c>
      <c r="AJ100" s="14">
        <f>AI100*VLOOKUP('Données projet'!$B$10,Paramètres!$A$1:$I$89,3,0)*VLOOKUP('Données projet'!$B$10,Paramètres!$A$1:$I$89,5,0)</f>
        <v>3.0593128030886877E-13</v>
      </c>
      <c r="AK100" s="14">
        <f t="shared" si="89"/>
        <v>4.0350537939347394E-12</v>
      </c>
      <c r="AL100" s="22">
        <f t="shared" si="58"/>
        <v>7.5605490043076185E-12</v>
      </c>
      <c r="AM100" s="60">
        <f t="shared" si="59"/>
        <v>293.33333333334087</v>
      </c>
      <c r="AN100" s="60">
        <f ca="1">AVERAGE(OFFSET($AM$3,0,0,'Données projet'!$E$10+1,1))-AVERAGE(OFFSET($H$3,0,0,'Données projet'!$E$10+1,1))</f>
        <v>216.19747366796145</v>
      </c>
      <c r="AO100" s="60">
        <f t="shared" si="90"/>
        <v>122.08911898780889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1.024684622065484E-9</v>
      </c>
      <c r="AX100" s="23">
        <f t="shared" si="60"/>
        <v>1.024684622065484E-9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8.1576923076923151</v>
      </c>
      <c r="BD100" s="13">
        <f>IF('Données projet'!$A$88&gt;35,BD99+BC100-BL99,IF(A100&lt;'Données projet'!$A$88,$BA$205^A100,IF(A100='Données projet'!$A$88,'Données projet'!$B$88,BD99+BC100-BL99)))</f>
        <v>381.5538461538456</v>
      </c>
      <c r="BE100" s="14">
        <f>BD100*VLOOKUP('Données projet'!$B$11,Paramètres!$A$1:$I$89,3,0)*VLOOKUP('Données projet'!$B$11,Paramètres!$A$1:$I$89,5,0)</f>
        <v>178.56719999999976</v>
      </c>
      <c r="BF100" s="14">
        <f t="shared" si="91"/>
        <v>45.003266447079469</v>
      </c>
      <c r="BG100" s="22">
        <f t="shared" si="61"/>
        <v>389.38522906199631</v>
      </c>
      <c r="BH100" s="60">
        <f t="shared" si="62"/>
        <v>682.71856239532963</v>
      </c>
      <c r="BI100" s="60">
        <f ca="1">AVERAGE(OFFSET($BH$3,0,0,'Données projet'!$E$11+1,1))-AVERAGE(OFFSET($H$3,0,0,'Données projet'!$E$11+1,1))</f>
        <v>179.52358670810645</v>
      </c>
      <c r="BJ100" s="60">
        <f t="shared" si="92"/>
        <v>89.471764801078166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2.6923076923076961</v>
      </c>
      <c r="BY100" s="13">
        <f>IF('Données projet'!$A$114&gt;35,BY99+BX100-CG99,IF(A100&lt;'Données projet'!$A$114,$BV$205^A100,IF(A100='Données projet'!$A$114,'Données projet'!$B$114,BY99+BX100-CG99)))</f>
        <v>225.89743589743588</v>
      </c>
      <c r="BZ100" s="14">
        <f>BY100*VLOOKUP('Données projet'!$B$12,Paramètres!$A$1:$I$89,3,0)*VLOOKUP('Données projet'!$B$12,Paramètres!$A$1:$I$89,5,0)</f>
        <v>236.108</v>
      </c>
      <c r="CA100" s="14">
        <f t="shared" si="93"/>
        <v>57.601352581738276</v>
      </c>
      <c r="CB100" s="22">
        <f t="shared" si="64"/>
        <v>511.5437890798608</v>
      </c>
      <c r="CC100" s="60">
        <f t="shared" si="65"/>
        <v>804.87712241319412</v>
      </c>
      <c r="CD100" s="60">
        <f ca="1">AVERAGE(OFFSET($CC$3,0,0,'Données projet'!$E$12+1,1))-AVERAGE(OFFSET($H$3,0,0,'Données projet'!$E$12+1,1))</f>
        <v>304.57411436867147</v>
      </c>
      <c r="CE100" s="60">
        <f t="shared" si="94"/>
        <v>178.19974548556962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2.6923076923076961</v>
      </c>
      <c r="CT100" s="13">
        <f>IF('Données projet'!$A$140&gt;35,CT99+CS100-DB99,IF(A100&lt;'Données projet'!$A$140,$CQ$205^A100,IF(A100='Données projet'!$A$140,'Données projet'!$B$140,CT99+CS100-DB99)))</f>
        <v>225.89743589743588</v>
      </c>
      <c r="CU100" s="18">
        <f>CT100*VLOOKUP('Données projet'!$B$13,Paramètres!$A$1:$I$89,3,0)*VLOOKUP('Données projet'!$B$13,Paramètres!$A$1:$I$89,5,0)</f>
        <v>218.488</v>
      </c>
      <c r="CV100" s="14">
        <f t="shared" si="95"/>
        <v>53.786128205777544</v>
      </c>
      <c r="CW100" s="22">
        <f t="shared" si="67"/>
        <v>474.21077329172914</v>
      </c>
      <c r="CX100" s="60">
        <f t="shared" si="68"/>
        <v>767.54410662506245</v>
      </c>
      <c r="CY100" s="60">
        <f ca="1">AVERAGE(OFFSET($CX$3,0,0,'Données projet'!$E$13+1,1))-AVERAGE(OFFSET($H$3,0,0,'Données projet'!$E$13+1,1))</f>
        <v>279.37339904167601</v>
      </c>
      <c r="CZ100" s="60">
        <f t="shared" si="96"/>
        <v>163.80861186980007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0" t="e">
        <f t="shared" si="71"/>
        <v>#N/A</v>
      </c>
      <c r="DT100" s="60" t="e">
        <f ca="1">AVERAGE(OFFSET($DS$3,0,0,'Données projet'!$E$14+1,1))-AVERAGE(OFFSET($H$3,0,0,'Données projet'!$E$14+1,1))</f>
        <v>#N/A</v>
      </c>
      <c r="DU100" s="60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26.753999999999976</v>
      </c>
      <c r="D101" s="12">
        <f t="shared" si="86"/>
        <v>8.4099369579114391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271.44091686808815</v>
      </c>
      <c r="H101" s="68">
        <f t="shared" si="56"/>
        <v>354.57719020169571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4.6046153846153803</v>
      </c>
      <c r="N101" s="14">
        <f>IF('Données projet'!$A$36&gt;35,N100+M101-V100,IF(A101&lt;'Données projet'!$A$36,$K$205^A101,IF(A101='Données projet'!$A$36,'Données projet'!$B$36,N100+M101-V100)))</f>
        <v>182.81384615384616</v>
      </c>
      <c r="O101" s="14">
        <f>N101*VLOOKUP('Données projet'!$B$9,Paramètres!$A$1:$I$89,3,0)*VLOOKUP('Données projet'!$B$9,Paramètres!$A$1:$I$89,5,0)</f>
        <v>109.32268000000001</v>
      </c>
      <c r="P101" s="14">
        <f t="shared" si="87"/>
        <v>29.171345377812671</v>
      </c>
      <c r="Q101" s="22">
        <f t="shared" si="107"/>
        <v>241.21042753302376</v>
      </c>
      <c r="R101" s="60">
        <f t="shared" si="55"/>
        <v>534.54376086635705</v>
      </c>
      <c r="S101" s="60">
        <f ca="1">AVERAGE(OFFSET($R$3,0,0,'Données projet'!$E$9+1,1))-AVERAGE(OFFSET($H$3,0,0,'Données projet'!$E$9+1,1))</f>
        <v>223.38593045370783</v>
      </c>
      <c r="T101" s="60">
        <f t="shared" si="88"/>
        <v>161.68519532023998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5.1159076974727213E-13</v>
      </c>
      <c r="AJ101" s="14">
        <f>AI101*VLOOKUP('Données projet'!$B$10,Paramètres!$A$1:$I$89,3,0)*VLOOKUP('Données projet'!$B$10,Paramètres!$A$1:$I$89,5,0)</f>
        <v>3.0593128030886877E-13</v>
      </c>
      <c r="AK101" s="14">
        <f t="shared" si="89"/>
        <v>4.0350537939347394E-12</v>
      </c>
      <c r="AL101" s="22">
        <f t="shared" si="58"/>
        <v>7.5605490043076185E-12</v>
      </c>
      <c r="AM101" s="60">
        <f t="shared" si="59"/>
        <v>293.33333333334087</v>
      </c>
      <c r="AN101" s="60">
        <f ca="1">AVERAGE(OFFSET($AM$3,0,0,'Données projet'!$E$10+1,1))-AVERAGE(OFFSET($H$3,0,0,'Données projet'!$E$10+1,1))</f>
        <v>216.19747366796145</v>
      </c>
      <c r="AO101" s="60">
        <f t="shared" si="90"/>
        <v>122.08911898780889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7.2456144484007833E-10</v>
      </c>
      <c r="AX101" s="23">
        <f t="shared" si="60"/>
        <v>7.2456144484007833E-10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8.1576923076923151</v>
      </c>
      <c r="BD101" s="13">
        <f>IF('Données projet'!$A$88&gt;35,BD100+BC101-BL100,IF(A101&lt;'Données projet'!$A$88,$BA$205^A101,IF(A101='Données projet'!$A$88,'Données projet'!$B$88,BD100+BC101-BL100)))</f>
        <v>389.71153846153788</v>
      </c>
      <c r="BE101" s="14">
        <f>BD101*VLOOKUP('Données projet'!$B$11,Paramètres!$A$1:$I$89,3,0)*VLOOKUP('Données projet'!$B$11,Paramètres!$A$1:$I$89,5,0)</f>
        <v>182.38499999999974</v>
      </c>
      <c r="BF101" s="14">
        <f t="shared" si="91"/>
        <v>45.852397542618846</v>
      </c>
      <c r="BG101" s="22">
        <f t="shared" si="61"/>
        <v>397.51346738672737</v>
      </c>
      <c r="BH101" s="60">
        <f t="shared" si="62"/>
        <v>690.84680072006063</v>
      </c>
      <c r="BI101" s="60">
        <f ca="1">AVERAGE(OFFSET($BH$3,0,0,'Données projet'!$E$11+1,1))-AVERAGE(OFFSET($H$3,0,0,'Données projet'!$E$11+1,1))</f>
        <v>179.52358670810645</v>
      </c>
      <c r="BJ101" s="60">
        <f t="shared" si="92"/>
        <v>89.471764801078166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2.6923076923076961</v>
      </c>
      <c r="BY101" s="13">
        <f>IF('Données projet'!$A$114&gt;35,BY100+BX101-CG100,IF(A101&lt;'Données projet'!$A$114,$BV$205^A101,IF(A101='Données projet'!$A$114,'Données projet'!$B$114,BY100+BX101-CG100)))</f>
        <v>228.58974358974359</v>
      </c>
      <c r="BZ101" s="14">
        <f>BY101*VLOOKUP('Données projet'!$B$12,Paramètres!$A$1:$I$89,3,0)*VLOOKUP('Données projet'!$B$12,Paramètres!$A$1:$I$89,5,0)</f>
        <v>238.92200000000003</v>
      </c>
      <c r="CA101" s="14">
        <f t="shared" si="93"/>
        <v>58.207532797468268</v>
      </c>
      <c r="CB101" s="22">
        <f t="shared" si="64"/>
        <v>517.50060295559058</v>
      </c>
      <c r="CC101" s="60">
        <f t="shared" si="65"/>
        <v>810.83393628892395</v>
      </c>
      <c r="CD101" s="60">
        <f ca="1">AVERAGE(OFFSET($CC$3,0,0,'Données projet'!$E$12+1,1))-AVERAGE(OFFSET($H$3,0,0,'Données projet'!$E$12+1,1))</f>
        <v>304.57411436867147</v>
      </c>
      <c r="CE101" s="60">
        <f t="shared" si="94"/>
        <v>178.19974548556962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2.6923076923076961</v>
      </c>
      <c r="CT101" s="13">
        <f>IF('Données projet'!$A$140&gt;35,CT100+CS101-DB100,IF(A101&lt;'Données projet'!$A$140,$CQ$205^A101,IF(A101='Données projet'!$A$140,'Données projet'!$B$140,CT100+CS101-DB100)))</f>
        <v>228.58974358974359</v>
      </c>
      <c r="CU101" s="18">
        <f>CT101*VLOOKUP('Données projet'!$B$13,Paramètres!$A$1:$I$89,3,0)*VLOOKUP('Données projet'!$B$13,Paramètres!$A$1:$I$89,5,0)</f>
        <v>221.09200000000004</v>
      </c>
      <c r="CV101" s="14">
        <f t="shared" si="95"/>
        <v>54.352158087676465</v>
      </c>
      <c r="CW101" s="22">
        <f t="shared" si="67"/>
        <v>479.73190866936989</v>
      </c>
      <c r="CX101" s="60">
        <f t="shared" si="68"/>
        <v>773.06524200270314</v>
      </c>
      <c r="CY101" s="60">
        <f ca="1">AVERAGE(OFFSET($CX$3,0,0,'Données projet'!$E$13+1,1))-AVERAGE(OFFSET($H$3,0,0,'Données projet'!$E$13+1,1))</f>
        <v>279.37339904167601</v>
      </c>
      <c r="CZ101" s="60">
        <f t="shared" si="96"/>
        <v>163.80861186980007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0" t="e">
        <f t="shared" si="71"/>
        <v>#N/A</v>
      </c>
      <c r="DT101" s="60" t="e">
        <f ca="1">AVERAGE(OFFSET($DS$3,0,0,'Données projet'!$E$14+1,1))-AVERAGE(OFFSET($H$3,0,0,'Données projet'!$E$14+1,1))</f>
        <v>#N/A</v>
      </c>
      <c r="DU101" s="60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27.026999999999976</v>
      </c>
      <c r="D102" s="12">
        <f t="shared" si="86"/>
        <v>8.4857188339094485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274.13326819158152</v>
      </c>
      <c r="H102" s="68">
        <f t="shared" si="56"/>
        <v>355.1846519690589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4.6046153846153803</v>
      </c>
      <c r="N102" s="14">
        <f>IF('Données projet'!$A$36&gt;35,N101+M102-V101,IF(A102&lt;'Données projet'!$A$36,$K$205^A102,IF(A102='Données projet'!$A$36,'Données projet'!$B$36,N101+M102-V101)))</f>
        <v>187.41846153846154</v>
      </c>
      <c r="O102" s="14">
        <f>N102*VLOOKUP('Données projet'!$B$9,Paramètres!$A$1:$I$89,3,0)*VLOOKUP('Données projet'!$B$9,Paramètres!$A$1:$I$89,5,0)</f>
        <v>112.07624000000001</v>
      </c>
      <c r="P102" s="14">
        <f t="shared" si="87"/>
        <v>29.819629275822379</v>
      </c>
      <c r="Q102" s="22">
        <f t="shared" si="107"/>
        <v>247.13530565539068</v>
      </c>
      <c r="R102" s="60">
        <f t="shared" si="55"/>
        <v>540.46863898872402</v>
      </c>
      <c r="S102" s="60">
        <f ca="1">AVERAGE(OFFSET($R$3,0,0,'Données projet'!$E$9+1,1))-AVERAGE(OFFSET($H$3,0,0,'Données projet'!$E$9+1,1))</f>
        <v>223.38593045370783</v>
      </c>
      <c r="T102" s="60">
        <f t="shared" si="88"/>
        <v>161.68519532023998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5.1159076974727213E-13</v>
      </c>
      <c r="AJ102" s="14">
        <f>AI102*VLOOKUP('Données projet'!$B$10,Paramètres!$A$1:$I$89,3,0)*VLOOKUP('Données projet'!$B$10,Paramètres!$A$1:$I$89,5,0)</f>
        <v>3.0593128030886877E-13</v>
      </c>
      <c r="AK102" s="14">
        <f t="shared" si="89"/>
        <v>4.0350537939347394E-12</v>
      </c>
      <c r="AL102" s="22">
        <f t="shared" si="58"/>
        <v>7.5605490043076185E-12</v>
      </c>
      <c r="AM102" s="60">
        <f t="shared" si="59"/>
        <v>293.33333333334087</v>
      </c>
      <c r="AN102" s="60">
        <f ca="1">AVERAGE(OFFSET($AM$3,0,0,'Données projet'!$E$10+1,1))-AVERAGE(OFFSET($H$3,0,0,'Données projet'!$E$10+1,1))</f>
        <v>216.19747366796145</v>
      </c>
      <c r="AO102" s="60">
        <f t="shared" si="90"/>
        <v>122.08911898780889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5.1234231103274199E-10</v>
      </c>
      <c r="AX102" s="23">
        <f t="shared" si="60"/>
        <v>5.1234231103274199E-10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>
        <f>VLOOKUP(A102,'Données projet'!$A$87:$I$107,2,0)</f>
        <v>397.8692307692308</v>
      </c>
      <c r="BB102" s="13">
        <f>VLOOKUP(A102,'Données projet'!$A$87:$I$107,9,0)</f>
        <v>8.1576923076923151</v>
      </c>
      <c r="BC102" s="13">
        <f t="array" ref="BC102">INDEX(BB:BB,MIN(IF(ISNUMBER(BB102:BB298),ROW(BB102:BB298),"")))</f>
        <v>8.1576923076923151</v>
      </c>
      <c r="BD102" s="13">
        <f>IF('Données projet'!$A$88&gt;35,BD101+BC102-BL101,IF(A102&lt;'Données projet'!$A$88,$BA$205^A102,IF(A102='Données projet'!$A$88,'Données projet'!$B$88,BD101+BC102-BL101)))</f>
        <v>397.86923076923017</v>
      </c>
      <c r="BE102" s="14">
        <f>BD102*VLOOKUP('Données projet'!$B$11,Paramètres!$A$1:$I$89,3,0)*VLOOKUP('Données projet'!$B$11,Paramètres!$A$1:$I$89,5,0)</f>
        <v>186.20279999999971</v>
      </c>
      <c r="BF102" s="14">
        <f t="shared" si="91"/>
        <v>46.699462038644107</v>
      </c>
      <c r="BG102" s="22">
        <f t="shared" si="61"/>
        <v>405.63810638397126</v>
      </c>
      <c r="BH102" s="60">
        <f t="shared" si="62"/>
        <v>698.97143971730452</v>
      </c>
      <c r="BI102" s="60">
        <f ca="1">AVERAGE(OFFSET($BH$3,0,0,'Données projet'!$E$11+1,1))-AVERAGE(OFFSET($H$3,0,0,'Données projet'!$E$11+1,1))</f>
        <v>179.52358670810645</v>
      </c>
      <c r="BJ102" s="60">
        <f t="shared" si="92"/>
        <v>89.471764801078166</v>
      </c>
      <c r="BK102" s="16">
        <f>IF(ISNA(VLOOKUP(A102,'Données projet'!$A$87:$I$107,3,0)),0,VLOOKUP(A102,'Données projet'!$A$87:$I$107,3,0))</f>
        <v>5</v>
      </c>
      <c r="BL102" s="16">
        <f>IF(ISNA(VLOOKUP(A102,'Données projet'!$A$87:$I$107,4,0)),0,VLOOKUP(A102,'Données projet'!$A$87:$I$107,4,0))</f>
        <v>198.32307692307691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2.6923076923076961</v>
      </c>
      <c r="BY102" s="13">
        <f>IF('Données projet'!$A$114&gt;35,BY101+BX102-CG101,IF(A102&lt;'Données projet'!$A$114,$BV$205^A102,IF(A102='Données projet'!$A$114,'Données projet'!$B$114,BY101+BX102-CG101)))</f>
        <v>231.2820512820513</v>
      </c>
      <c r="BZ102" s="14">
        <f>BY102*VLOOKUP('Données projet'!$B$12,Paramètres!$A$1:$I$89,3,0)*VLOOKUP('Données projet'!$B$12,Paramètres!$A$1:$I$89,5,0)</f>
        <v>241.73600000000005</v>
      </c>
      <c r="CA102" s="14">
        <f t="shared" si="93"/>
        <v>58.812882520832375</v>
      </c>
      <c r="CB102" s="22">
        <f t="shared" si="64"/>
        <v>523.45597039044981</v>
      </c>
      <c r="CC102" s="60">
        <f t="shared" si="65"/>
        <v>816.78930372378318</v>
      </c>
      <c r="CD102" s="60">
        <f ca="1">AVERAGE(OFFSET($CC$3,0,0,'Données projet'!$E$12+1,1))-AVERAGE(OFFSET($H$3,0,0,'Données projet'!$E$12+1,1))</f>
        <v>304.57411436867147</v>
      </c>
      <c r="CE102" s="60">
        <f t="shared" si="94"/>
        <v>178.19974548556962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2.6923076923076961</v>
      </c>
      <c r="CT102" s="13">
        <f>IF('Données projet'!$A$140&gt;35,CT101+CS102-DB101,IF(A102&lt;'Données projet'!$A$140,$CQ$205^A102,IF(A102='Données projet'!$A$140,'Données projet'!$B$140,CT101+CS102-DB101)))</f>
        <v>231.2820512820513</v>
      </c>
      <c r="CU102" s="18">
        <f>CT102*VLOOKUP('Données projet'!$B$13,Paramètres!$A$1:$I$89,3,0)*VLOOKUP('Données projet'!$B$13,Paramètres!$A$1:$I$89,5,0)</f>
        <v>223.69600000000005</v>
      </c>
      <c r="CV102" s="14">
        <f t="shared" si="95"/>
        <v>54.91741248485387</v>
      </c>
      <c r="CW102" s="22">
        <f t="shared" si="67"/>
        <v>485.25169341112058</v>
      </c>
      <c r="CX102" s="60">
        <f t="shared" si="68"/>
        <v>778.5850267444539</v>
      </c>
      <c r="CY102" s="60">
        <f ca="1">AVERAGE(OFFSET($CX$3,0,0,'Données projet'!$E$13+1,1))-AVERAGE(OFFSET($H$3,0,0,'Données projet'!$E$13+1,1))</f>
        <v>279.37339904167601</v>
      </c>
      <c r="CZ102" s="60">
        <f t="shared" si="96"/>
        <v>163.80861186980007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0" t="e">
        <f t="shared" si="71"/>
        <v>#N/A</v>
      </c>
      <c r="DT102" s="60" t="e">
        <f ca="1">AVERAGE(OFFSET($DS$3,0,0,'Données projet'!$E$14+1,1))-AVERAGE(OFFSET($H$3,0,0,'Données projet'!$E$14+1,1))</f>
        <v>#N/A</v>
      </c>
      <c r="DU102" s="60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27.299999999999976</v>
      </c>
      <c r="D103" s="12">
        <f t="shared" si="86"/>
        <v>8.5614116595512364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276.82493210881637</v>
      </c>
      <c r="H103" s="68">
        <f t="shared" si="56"/>
        <v>355.79195864038502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192.0230769230769</v>
      </c>
      <c r="L103" s="13">
        <f>VLOOKUP(A103,'Données projet'!$A$35:$I$55,9,0)</f>
        <v>4.6046153846153803</v>
      </c>
      <c r="M103" s="13">
        <f t="array" ref="M103">INDEX(L:L,MIN(IF(ISNUMBER(L103:L299),ROW(L103:L299),"")))</f>
        <v>4.6046153846153803</v>
      </c>
      <c r="N103" s="14">
        <f>IF('Données projet'!$A$36&gt;35,N102+M103-V102,IF(A103&lt;'Données projet'!$A$36,$K$205^A103,IF(A103='Données projet'!$A$36,'Données projet'!$B$36,N102+M103-V102)))</f>
        <v>192.02307692307693</v>
      </c>
      <c r="O103" s="14">
        <f>N103*VLOOKUP('Données projet'!$B$9,Paramètres!$A$1:$I$89,3,0)*VLOOKUP('Données projet'!$B$9,Paramètres!$A$1:$I$89,5,0)</f>
        <v>114.82980000000001</v>
      </c>
      <c r="P103" s="14">
        <f t="shared" si="87"/>
        <v>30.466061670334689</v>
      </c>
      <c r="Q103" s="22">
        <f t="shared" si="107"/>
        <v>253.05695907583291</v>
      </c>
      <c r="R103" s="60">
        <f t="shared" si="55"/>
        <v>546.39029240916625</v>
      </c>
      <c r="S103" s="60">
        <f ca="1">AVERAGE(OFFSET($R$3,0,0,'Données projet'!$E$9+1,1))-AVERAGE(OFFSET($H$3,0,0,'Données projet'!$E$9+1,1))</f>
        <v>223.38593045370783</v>
      </c>
      <c r="T103" s="60">
        <f t="shared" si="88"/>
        <v>161.68519532023998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5.1159076974727213E-13</v>
      </c>
      <c r="AJ103" s="14">
        <f>AI103*VLOOKUP('Données projet'!$B$10,Paramètres!$A$1:$I$89,3,0)*VLOOKUP('Données projet'!$B$10,Paramètres!$A$1:$I$89,5,0)</f>
        <v>3.0593128030886877E-13</v>
      </c>
      <c r="AK103" s="14">
        <f t="shared" si="89"/>
        <v>4.0350537939347394E-12</v>
      </c>
      <c r="AL103" s="22">
        <f t="shared" si="58"/>
        <v>7.5605490043076185E-12</v>
      </c>
      <c r="AM103" s="60">
        <f t="shared" si="59"/>
        <v>293.33333333334087</v>
      </c>
      <c r="AN103" s="60">
        <f ca="1">AVERAGE(OFFSET($AM$3,0,0,'Données projet'!$E$10+1,1))-AVERAGE(OFFSET($H$3,0,0,'Données projet'!$E$10+1,1))</f>
        <v>216.19747366796145</v>
      </c>
      <c r="AO103" s="60">
        <f t="shared" si="90"/>
        <v>122.08911898780889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3.6228072242003917E-10</v>
      </c>
      <c r="AX103" s="23">
        <f t="shared" si="60"/>
        <v>3.6228072242003917E-10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5.849230769230763</v>
      </c>
      <c r="BD103" s="13">
        <f>IF('Données projet'!$A$88&gt;35,BD102+BC103-BL102,IF(A103&lt;'Données projet'!$A$88,$BA$205^A103,IF(A103='Données projet'!$A$88,'Données projet'!$B$88,BD102+BC103-BL102)))</f>
        <v>205.39538461538402</v>
      </c>
      <c r="BE103" s="14">
        <f>BD103*VLOOKUP('Données projet'!$B$11,Paramètres!$A$1:$I$89,3,0)*VLOOKUP('Données projet'!$B$11,Paramètres!$A$1:$I$89,5,0)</f>
        <v>96.125039999999714</v>
      </c>
      <c r="BF103" s="14">
        <f t="shared" si="91"/>
        <v>26.03672918496029</v>
      </c>
      <c r="BG103" s="22">
        <f t="shared" si="61"/>
        <v>212.76508133047199</v>
      </c>
      <c r="BH103" s="60">
        <f t="shared" si="62"/>
        <v>506.09841466380533</v>
      </c>
      <c r="BI103" s="60">
        <f ca="1">AVERAGE(OFFSET($BH$3,0,0,'Données projet'!$E$11+1,1))-AVERAGE(OFFSET($H$3,0,0,'Données projet'!$E$11+1,1))</f>
        <v>179.52358670810645</v>
      </c>
      <c r="BJ103" s="60">
        <f t="shared" si="92"/>
        <v>89.471764801078166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233.97435897435898</v>
      </c>
      <c r="BW103" s="13">
        <f>VLOOKUP(A103,'Données projet'!$A$113:$I$133,9,0)</f>
        <v>2.6923076923076961</v>
      </c>
      <c r="BX103" s="13">
        <f t="array" ref="BX103">INDEX(BW:BW,MIN(IF(ISNUMBER(BW103:BW299),ROW(BW103:BW299),"")))</f>
        <v>2.6923076923076961</v>
      </c>
      <c r="BY103" s="13">
        <f>IF('Données projet'!$A$114&gt;35,BY102+BX103-CG102,IF(A103&lt;'Données projet'!$A$114,$BV$205^A103,IF(A103='Données projet'!$A$114,'Données projet'!$B$114,BY102+BX103-CG102)))</f>
        <v>233.97435897435901</v>
      </c>
      <c r="BZ103" s="14">
        <f>BY103*VLOOKUP('Données projet'!$B$12,Paramètres!$A$1:$I$89,3,0)*VLOOKUP('Données projet'!$B$12,Paramètres!$A$1:$I$89,5,0)</f>
        <v>244.55000000000007</v>
      </c>
      <c r="CA103" s="14">
        <f t="shared" si="93"/>
        <v>59.417412537913492</v>
      </c>
      <c r="CB103" s="22">
        <f t="shared" si="64"/>
        <v>529.40991017019951</v>
      </c>
      <c r="CC103" s="60">
        <f t="shared" si="65"/>
        <v>822.74324350353277</v>
      </c>
      <c r="CD103" s="60">
        <f ca="1">AVERAGE(OFFSET($CC$3,0,0,'Données projet'!$E$12+1,1))-AVERAGE(OFFSET($H$3,0,0,'Données projet'!$E$12+1,1))</f>
        <v>304.57411436867147</v>
      </c>
      <c r="CE103" s="60">
        <f t="shared" si="94"/>
        <v>178.19974548556962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16.025641025641026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233.97435897435898</v>
      </c>
      <c r="CR103" s="13">
        <f>VLOOKUP(A103,'Données projet'!$A$139:$I$159,9,0)</f>
        <v>2.6923076923076961</v>
      </c>
      <c r="CS103" s="13">
        <f t="array" ref="CS103">INDEX(CR:CR,MIN(IF(ISNUMBER(CR103:CR299),ROW(CR103:CR299),"")))</f>
        <v>2.6923076923076961</v>
      </c>
      <c r="CT103" s="13">
        <f>IF('Données projet'!$A$140&gt;35,CT102+CS103-DB102,IF(A103&lt;'Données projet'!$A$140,$CQ$205^A103,IF(A103='Données projet'!$A$140,'Données projet'!$B$140,CT102+CS103-DB102)))</f>
        <v>233.97435897435901</v>
      </c>
      <c r="CU103" s="18">
        <f>CT103*VLOOKUP('Données projet'!$B$13,Paramètres!$A$1:$I$89,3,0)*VLOOKUP('Données projet'!$B$13,Paramètres!$A$1:$I$89,5,0)</f>
        <v>226.3</v>
      </c>
      <c r="CV103" s="14">
        <f t="shared" si="95"/>
        <v>55.481901468976645</v>
      </c>
      <c r="CW103" s="22">
        <f t="shared" si="67"/>
        <v>490.77014505846773</v>
      </c>
      <c r="CX103" s="60">
        <f t="shared" si="68"/>
        <v>784.10347839180099</v>
      </c>
      <c r="CY103" s="60">
        <f ca="1">AVERAGE(OFFSET($CX$3,0,0,'Données projet'!$E$13+1,1))-AVERAGE(OFFSET($H$3,0,0,'Données projet'!$E$13+1,1))</f>
        <v>279.37339904167601</v>
      </c>
      <c r="CZ103" s="60">
        <f t="shared" si="96"/>
        <v>163.80861186980007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16.025641025641026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0" t="e">
        <f t="shared" si="71"/>
        <v>#N/A</v>
      </c>
      <c r="DT103" s="60" t="e">
        <f ca="1">AVERAGE(OFFSET($DS$3,0,0,'Données projet'!$E$14+1,1))-AVERAGE(OFFSET($H$3,0,0,'Données projet'!$E$14+1,1))</f>
        <v>#N/A</v>
      </c>
      <c r="DU103" s="60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27.572999999999976</v>
      </c>
      <c r="D104" s="12">
        <f t="shared" si="86"/>
        <v>8.6370164284498845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279.51591628978844</v>
      </c>
      <c r="H104" s="68">
        <f t="shared" si="56"/>
        <v>356.39911194621681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4.3600000000000083</v>
      </c>
      <c r="N104" s="14">
        <f>IF('Données projet'!$A$36&gt;35,N103+M104-V103,IF(A104&lt;'Données projet'!$A$36,$K$205^A104,IF(A104='Données projet'!$A$36,'Données projet'!$B$36,N103+M104-V103)))</f>
        <v>196.38307692307694</v>
      </c>
      <c r="O104" s="14">
        <f>N104*VLOOKUP('Données projet'!$B$9,Paramètres!$A$1:$I$89,3,0)*VLOOKUP('Données projet'!$B$9,Paramètres!$A$1:$I$89,5,0)</f>
        <v>117.43708000000002</v>
      </c>
      <c r="P104" s="14">
        <f t="shared" si="87"/>
        <v>31.076491294807429</v>
      </c>
      <c r="Q104" s="22">
        <f t="shared" si="107"/>
        <v>258.66113667178968</v>
      </c>
      <c r="R104" s="60">
        <f t="shared" si="55"/>
        <v>551.99447000512305</v>
      </c>
      <c r="S104" s="60">
        <f ca="1">AVERAGE(OFFSET($R$3,0,0,'Données projet'!$E$9+1,1))-AVERAGE(OFFSET($H$3,0,0,'Données projet'!$E$9+1,1))</f>
        <v>223.38593045370783</v>
      </c>
      <c r="T104" s="60">
        <f t="shared" si="88"/>
        <v>161.68519532023998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5.1159076974727213E-13</v>
      </c>
      <c r="AJ104" s="14">
        <f>AI104*VLOOKUP('Données projet'!$B$10,Paramètres!$A$1:$I$89,3,0)*VLOOKUP('Données projet'!$B$10,Paramètres!$A$1:$I$89,5,0)</f>
        <v>3.0593128030886877E-13</v>
      </c>
      <c r="AK104" s="14">
        <f t="shared" si="89"/>
        <v>4.0350537939347394E-12</v>
      </c>
      <c r="AL104" s="22">
        <f t="shared" si="58"/>
        <v>7.5605490043076185E-12</v>
      </c>
      <c r="AM104" s="60">
        <f t="shared" si="59"/>
        <v>293.33333333334087</v>
      </c>
      <c r="AN104" s="60">
        <f ca="1">AVERAGE(OFFSET($AM$3,0,0,'Données projet'!$E$10+1,1))-AVERAGE(OFFSET($H$3,0,0,'Données projet'!$E$10+1,1))</f>
        <v>216.19747366796145</v>
      </c>
      <c r="AO104" s="60">
        <f t="shared" si="90"/>
        <v>122.08911898780889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2.5617115551637099E-10</v>
      </c>
      <c r="AX104" s="23">
        <f t="shared" si="60"/>
        <v>2.5617115551637099E-10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5.849230769230763</v>
      </c>
      <c r="BD104" s="13">
        <f>IF('Données projet'!$A$88&gt;35,BD103+BC104-BL103,IF(A104&lt;'Données projet'!$A$88,$BA$205^A104,IF(A104='Données projet'!$A$88,'Données projet'!$B$88,BD103+BC104-BL103)))</f>
        <v>211.24461538461478</v>
      </c>
      <c r="BE104" s="14">
        <f>BD104*VLOOKUP('Données projet'!$B$11,Paramètres!$A$1:$I$89,3,0)*VLOOKUP('Données projet'!$B$11,Paramètres!$A$1:$I$89,5,0)</f>
        <v>98.862479999999707</v>
      </c>
      <c r="BF104" s="14">
        <f t="shared" si="91"/>
        <v>26.690818919395912</v>
      </c>
      <c r="BG104" s="22">
        <f t="shared" si="61"/>
        <v>218.67199561794735</v>
      </c>
      <c r="BH104" s="60">
        <f t="shared" si="62"/>
        <v>512.00532895128072</v>
      </c>
      <c r="BI104" s="60">
        <f ca="1">AVERAGE(OFFSET($BH$3,0,0,'Données projet'!$E$11+1,1))-AVERAGE(OFFSET($H$3,0,0,'Données projet'!$E$11+1,1))</f>
        <v>179.52358670810645</v>
      </c>
      <c r="BJ104" s="60">
        <f t="shared" si="92"/>
        <v>89.471764801078166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2.4999999999999973</v>
      </c>
      <c r="BY104" s="13">
        <f>IF('Données projet'!$A$114&gt;35,BY103+BX104-CG103,IF(A104&lt;'Données projet'!$A$114,$BV$205^A104,IF(A104='Données projet'!$A$114,'Données projet'!$B$114,BY103+BX104-CG103)))</f>
        <v>220.44871794871798</v>
      </c>
      <c r="BZ104" s="14">
        <f>BY104*VLOOKUP('Données projet'!$B$12,Paramètres!$A$1:$I$89,3,0)*VLOOKUP('Données projet'!$B$12,Paramètres!$A$1:$I$89,5,0)</f>
        <v>230.41300000000007</v>
      </c>
      <c r="CA104" s="14">
        <f t="shared" si="93"/>
        <v>56.371972460814931</v>
      </c>
      <c r="CB104" s="22">
        <f t="shared" si="64"/>
        <v>499.48382703591938</v>
      </c>
      <c r="CC104" s="60">
        <f t="shared" si="65"/>
        <v>792.81716036925263</v>
      </c>
      <c r="CD104" s="60">
        <f ca="1">AVERAGE(OFFSET($CC$3,0,0,'Données projet'!$E$12+1,1))-AVERAGE(OFFSET($H$3,0,0,'Données projet'!$E$12+1,1))</f>
        <v>304.57411436867147</v>
      </c>
      <c r="CE104" s="60">
        <f t="shared" si="94"/>
        <v>178.19974548556962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2.4999999999999973</v>
      </c>
      <c r="CT104" s="13">
        <f>IF('Données projet'!$A$140&gt;35,CT103+CS104-DB103,IF(A104&lt;'Données projet'!$A$140,$CQ$205^A104,IF(A104='Données projet'!$A$140,'Données projet'!$B$140,CT103+CS104-DB103)))</f>
        <v>220.44871794871798</v>
      </c>
      <c r="CU104" s="18">
        <f>CT104*VLOOKUP('Données projet'!$B$13,Paramètres!$A$1:$I$89,3,0)*VLOOKUP('Données projet'!$B$13,Paramètres!$A$1:$I$89,5,0)</f>
        <v>213.21800000000005</v>
      </c>
      <c r="CV104" s="14">
        <f t="shared" si="95"/>
        <v>52.638176051289804</v>
      </c>
      <c r="CW104" s="22">
        <f t="shared" si="67"/>
        <v>463.03283995599639</v>
      </c>
      <c r="CX104" s="60">
        <f t="shared" si="68"/>
        <v>756.36617328932971</v>
      </c>
      <c r="CY104" s="60">
        <f ca="1">AVERAGE(OFFSET($CX$3,0,0,'Données projet'!$E$13+1,1))-AVERAGE(OFFSET($H$3,0,0,'Données projet'!$E$13+1,1))</f>
        <v>279.37339904167601</v>
      </c>
      <c r="CZ104" s="60">
        <f t="shared" si="96"/>
        <v>163.80861186980007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0" t="e">
        <f t="shared" si="71"/>
        <v>#N/A</v>
      </c>
      <c r="DT104" s="60" t="e">
        <f ca="1">AVERAGE(OFFSET($DS$3,0,0,'Données projet'!$E$14+1,1))-AVERAGE(OFFSET($H$3,0,0,'Données projet'!$E$14+1,1))</f>
        <v>#N/A</v>
      </c>
      <c r="DU104" s="60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27.845999999999975</v>
      </c>
      <c r="D105" s="12">
        <f t="shared" si="86"/>
        <v>8.7125341134088181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282.20622824385742</v>
      </c>
      <c r="H105" s="68">
        <f t="shared" si="56"/>
        <v>357.00611358085365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4.3600000000000083</v>
      </c>
      <c r="N105" s="14">
        <f>IF('Données projet'!$A$36&gt;35,N104+M105-V104,IF(A105&lt;'Données projet'!$A$36,$K$205^A105,IF(A105='Données projet'!$A$36,'Données projet'!$B$36,N104+M105-V104)))</f>
        <v>200.74307692307696</v>
      </c>
      <c r="O105" s="14">
        <f>N105*VLOOKUP('Données projet'!$B$9,Paramètres!$A$1:$I$89,3,0)*VLOOKUP('Données projet'!$B$9,Paramètres!$A$1:$I$89,5,0)</f>
        <v>120.04436000000003</v>
      </c>
      <c r="P105" s="14">
        <f t="shared" si="87"/>
        <v>31.685345313084543</v>
      </c>
      <c r="Q105" s="22">
        <f t="shared" si="107"/>
        <v>264.26257008695558</v>
      </c>
      <c r="R105" s="60">
        <f t="shared" si="55"/>
        <v>557.59590342028889</v>
      </c>
      <c r="S105" s="60">
        <f ca="1">AVERAGE(OFFSET($R$3,0,0,'Données projet'!$E$9+1,1))-AVERAGE(OFFSET($H$3,0,0,'Données projet'!$E$9+1,1))</f>
        <v>223.38593045370783</v>
      </c>
      <c r="T105" s="60">
        <f t="shared" si="88"/>
        <v>161.68519532023998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5.1159076974727213E-13</v>
      </c>
      <c r="AJ105" s="14">
        <f>AI105*VLOOKUP('Données projet'!$B$10,Paramètres!$A$1:$I$89,3,0)*VLOOKUP('Données projet'!$B$10,Paramètres!$A$1:$I$89,5,0)</f>
        <v>3.0593128030886877E-13</v>
      </c>
      <c r="AK105" s="14">
        <f t="shared" si="89"/>
        <v>4.0350537939347394E-12</v>
      </c>
      <c r="AL105" s="22">
        <f t="shared" si="58"/>
        <v>7.5605490043076185E-12</v>
      </c>
      <c r="AM105" s="60">
        <f t="shared" si="59"/>
        <v>293.33333333334087</v>
      </c>
      <c r="AN105" s="60">
        <f ca="1">AVERAGE(OFFSET($AM$3,0,0,'Données projet'!$E$10+1,1))-AVERAGE(OFFSET($H$3,0,0,'Données projet'!$E$10+1,1))</f>
        <v>216.19747366796145</v>
      </c>
      <c r="AO105" s="60">
        <f t="shared" si="90"/>
        <v>122.08911898780889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1.8114036121001958E-10</v>
      </c>
      <c r="AX105" s="23">
        <f t="shared" si="60"/>
        <v>1.8114036121001958E-10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5.849230769230763</v>
      </c>
      <c r="BD105" s="13">
        <f>IF('Données projet'!$A$88&gt;35,BD104+BC105-BL104,IF(A105&lt;'Données projet'!$A$88,$BA$205^A105,IF(A105='Données projet'!$A$88,'Données projet'!$B$88,BD104+BC105-BL104)))</f>
        <v>217.09384615384553</v>
      </c>
      <c r="BE105" s="14">
        <f>BD105*VLOOKUP('Données projet'!$B$11,Paramètres!$A$1:$I$89,3,0)*VLOOKUP('Données projet'!$B$11,Paramètres!$A$1:$I$89,5,0)</f>
        <v>101.59991999999971</v>
      </c>
      <c r="BF105" s="14">
        <f t="shared" si="91"/>
        <v>27.342803604001922</v>
      </c>
      <c r="BG105" s="22">
        <f t="shared" si="61"/>
        <v>224.57524361030281</v>
      </c>
      <c r="BH105" s="60">
        <f t="shared" si="62"/>
        <v>517.90857694363615</v>
      </c>
      <c r="BI105" s="60">
        <f ca="1">AVERAGE(OFFSET($BH$3,0,0,'Données projet'!$E$11+1,1))-AVERAGE(OFFSET($H$3,0,0,'Données projet'!$E$11+1,1))</f>
        <v>179.52358670810645</v>
      </c>
      <c r="BJ105" s="60">
        <f t="shared" si="92"/>
        <v>89.471764801078166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2.4999999999999973</v>
      </c>
      <c r="BY105" s="13">
        <f>IF('Données projet'!$A$114&gt;35,BY104+BX105-CG104,IF(A105&lt;'Données projet'!$A$114,$BV$205^A105,IF(A105='Données projet'!$A$114,'Données projet'!$B$114,BY104+BX105-CG104)))</f>
        <v>222.94871794871798</v>
      </c>
      <c r="BZ105" s="14">
        <f>BY105*VLOOKUP('Données projet'!$B$12,Paramètres!$A$1:$I$89,3,0)*VLOOKUP('Données projet'!$B$12,Paramètres!$A$1:$I$89,5,0)</f>
        <v>233.02600000000004</v>
      </c>
      <c r="CA105" s="14">
        <f t="shared" si="93"/>
        <v>56.936474917368535</v>
      </c>
      <c r="CB105" s="22">
        <f t="shared" si="64"/>
        <v>505.01797714775029</v>
      </c>
      <c r="CC105" s="60">
        <f t="shared" si="65"/>
        <v>798.3513104810836</v>
      </c>
      <c r="CD105" s="60">
        <f ca="1">AVERAGE(OFFSET($CC$3,0,0,'Données projet'!$E$12+1,1))-AVERAGE(OFFSET($H$3,0,0,'Données projet'!$E$12+1,1))</f>
        <v>304.57411436867147</v>
      </c>
      <c r="CE105" s="60">
        <f t="shared" si="94"/>
        <v>178.19974548556962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2.4999999999999973</v>
      </c>
      <c r="CT105" s="13">
        <f>IF('Données projet'!$A$140&gt;35,CT104+CS105-DB104,IF(A105&lt;'Données projet'!$A$140,$CQ$205^A105,IF(A105='Données projet'!$A$140,'Données projet'!$B$140,CT104+CS105-DB104)))</f>
        <v>222.94871794871798</v>
      </c>
      <c r="CU105" s="18">
        <f>CT105*VLOOKUP('Données projet'!$B$13,Paramètres!$A$1:$I$89,3,0)*VLOOKUP('Données projet'!$B$13,Paramètres!$A$1:$I$89,5,0)</f>
        <v>215.63600000000005</v>
      </c>
      <c r="CV105" s="14">
        <f t="shared" si="95"/>
        <v>53.165288699514171</v>
      </c>
      <c r="CW105" s="22">
        <f t="shared" si="67"/>
        <v>468.16224448498724</v>
      </c>
      <c r="CX105" s="60">
        <f t="shared" si="68"/>
        <v>761.4955778183205</v>
      </c>
      <c r="CY105" s="60">
        <f ca="1">AVERAGE(OFFSET($CX$3,0,0,'Données projet'!$E$13+1,1))-AVERAGE(OFFSET($H$3,0,0,'Données projet'!$E$13+1,1))</f>
        <v>279.37339904167601</v>
      </c>
      <c r="CZ105" s="60">
        <f t="shared" si="96"/>
        <v>163.80861186980007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0" t="e">
        <f t="shared" si="71"/>
        <v>#N/A</v>
      </c>
      <c r="DT105" s="60" t="e">
        <f ca="1">AVERAGE(OFFSET($DS$3,0,0,'Données projet'!$E$14+1,1))-AVERAGE(OFFSET($H$3,0,0,'Données projet'!$E$14+1,1))</f>
        <v>#N/A</v>
      </c>
      <c r="DU105" s="60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28.118999999999975</v>
      </c>
      <c r="D106" s="12">
        <f t="shared" si="86"/>
        <v>8.787965667057307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284.89587532465265</v>
      </c>
      <c r="H106" s="68">
        <f t="shared" si="56"/>
        <v>357.61296520345809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4.3600000000000083</v>
      </c>
      <c r="N106" s="14">
        <f>IF('Données projet'!$A$36&gt;35,N105+M106-V105,IF(A106&lt;'Données projet'!$A$36,$K$205^A106,IF(A106='Données projet'!$A$36,'Données projet'!$B$36,N105+M106-V105)))</f>
        <v>205.10307692307697</v>
      </c>
      <c r="O106" s="14">
        <f>N106*VLOOKUP('Données projet'!$B$9,Paramètres!$A$1:$I$89,3,0)*VLOOKUP('Données projet'!$B$9,Paramètres!$A$1:$I$89,5,0)</f>
        <v>122.65164000000004</v>
      </c>
      <c r="P106" s="14">
        <f t="shared" si="87"/>
        <v>32.29266188737742</v>
      </c>
      <c r="Q106" s="22">
        <f t="shared" si="107"/>
        <v>269.86132578718241</v>
      </c>
      <c r="R106" s="60">
        <f t="shared" si="55"/>
        <v>563.19465912051578</v>
      </c>
      <c r="S106" s="60">
        <f ca="1">AVERAGE(OFFSET($R$3,0,0,'Données projet'!$E$9+1,1))-AVERAGE(OFFSET($H$3,0,0,'Données projet'!$E$9+1,1))</f>
        <v>223.38593045370783</v>
      </c>
      <c r="T106" s="60">
        <f t="shared" si="88"/>
        <v>161.68519532023998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5.1159076974727213E-13</v>
      </c>
      <c r="AJ106" s="14">
        <f>AI106*VLOOKUP('Données projet'!$B$10,Paramètres!$A$1:$I$89,3,0)*VLOOKUP('Données projet'!$B$10,Paramètres!$A$1:$I$89,5,0)</f>
        <v>3.0593128030886877E-13</v>
      </c>
      <c r="AK106" s="14">
        <f t="shared" si="89"/>
        <v>4.0350537939347394E-12</v>
      </c>
      <c r="AL106" s="22">
        <f t="shared" si="58"/>
        <v>7.5605490043076185E-12</v>
      </c>
      <c r="AM106" s="60">
        <f t="shared" si="59"/>
        <v>293.33333333334087</v>
      </c>
      <c r="AN106" s="60">
        <f ca="1">AVERAGE(OFFSET($AM$3,0,0,'Données projet'!$E$10+1,1))-AVERAGE(OFFSET($H$3,0,0,'Données projet'!$E$10+1,1))</f>
        <v>216.19747366796145</v>
      </c>
      <c r="AO106" s="60">
        <f t="shared" si="90"/>
        <v>122.08911898780889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1.280855777581855E-10</v>
      </c>
      <c r="AX106" s="23">
        <f t="shared" si="60"/>
        <v>1.280855777581855E-10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5.849230769230763</v>
      </c>
      <c r="BD106" s="13">
        <f>IF('Données projet'!$A$88&gt;35,BD105+BC106-BL105,IF(A106&lt;'Données projet'!$A$88,$BA$205^A106,IF(A106='Données projet'!$A$88,'Données projet'!$B$88,BD105+BC106-BL105)))</f>
        <v>222.94307692307629</v>
      </c>
      <c r="BE106" s="14">
        <f>BD106*VLOOKUP('Données projet'!$B$11,Paramètres!$A$1:$I$89,3,0)*VLOOKUP('Données projet'!$B$11,Paramètres!$A$1:$I$89,5,0)</f>
        <v>104.33735999999971</v>
      </c>
      <c r="BF106" s="14">
        <f t="shared" si="91"/>
        <v>27.992746473996831</v>
      </c>
      <c r="BG106" s="22">
        <f t="shared" si="61"/>
        <v>230.47493544221061</v>
      </c>
      <c r="BH106" s="60">
        <f t="shared" si="62"/>
        <v>523.80826877554387</v>
      </c>
      <c r="BI106" s="60">
        <f ca="1">AVERAGE(OFFSET($BH$3,0,0,'Données projet'!$E$11+1,1))-AVERAGE(OFFSET($H$3,0,0,'Données projet'!$E$11+1,1))</f>
        <v>179.52358670810645</v>
      </c>
      <c r="BJ106" s="60">
        <f t="shared" si="92"/>
        <v>89.471764801078166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2.4999999999999973</v>
      </c>
      <c r="BY106" s="13">
        <f>IF('Données projet'!$A$114&gt;35,BY105+BX106-CG105,IF(A106&lt;'Données projet'!$A$114,$BV$205^A106,IF(A106='Données projet'!$A$114,'Données projet'!$B$114,BY105+BX106-CG105)))</f>
        <v>225.44871794871798</v>
      </c>
      <c r="BZ106" s="14">
        <f>BY106*VLOOKUP('Données projet'!$B$12,Paramètres!$A$1:$I$89,3,0)*VLOOKUP('Données projet'!$B$12,Paramètres!$A$1:$I$89,5,0)</f>
        <v>235.63900000000007</v>
      </c>
      <c r="CA106" s="14">
        <f t="shared" si="93"/>
        <v>57.500241031072171</v>
      </c>
      <c r="CB106" s="22">
        <f t="shared" si="64"/>
        <v>510.55084479578409</v>
      </c>
      <c r="CC106" s="60">
        <f t="shared" si="65"/>
        <v>803.88417812911734</v>
      </c>
      <c r="CD106" s="60">
        <f ca="1">AVERAGE(OFFSET($CC$3,0,0,'Données projet'!$E$12+1,1))-AVERAGE(OFFSET($H$3,0,0,'Données projet'!$E$12+1,1))</f>
        <v>304.57411436867147</v>
      </c>
      <c r="CE106" s="60">
        <f t="shared" si="94"/>
        <v>178.19974548556962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2.4999999999999973</v>
      </c>
      <c r="CT106" s="13">
        <f>IF('Données projet'!$A$140&gt;35,CT105+CS106-DB105,IF(A106&lt;'Données projet'!$A$140,$CQ$205^A106,IF(A106='Données projet'!$A$140,'Données projet'!$B$140,CT105+CS106-DB105)))</f>
        <v>225.44871794871798</v>
      </c>
      <c r="CU106" s="18">
        <f>CT106*VLOOKUP('Données projet'!$B$13,Paramètres!$A$1:$I$89,3,0)*VLOOKUP('Données projet'!$B$13,Paramètres!$A$1:$I$89,5,0)</f>
        <v>218.05400000000003</v>
      </c>
      <c r="CV106" s="14">
        <f t="shared" si="95"/>
        <v>53.691713776541796</v>
      </c>
      <c r="CW106" s="22">
        <f t="shared" si="67"/>
        <v>473.29045149414372</v>
      </c>
      <c r="CX106" s="60">
        <f t="shared" si="68"/>
        <v>766.62378482747704</v>
      </c>
      <c r="CY106" s="60">
        <f ca="1">AVERAGE(OFFSET($CX$3,0,0,'Données projet'!$E$13+1,1))-AVERAGE(OFFSET($H$3,0,0,'Données projet'!$E$13+1,1))</f>
        <v>279.37339904167601</v>
      </c>
      <c r="CZ106" s="60">
        <f t="shared" si="96"/>
        <v>163.80861186980007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0" t="e">
        <f t="shared" si="71"/>
        <v>#N/A</v>
      </c>
      <c r="DT106" s="60" t="e">
        <f ca="1">AVERAGE(OFFSET($DS$3,0,0,'Données projet'!$E$14+1,1))-AVERAGE(OFFSET($H$3,0,0,'Données projet'!$E$14+1,1))</f>
        <v>#N/A</v>
      </c>
      <c r="DU106" s="60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28.391999999999975</v>
      </c>
      <c r="D107" s="12">
        <f t="shared" si="86"/>
        <v>8.8633120224605459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287.58486473478297</v>
      </c>
      <c r="H107" s="68">
        <f t="shared" si="56"/>
        <v>358.21966843911872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4.3600000000000083</v>
      </c>
      <c r="N107" s="14">
        <f>IF('Données projet'!$A$36&gt;35,N106+M107-V106,IF(A107&lt;'Données projet'!$A$36,$K$205^A107,IF(A107='Données projet'!$A$36,'Données projet'!$B$36,N106+M107-V106)))</f>
        <v>209.46307692307698</v>
      </c>
      <c r="O107" s="14">
        <f>N107*VLOOKUP('Données projet'!$B$9,Paramètres!$A$1:$I$89,3,0)*VLOOKUP('Données projet'!$B$9,Paramètres!$A$1:$I$89,5,0)</f>
        <v>125.25892000000005</v>
      </c>
      <c r="P107" s="14">
        <f t="shared" si="87"/>
        <v>32.898477464729766</v>
      </c>
      <c r="Q107" s="22">
        <f t="shared" si="107"/>
        <v>275.45746725107102</v>
      </c>
      <c r="R107" s="60">
        <f t="shared" si="55"/>
        <v>568.79080058440434</v>
      </c>
      <c r="S107" s="60">
        <f ca="1">AVERAGE(OFFSET($R$3,0,0,'Données projet'!$E$9+1,1))-AVERAGE(OFFSET($H$3,0,0,'Données projet'!$E$9+1,1))</f>
        <v>223.38593045370783</v>
      </c>
      <c r="T107" s="60">
        <f t="shared" si="88"/>
        <v>161.68519532023998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5.1159076974727213E-13</v>
      </c>
      <c r="AJ107" s="14">
        <f>AI107*VLOOKUP('Données projet'!$B$10,Paramètres!$A$1:$I$89,3,0)*VLOOKUP('Données projet'!$B$10,Paramètres!$A$1:$I$89,5,0)</f>
        <v>3.0593128030886877E-13</v>
      </c>
      <c r="AK107" s="14">
        <f t="shared" si="89"/>
        <v>4.0350537939347394E-12</v>
      </c>
      <c r="AL107" s="22">
        <f t="shared" si="58"/>
        <v>7.5605490043076185E-12</v>
      </c>
      <c r="AM107" s="60">
        <f t="shared" si="59"/>
        <v>293.33333333334087</v>
      </c>
      <c r="AN107" s="60">
        <f ca="1">AVERAGE(OFFSET($AM$3,0,0,'Données projet'!$E$10+1,1))-AVERAGE(OFFSET($H$3,0,0,'Données projet'!$E$10+1,1))</f>
        <v>216.19747366796145</v>
      </c>
      <c r="AO107" s="60">
        <f t="shared" si="90"/>
        <v>122.08911898780889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9.0570180605009792E-11</v>
      </c>
      <c r="AX107" s="23">
        <f t="shared" si="60"/>
        <v>9.0570180605009792E-11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>
        <f>VLOOKUP(A107,'Données projet'!$A$87:$I$107,2,0)</f>
        <v>228.7923076923077</v>
      </c>
      <c r="BB107" s="13">
        <f>VLOOKUP(A107,'Données projet'!$A$87:$I$107,9,0)</f>
        <v>5.849230769230763</v>
      </c>
      <c r="BC107" s="13">
        <f t="array" ref="BC107">INDEX(BB:BB,MIN(IF(ISNUMBER(BB107:BB303),ROW(BB107:BB303),"")))</f>
        <v>5.849230769230763</v>
      </c>
      <c r="BD107" s="13">
        <f>IF('Données projet'!$A$88&gt;35,BD106+BC107-BL106,IF(A107&lt;'Données projet'!$A$88,$BA$205^A107,IF(A107='Données projet'!$A$88,'Données projet'!$B$88,BD106+BC107-BL106)))</f>
        <v>228.79230769230705</v>
      </c>
      <c r="BE107" s="14">
        <f>BD107*VLOOKUP('Données projet'!$B$11,Paramètres!$A$1:$I$89,3,0)*VLOOKUP('Données projet'!$B$11,Paramètres!$A$1:$I$89,5,0)</f>
        <v>107.0747999999997</v>
      </c>
      <c r="BF107" s="14">
        <f t="shared" si="91"/>
        <v>28.640707257492455</v>
      </c>
      <c r="BG107" s="22">
        <f t="shared" si="61"/>
        <v>236.37117514013221</v>
      </c>
      <c r="BH107" s="60">
        <f t="shared" si="62"/>
        <v>529.70450847346547</v>
      </c>
      <c r="BI107" s="60">
        <f ca="1">AVERAGE(OFFSET($BH$3,0,0,'Données projet'!$E$11+1,1))-AVERAGE(OFFSET($H$3,0,0,'Données projet'!$E$11+1,1))</f>
        <v>179.52358670810645</v>
      </c>
      <c r="BJ107" s="60">
        <f t="shared" si="92"/>
        <v>89.471764801078166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2.4999999999999973</v>
      </c>
      <c r="BY107" s="13">
        <f>IF('Données projet'!$A$114&gt;35,BY106+BX107-CG106,IF(A107&lt;'Données projet'!$A$114,$BV$205^A107,IF(A107='Données projet'!$A$114,'Données projet'!$B$114,BY106+BX107-CG106)))</f>
        <v>227.94871794871798</v>
      </c>
      <c r="BZ107" s="14">
        <f>BY107*VLOOKUP('Données projet'!$B$12,Paramètres!$A$1:$I$89,3,0)*VLOOKUP('Données projet'!$B$12,Paramètres!$A$1:$I$89,5,0)</f>
        <v>238.25200000000007</v>
      </c>
      <c r="CA107" s="14">
        <f t="shared" si="93"/>
        <v>58.063279912164987</v>
      </c>
      <c r="CB107" s="22">
        <f t="shared" si="64"/>
        <v>516.08244584702072</v>
      </c>
      <c r="CC107" s="60">
        <f t="shared" si="65"/>
        <v>809.41577918035409</v>
      </c>
      <c r="CD107" s="60">
        <f ca="1">AVERAGE(OFFSET($CC$3,0,0,'Données projet'!$E$12+1,1))-AVERAGE(OFFSET($H$3,0,0,'Données projet'!$E$12+1,1))</f>
        <v>304.57411436867147</v>
      </c>
      <c r="CE107" s="60">
        <f t="shared" si="94"/>
        <v>178.19974548556962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2.4999999999999973</v>
      </c>
      <c r="CT107" s="13">
        <f>IF('Données projet'!$A$140&gt;35,CT106+CS107-DB106,IF(A107&lt;'Données projet'!$A$140,$CQ$205^A107,IF(A107='Données projet'!$A$140,'Données projet'!$B$140,CT106+CS107-DB106)))</f>
        <v>227.94871794871798</v>
      </c>
      <c r="CU107" s="18">
        <f>CT107*VLOOKUP('Données projet'!$B$13,Paramètres!$A$1:$I$89,3,0)*VLOOKUP('Données projet'!$B$13,Paramètres!$A$1:$I$89,5,0)</f>
        <v>220.47200000000004</v>
      </c>
      <c r="CV107" s="14">
        <f t="shared" si="95"/>
        <v>54.217459789195267</v>
      </c>
      <c r="CW107" s="22">
        <f t="shared" si="67"/>
        <v>478.41747579951516</v>
      </c>
      <c r="CX107" s="60">
        <f t="shared" si="68"/>
        <v>771.75080913284842</v>
      </c>
      <c r="CY107" s="60">
        <f ca="1">AVERAGE(OFFSET($CX$3,0,0,'Données projet'!$E$13+1,1))-AVERAGE(OFFSET($H$3,0,0,'Données projet'!$E$13+1,1))</f>
        <v>279.37339904167601</v>
      </c>
      <c r="CZ107" s="60">
        <f t="shared" si="96"/>
        <v>163.80861186980007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0" t="e">
        <f t="shared" si="71"/>
        <v>#N/A</v>
      </c>
      <c r="DT107" s="60" t="e">
        <f ca="1">AVERAGE(OFFSET($DS$3,0,0,'Données projet'!$E$14+1,1))-AVERAGE(OFFSET($H$3,0,0,'Données projet'!$E$14+1,1))</f>
        <v>#N/A</v>
      </c>
      <c r="DU107" s="60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28.664999999999974</v>
      </c>
      <c r="D108" s="12">
        <f t="shared" si="86"/>
        <v>8.9385740937055989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290.27320353035884</v>
      </c>
      <c r="H108" s="68">
        <f t="shared" si="56"/>
        <v>358.82622487987055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213.82307692307694</v>
      </c>
      <c r="L108" s="13">
        <f>VLOOKUP(A108,'Données projet'!$A$35:$I$55,9,0)</f>
        <v>4.3600000000000083</v>
      </c>
      <c r="M108" s="13">
        <f t="array" ref="M108">INDEX(L:L,MIN(IF(ISNUMBER(L108:L304),ROW(L108:L304),"")))</f>
        <v>4.3600000000000083</v>
      </c>
      <c r="N108" s="14">
        <f>IF('Données projet'!$A$36&gt;35,N107+M108-V107,IF(A108&lt;'Données projet'!$A$36,$K$205^A108,IF(A108='Données projet'!$A$36,'Données projet'!$B$36,N107+M108-V107)))</f>
        <v>213.823076923077</v>
      </c>
      <c r="O108" s="14">
        <f>N108*VLOOKUP('Données projet'!$B$9,Paramètres!$A$1:$I$89,3,0)*VLOOKUP('Données projet'!$B$9,Paramètres!$A$1:$I$89,5,0)</f>
        <v>127.86620000000005</v>
      </c>
      <c r="P108" s="14">
        <f t="shared" si="87"/>
        <v>33.502826888174525</v>
      </c>
      <c r="Q108" s="22">
        <f t="shared" si="107"/>
        <v>281.05105516357071</v>
      </c>
      <c r="R108" s="60">
        <f t="shared" si="55"/>
        <v>574.38438849690397</v>
      </c>
      <c r="S108" s="60">
        <f ca="1">AVERAGE(OFFSET($R$3,0,0,'Données projet'!$E$9+1,1))-AVERAGE(OFFSET($H$3,0,0,'Données projet'!$E$9+1,1))</f>
        <v>223.38593045370783</v>
      </c>
      <c r="T108" s="60">
        <f t="shared" si="88"/>
        <v>161.68519532023998</v>
      </c>
      <c r="U108" s="16">
        <f>IF(ISNA(VLOOKUP(A108,'Données projet'!$A$35:$I$55,3,0)),0,VLOOKUP(A108,'Données projet'!$A$35:$I$55,3,0))</f>
        <v>6</v>
      </c>
      <c r="V108" s="16">
        <f>IF(ISNA(VLOOKUP(A108,'Données projet'!$A$35:$I$55,4,0)),0,VLOOKUP(A108,'Données projet'!$A$35:$I$55,4,0))</f>
        <v>213.82307692307694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5.1159076974727213E-13</v>
      </c>
      <c r="AJ108" s="14">
        <f>AI108*VLOOKUP('Données projet'!$B$10,Paramètres!$A$1:$I$89,3,0)*VLOOKUP('Données projet'!$B$10,Paramètres!$A$1:$I$89,5,0)</f>
        <v>3.0593128030886877E-13</v>
      </c>
      <c r="AK108" s="14">
        <f t="shared" si="89"/>
        <v>4.0350537939347394E-12</v>
      </c>
      <c r="AL108" s="22">
        <f t="shared" si="58"/>
        <v>7.5605490043076185E-12</v>
      </c>
      <c r="AM108" s="60">
        <f t="shared" si="59"/>
        <v>293.33333333334087</v>
      </c>
      <c r="AN108" s="60">
        <f ca="1">AVERAGE(OFFSET($AM$3,0,0,'Données projet'!$E$10+1,1))-AVERAGE(OFFSET($H$3,0,0,'Données projet'!$E$10+1,1))</f>
        <v>216.19747366796145</v>
      </c>
      <c r="AO108" s="60">
        <f t="shared" si="90"/>
        <v>122.08911898780889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6.4042788879092748E-11</v>
      </c>
      <c r="AX108" s="23">
        <f t="shared" si="60"/>
        <v>6.4042788879092748E-11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5.4600000000000026</v>
      </c>
      <c r="BD108" s="13">
        <f>IF('Données projet'!$A$88&gt;35,BD107+BC108-BL107,IF(A108&lt;'Données projet'!$A$88,$BA$205^A108,IF(A108='Données projet'!$A$88,'Données projet'!$B$88,BD107+BC108-BL107)))</f>
        <v>234.25230769230706</v>
      </c>
      <c r="BE108" s="14">
        <f>BD108*VLOOKUP('Données projet'!$B$11,Paramètres!$A$1:$I$89,3,0)*VLOOKUP('Données projet'!$B$11,Paramètres!$A$1:$I$89,5,0)</f>
        <v>109.63007999999969</v>
      </c>
      <c r="BF108" s="14">
        <f t="shared" si="91"/>
        <v>29.243811455610157</v>
      </c>
      <c r="BG108" s="22">
        <f t="shared" si="61"/>
        <v>241.87202761852049</v>
      </c>
      <c r="BH108" s="60">
        <f t="shared" si="62"/>
        <v>535.20536095185378</v>
      </c>
      <c r="BI108" s="60">
        <f ca="1">AVERAGE(OFFSET($BH$3,0,0,'Données projet'!$E$11+1,1))-AVERAGE(OFFSET($H$3,0,0,'Données projet'!$E$11+1,1))</f>
        <v>179.52358670810645</v>
      </c>
      <c r="BJ108" s="60">
        <f t="shared" si="92"/>
        <v>89.471764801078166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2.4999999999999973</v>
      </c>
      <c r="BY108" s="13">
        <f>IF('Données projet'!$A$114&gt;35,BY107+BX108-CG107,IF(A108&lt;'Données projet'!$A$114,$BV$205^A108,IF(A108='Données projet'!$A$114,'Données projet'!$B$114,BY107+BX108-CG107)))</f>
        <v>230.44871794871798</v>
      </c>
      <c r="BZ108" s="14">
        <f>BY108*VLOOKUP('Données projet'!$B$12,Paramètres!$A$1:$I$89,3,0)*VLOOKUP('Données projet'!$B$12,Paramètres!$A$1:$I$89,5,0)</f>
        <v>240.86500000000004</v>
      </c>
      <c r="CA108" s="14">
        <f t="shared" si="93"/>
        <v>58.62560045954735</v>
      </c>
      <c r="CB108" s="22">
        <f t="shared" si="64"/>
        <v>521.61279580037842</v>
      </c>
      <c r="CC108" s="60">
        <f t="shared" si="65"/>
        <v>814.94612913371179</v>
      </c>
      <c r="CD108" s="60">
        <f ca="1">AVERAGE(OFFSET($CC$3,0,0,'Données projet'!$E$12+1,1))-AVERAGE(OFFSET($H$3,0,0,'Données projet'!$E$12+1,1))</f>
        <v>304.57411436867147</v>
      </c>
      <c r="CE108" s="60">
        <f t="shared" si="94"/>
        <v>178.19974548556962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2.4999999999999973</v>
      </c>
      <c r="CT108" s="13">
        <f>IF('Données projet'!$A$140&gt;35,CT107+CS108-DB107,IF(A108&lt;'Données projet'!$A$140,$CQ$205^A108,IF(A108='Données projet'!$A$140,'Données projet'!$B$140,CT107+CS108-DB107)))</f>
        <v>230.44871794871798</v>
      </c>
      <c r="CU108" s="18">
        <f>CT108*VLOOKUP('Données projet'!$B$13,Paramètres!$A$1:$I$89,3,0)*VLOOKUP('Données projet'!$B$13,Paramètres!$A$1:$I$89,5,0)</f>
        <v>222.89000000000001</v>
      </c>
      <c r="CV108" s="14">
        <f t="shared" si="95"/>
        <v>54.742535046956483</v>
      </c>
      <c r="CW108" s="22">
        <f t="shared" si="67"/>
        <v>483.54333187344923</v>
      </c>
      <c r="CX108" s="60">
        <f t="shared" si="68"/>
        <v>776.87666520678249</v>
      </c>
      <c r="CY108" s="60">
        <f ca="1">AVERAGE(OFFSET($CX$3,0,0,'Données projet'!$E$13+1,1))-AVERAGE(OFFSET($H$3,0,0,'Données projet'!$E$13+1,1))</f>
        <v>279.37339904167601</v>
      </c>
      <c r="CZ108" s="60">
        <f t="shared" si="96"/>
        <v>163.80861186980007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0" t="e">
        <f t="shared" si="71"/>
        <v>#N/A</v>
      </c>
      <c r="DT108" s="60" t="e">
        <f ca="1">AVERAGE(OFFSET($DS$3,0,0,'Données projet'!$E$14+1,1))-AVERAGE(OFFSET($H$3,0,0,'Données projet'!$E$14+1,1))</f>
        <v>#N/A</v>
      </c>
      <c r="DU108" s="60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28.937999999999974</v>
      </c>
      <c r="D109" s="12">
        <f t="shared" si="86"/>
        <v>9.0137527764644076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292.9608986253391</v>
      </c>
      <c r="H109" s="68">
        <f t="shared" si="56"/>
        <v>359.43263608567543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0">
        <f t="shared" si="55"/>
        <v>293.33333333333439</v>
      </c>
      <c r="S109" s="60">
        <f ca="1">AVERAGE(OFFSET($R$3,0,0,'Données projet'!$E$9+1,1))-AVERAGE(OFFSET($H$3,0,0,'Données projet'!$E$9+1,1))</f>
        <v>223.38593045370783</v>
      </c>
      <c r="T109" s="60">
        <f t="shared" si="88"/>
        <v>161.68519532023998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5.1159076974727213E-13</v>
      </c>
      <c r="AJ109" s="14">
        <f>AI109*VLOOKUP('Données projet'!$B$10,Paramètres!$A$1:$I$89,3,0)*VLOOKUP('Données projet'!$B$10,Paramètres!$A$1:$I$89,5,0)</f>
        <v>3.0593128030886877E-13</v>
      </c>
      <c r="AK109" s="14">
        <f t="shared" si="89"/>
        <v>4.0350537939347394E-12</v>
      </c>
      <c r="AL109" s="22">
        <f t="shared" si="58"/>
        <v>7.5605490043076185E-12</v>
      </c>
      <c r="AM109" s="60">
        <f t="shared" si="59"/>
        <v>293.33333333334087</v>
      </c>
      <c r="AN109" s="60">
        <f ca="1">AVERAGE(OFFSET($AM$3,0,0,'Données projet'!$E$10+1,1))-AVERAGE(OFFSET($H$3,0,0,'Données projet'!$E$10+1,1))</f>
        <v>216.19747366796145</v>
      </c>
      <c r="AO109" s="60">
        <f t="shared" si="90"/>
        <v>122.08911898780889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4.5285090302504896E-11</v>
      </c>
      <c r="AX109" s="23">
        <f t="shared" si="60"/>
        <v>4.5285090302504896E-11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5.4600000000000026</v>
      </c>
      <c r="BD109" s="13">
        <f>IF('Données projet'!$A$88&gt;35,BD108+BC109-BL108,IF(A109&lt;'Données projet'!$A$88,$BA$205^A109,IF(A109='Données projet'!$A$88,'Données projet'!$B$88,BD108+BC109-BL108)))</f>
        <v>239.71230769230706</v>
      </c>
      <c r="BE109" s="14">
        <f>BD109*VLOOKUP('Données projet'!$B$11,Paramètres!$A$1:$I$89,3,0)*VLOOKUP('Données projet'!$B$11,Paramètres!$A$1:$I$89,5,0)</f>
        <v>112.1853599999997</v>
      </c>
      <c r="BF109" s="14">
        <f t="shared" si="91"/>
        <v>29.84528144827167</v>
      </c>
      <c r="BG109" s="22">
        <f t="shared" si="61"/>
        <v>247.37003385573931</v>
      </c>
      <c r="BH109" s="60">
        <f t="shared" si="62"/>
        <v>540.70336718907265</v>
      </c>
      <c r="BI109" s="60">
        <f ca="1">AVERAGE(OFFSET($BH$3,0,0,'Données projet'!$E$11+1,1))-AVERAGE(OFFSET($H$3,0,0,'Données projet'!$E$11+1,1))</f>
        <v>179.52358670810645</v>
      </c>
      <c r="BJ109" s="60">
        <f t="shared" si="92"/>
        <v>89.471764801078166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2.4999999999999973</v>
      </c>
      <c r="BY109" s="13">
        <f>IF('Données projet'!$A$114&gt;35,BY108+BX109-CG108,IF(A109&lt;'Données projet'!$A$114,$BV$205^A109,IF(A109='Données projet'!$A$114,'Données projet'!$B$114,BY108+BX109-CG108)))</f>
        <v>232.94871794871798</v>
      </c>
      <c r="BZ109" s="14">
        <f>BY109*VLOOKUP('Données projet'!$B$12,Paramètres!$A$1:$I$89,3,0)*VLOOKUP('Données projet'!$B$12,Paramètres!$A$1:$I$89,5,0)</f>
        <v>243.47800000000007</v>
      </c>
      <c r="CA109" s="14">
        <f t="shared" si="93"/>
        <v>59.187211367921961</v>
      </c>
      <c r="CB109" s="22">
        <f t="shared" si="64"/>
        <v>527.14190979913087</v>
      </c>
      <c r="CC109" s="60">
        <f t="shared" si="65"/>
        <v>820.47524313246413</v>
      </c>
      <c r="CD109" s="60">
        <f ca="1">AVERAGE(OFFSET($CC$3,0,0,'Données projet'!$E$12+1,1))-AVERAGE(OFFSET($H$3,0,0,'Données projet'!$E$12+1,1))</f>
        <v>304.57411436867147</v>
      </c>
      <c r="CE109" s="60">
        <f t="shared" si="94"/>
        <v>178.19974548556962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2.4999999999999973</v>
      </c>
      <c r="CT109" s="13">
        <f>IF('Données projet'!$A$140&gt;35,CT108+CS109-DB108,IF(A109&lt;'Données projet'!$A$140,$CQ$205^A109,IF(A109='Données projet'!$A$140,'Données projet'!$B$140,CT108+CS109-DB108)))</f>
        <v>232.94871794871798</v>
      </c>
      <c r="CU109" s="18">
        <f>CT109*VLOOKUP('Données projet'!$B$13,Paramètres!$A$1:$I$89,3,0)*VLOOKUP('Données projet'!$B$13,Paramètres!$A$1:$I$89,5,0)</f>
        <v>225.30800000000005</v>
      </c>
      <c r="CV109" s="14">
        <f t="shared" si="95"/>
        <v>55.266947668634685</v>
      </c>
      <c r="CW109" s="22">
        <f t="shared" si="67"/>
        <v>488.66803385620551</v>
      </c>
      <c r="CX109" s="60">
        <f t="shared" si="68"/>
        <v>782.00136718953877</v>
      </c>
      <c r="CY109" s="60">
        <f ca="1">AVERAGE(OFFSET($CX$3,0,0,'Données projet'!$E$13+1,1))-AVERAGE(OFFSET($H$3,0,0,'Données projet'!$E$13+1,1))</f>
        <v>279.37339904167601</v>
      </c>
      <c r="CZ109" s="60">
        <f t="shared" si="96"/>
        <v>163.80861186980007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0" t="e">
        <f t="shared" si="71"/>
        <v>#N/A</v>
      </c>
      <c r="DT109" s="60" t="e">
        <f ca="1">AVERAGE(OFFSET($DS$3,0,0,'Données projet'!$E$14+1,1))-AVERAGE(OFFSET($H$3,0,0,'Données projet'!$E$14+1,1))</f>
        <v>#N/A</v>
      </c>
      <c r="DU109" s="60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29.210999999999974</v>
      </c>
      <c r="D110" s="12">
        <f t="shared" si="86"/>
        <v>9.0888489485349222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295.64795679570801</v>
      </c>
      <c r="H110" s="68">
        <f t="shared" si="56"/>
        <v>360.03890358536489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0">
        <f t="shared" si="55"/>
        <v>293.33333333333439</v>
      </c>
      <c r="S110" s="60">
        <f ca="1">AVERAGE(OFFSET($R$3,0,0,'Données projet'!$E$9+1,1))-AVERAGE(OFFSET($H$3,0,0,'Données projet'!$E$9+1,1))</f>
        <v>223.38593045370783</v>
      </c>
      <c r="T110" s="60">
        <f t="shared" si="88"/>
        <v>161.68519532023998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5.1159076974727213E-13</v>
      </c>
      <c r="AJ110" s="14">
        <f>AI110*VLOOKUP('Données projet'!$B$10,Paramètres!$A$1:$I$89,3,0)*VLOOKUP('Données projet'!$B$10,Paramètres!$A$1:$I$89,5,0)</f>
        <v>3.0593128030886877E-13</v>
      </c>
      <c r="AK110" s="14">
        <f t="shared" si="89"/>
        <v>4.0350537939347394E-12</v>
      </c>
      <c r="AL110" s="22">
        <f t="shared" si="58"/>
        <v>7.5605490043076185E-12</v>
      </c>
      <c r="AM110" s="60">
        <f t="shared" si="59"/>
        <v>293.33333333334087</v>
      </c>
      <c r="AN110" s="60">
        <f ca="1">AVERAGE(OFFSET($AM$3,0,0,'Données projet'!$E$10+1,1))-AVERAGE(OFFSET($H$3,0,0,'Données projet'!$E$10+1,1))</f>
        <v>216.19747366796145</v>
      </c>
      <c r="AO110" s="60">
        <f t="shared" si="90"/>
        <v>122.08911898780889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3.2021394439546374E-11</v>
      </c>
      <c r="AX110" s="23">
        <f t="shared" si="60"/>
        <v>3.2021394439546374E-11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5.4600000000000026</v>
      </c>
      <c r="BD110" s="13">
        <f>IF('Données projet'!$A$88&gt;35,BD109+BC110-BL109,IF(A110&lt;'Données projet'!$A$88,$BA$205^A110,IF(A110='Données projet'!$A$88,'Données projet'!$B$88,BD109+BC110-BL109)))</f>
        <v>245.17230769230707</v>
      </c>
      <c r="BE110" s="14">
        <f>BD110*VLOOKUP('Données projet'!$B$11,Paramètres!$A$1:$I$89,3,0)*VLOOKUP('Données projet'!$B$11,Paramètres!$A$1:$I$89,5,0)</f>
        <v>114.74063999999971</v>
      </c>
      <c r="BF110" s="14">
        <f t="shared" si="91"/>
        <v>30.445158743218197</v>
      </c>
      <c r="BG110" s="22">
        <f t="shared" si="61"/>
        <v>252.86526614443781</v>
      </c>
      <c r="BH110" s="60">
        <f t="shared" si="62"/>
        <v>546.19859947777115</v>
      </c>
      <c r="BI110" s="60">
        <f ca="1">AVERAGE(OFFSET($BH$3,0,0,'Données projet'!$E$11+1,1))-AVERAGE(OFFSET($H$3,0,0,'Données projet'!$E$11+1,1))</f>
        <v>179.52358670810645</v>
      </c>
      <c r="BJ110" s="60">
        <f t="shared" si="92"/>
        <v>89.471764801078166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2.4999999999999973</v>
      </c>
      <c r="BY110" s="13">
        <f>IF('Données projet'!$A$114&gt;35,BY109+BX110-CG109,IF(A110&lt;'Données projet'!$A$114,$BV$205^A110,IF(A110='Données projet'!$A$114,'Données projet'!$B$114,BY109+BX110-CG109)))</f>
        <v>235.44871794871798</v>
      </c>
      <c r="BZ110" s="14">
        <f>BY110*VLOOKUP('Données projet'!$B$12,Paramètres!$A$1:$I$89,3,0)*VLOOKUP('Données projet'!$B$12,Paramètres!$A$1:$I$89,5,0)</f>
        <v>246.09100000000009</v>
      </c>
      <c r="CA110" s="14">
        <f t="shared" si="93"/>
        <v>59.748121134619325</v>
      </c>
      <c r="CB110" s="22">
        <f t="shared" si="64"/>
        <v>532.66980264279539</v>
      </c>
      <c r="CC110" s="60">
        <f t="shared" si="65"/>
        <v>826.00313597612876</v>
      </c>
      <c r="CD110" s="60">
        <f ca="1">AVERAGE(OFFSET($CC$3,0,0,'Données projet'!$E$12+1,1))-AVERAGE(OFFSET($H$3,0,0,'Données projet'!$E$12+1,1))</f>
        <v>304.57411436867147</v>
      </c>
      <c r="CE110" s="60">
        <f t="shared" si="94"/>
        <v>178.19974548556962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2.4999999999999973</v>
      </c>
      <c r="CT110" s="13">
        <f>IF('Données projet'!$A$140&gt;35,CT109+CS110-DB109,IF(A110&lt;'Données projet'!$A$140,$CQ$205^A110,IF(A110='Données projet'!$A$140,'Données projet'!$B$140,CT109+CS110-DB109)))</f>
        <v>235.44871794871798</v>
      </c>
      <c r="CU110" s="18">
        <f>CT110*VLOOKUP('Données projet'!$B$13,Paramètres!$A$1:$I$89,3,0)*VLOOKUP('Données projet'!$B$13,Paramètres!$A$1:$I$89,5,0)</f>
        <v>227.72600000000006</v>
      </c>
      <c r="CV110" s="14">
        <f t="shared" si="95"/>
        <v>55.790705588739883</v>
      </c>
      <c r="CW110" s="22">
        <f t="shared" si="67"/>
        <v>493.79159556705531</v>
      </c>
      <c r="CX110" s="60">
        <f t="shared" si="68"/>
        <v>787.12492890038857</v>
      </c>
      <c r="CY110" s="60">
        <f ca="1">AVERAGE(OFFSET($CX$3,0,0,'Données projet'!$E$13+1,1))-AVERAGE(OFFSET($H$3,0,0,'Données projet'!$E$13+1,1))</f>
        <v>279.37339904167601</v>
      </c>
      <c r="CZ110" s="60">
        <f t="shared" si="96"/>
        <v>163.80861186980007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0" t="e">
        <f t="shared" si="71"/>
        <v>#N/A</v>
      </c>
      <c r="DT110" s="60" t="e">
        <f ca="1">AVERAGE(OFFSET($DS$3,0,0,'Données projet'!$E$14+1,1))-AVERAGE(OFFSET($H$3,0,0,'Données projet'!$E$14+1,1))</f>
        <v>#N/A</v>
      </c>
      <c r="DU110" s="60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29.483999999999973</v>
      </c>
      <c r="D111" s="12">
        <f t="shared" si="86"/>
        <v>9.163863470361429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298.33438468349146</v>
      </c>
      <c r="H111" s="68">
        <f t="shared" si="56"/>
        <v>360.64502887754611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0">
        <f t="shared" si="55"/>
        <v>293.33333333333439</v>
      </c>
      <c r="S111" s="60">
        <f ca="1">AVERAGE(OFFSET($R$3,0,0,'Données projet'!$E$9+1,1))-AVERAGE(OFFSET($H$3,0,0,'Données projet'!$E$9+1,1))</f>
        <v>223.38593045370783</v>
      </c>
      <c r="T111" s="60">
        <f t="shared" si="88"/>
        <v>161.68519532023998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5.1159076974727213E-13</v>
      </c>
      <c r="AJ111" s="14">
        <f>AI111*VLOOKUP('Données projet'!$B$10,Paramètres!$A$1:$I$89,3,0)*VLOOKUP('Données projet'!$B$10,Paramètres!$A$1:$I$89,5,0)</f>
        <v>3.0593128030886877E-13</v>
      </c>
      <c r="AK111" s="14">
        <f t="shared" si="89"/>
        <v>4.0350537939347394E-12</v>
      </c>
      <c r="AL111" s="22">
        <f t="shared" si="58"/>
        <v>7.5605490043076185E-12</v>
      </c>
      <c r="AM111" s="60">
        <f t="shared" si="59"/>
        <v>293.33333333334087</v>
      </c>
      <c r="AN111" s="60">
        <f ca="1">AVERAGE(OFFSET($AM$3,0,0,'Données projet'!$E$10+1,1))-AVERAGE(OFFSET($H$3,0,0,'Données projet'!$E$10+1,1))</f>
        <v>216.19747366796145</v>
      </c>
      <c r="AO111" s="60">
        <f t="shared" si="90"/>
        <v>122.08911898780889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2.2642545151252448E-11</v>
      </c>
      <c r="AX111" s="23">
        <f t="shared" si="60"/>
        <v>2.2642545151252448E-11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5.4600000000000026</v>
      </c>
      <c r="BD111" s="13">
        <f>IF('Données projet'!$A$88&gt;35,BD110+BC111-BL110,IF(A111&lt;'Données projet'!$A$88,$BA$205^A111,IF(A111='Données projet'!$A$88,'Données projet'!$B$88,BD110+BC111-BL110)))</f>
        <v>250.63230769230708</v>
      </c>
      <c r="BE111" s="14">
        <f>BD111*VLOOKUP('Données projet'!$B$11,Paramètres!$A$1:$I$89,3,0)*VLOOKUP('Données projet'!$B$11,Paramètres!$A$1:$I$89,5,0)</f>
        <v>117.29591999999971</v>
      </c>
      <c r="BF111" s="14">
        <f t="shared" si="91"/>
        <v>31.043482893881698</v>
      </c>
      <c r="BG111" s="22">
        <f t="shared" si="61"/>
        <v>258.35779337351011</v>
      </c>
      <c r="BH111" s="60">
        <f t="shared" si="62"/>
        <v>551.69112670684342</v>
      </c>
      <c r="BI111" s="60">
        <f ca="1">AVERAGE(OFFSET($BH$3,0,0,'Données projet'!$E$11+1,1))-AVERAGE(OFFSET($H$3,0,0,'Données projet'!$E$11+1,1))</f>
        <v>179.52358670810645</v>
      </c>
      <c r="BJ111" s="60">
        <f t="shared" si="92"/>
        <v>89.471764801078166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2.4999999999999973</v>
      </c>
      <c r="BY111" s="13">
        <f>IF('Données projet'!$A$114&gt;35,BY110+BX111-CG110,IF(A111&lt;'Données projet'!$A$114,$BV$205^A111,IF(A111='Données projet'!$A$114,'Données projet'!$B$114,BY110+BX111-CG110)))</f>
        <v>237.94871794871798</v>
      </c>
      <c r="BZ111" s="14">
        <f>BY111*VLOOKUP('Données projet'!$B$12,Paramètres!$A$1:$I$89,3,0)*VLOOKUP('Données projet'!$B$12,Paramètres!$A$1:$I$89,5,0)</f>
        <v>248.70400000000006</v>
      </c>
      <c r="CA111" s="14">
        <f t="shared" si="93"/>
        <v>60.308338066125408</v>
      </c>
      <c r="CB111" s="22">
        <f t="shared" si="64"/>
        <v>538.19648879850183</v>
      </c>
      <c r="CC111" s="60">
        <f t="shared" si="65"/>
        <v>831.52982213183509</v>
      </c>
      <c r="CD111" s="60">
        <f ca="1">AVERAGE(OFFSET($CC$3,0,0,'Données projet'!$E$12+1,1))-AVERAGE(OFFSET($H$3,0,0,'Données projet'!$E$12+1,1))</f>
        <v>304.57411436867147</v>
      </c>
      <c r="CE111" s="60">
        <f t="shared" si="94"/>
        <v>178.19974548556962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2.4999999999999973</v>
      </c>
      <c r="CT111" s="13">
        <f>IF('Données projet'!$A$140&gt;35,CT110+CS111-DB110,IF(A111&lt;'Données projet'!$A$140,$CQ$205^A111,IF(A111='Données projet'!$A$140,'Données projet'!$B$140,CT110+CS111-DB110)))</f>
        <v>237.94871794871798</v>
      </c>
      <c r="CU111" s="18">
        <f>CT111*VLOOKUP('Données projet'!$B$13,Paramètres!$A$1:$I$89,3,0)*VLOOKUP('Données projet'!$B$13,Paramètres!$A$1:$I$89,5,0)</f>
        <v>230.14400000000003</v>
      </c>
      <c r="CV111" s="14">
        <f t="shared" si="95"/>
        <v>56.313816563578058</v>
      </c>
      <c r="CW111" s="22">
        <f t="shared" si="67"/>
        <v>498.91403051489851</v>
      </c>
      <c r="CX111" s="60">
        <f t="shared" si="68"/>
        <v>792.24736384823177</v>
      </c>
      <c r="CY111" s="60">
        <f ca="1">AVERAGE(OFFSET($CX$3,0,0,'Données projet'!$E$13+1,1))-AVERAGE(OFFSET($H$3,0,0,'Données projet'!$E$13+1,1))</f>
        <v>279.37339904167601</v>
      </c>
      <c r="CZ111" s="60">
        <f t="shared" si="96"/>
        <v>163.80861186980007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0" t="e">
        <f t="shared" si="71"/>
        <v>#N/A</v>
      </c>
      <c r="DT111" s="60" t="e">
        <f ca="1">AVERAGE(OFFSET($DS$3,0,0,'Données projet'!$E$14+1,1))-AVERAGE(OFFSET($H$3,0,0,'Données projet'!$E$14+1,1))</f>
        <v>#N/A</v>
      </c>
      <c r="DU111" s="60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29.756999999999973</v>
      </c>
      <c r="D112" s="12">
        <f t="shared" si="86"/>
        <v>9.2387971855350592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301.02018880062127</v>
      </c>
      <c r="H112" s="68">
        <f t="shared" si="56"/>
        <v>361.2510134314735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0">
        <f t="shared" si="55"/>
        <v>293.33333333333439</v>
      </c>
      <c r="S112" s="60">
        <f ca="1">AVERAGE(OFFSET($R$3,0,0,'Données projet'!$E$9+1,1))-AVERAGE(OFFSET($H$3,0,0,'Données projet'!$E$9+1,1))</f>
        <v>223.38593045370783</v>
      </c>
      <c r="T112" s="60">
        <f t="shared" si="88"/>
        <v>161.68519532023998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5.1159076974727213E-13</v>
      </c>
      <c r="AJ112" s="14">
        <f>AI112*VLOOKUP('Données projet'!$B$10,Paramètres!$A$1:$I$89,3,0)*VLOOKUP('Données projet'!$B$10,Paramètres!$A$1:$I$89,5,0)</f>
        <v>3.0593128030886877E-13</v>
      </c>
      <c r="AK112" s="14">
        <f t="shared" si="89"/>
        <v>4.0350537939347394E-12</v>
      </c>
      <c r="AL112" s="22">
        <f t="shared" si="58"/>
        <v>7.5605490043076185E-12</v>
      </c>
      <c r="AM112" s="60">
        <f t="shared" si="59"/>
        <v>293.33333333334087</v>
      </c>
      <c r="AN112" s="60">
        <f ca="1">AVERAGE(OFFSET($AM$3,0,0,'Données projet'!$E$10+1,1))-AVERAGE(OFFSET($H$3,0,0,'Données projet'!$E$10+1,1))</f>
        <v>216.19747366796145</v>
      </c>
      <c r="AO112" s="60">
        <f t="shared" si="90"/>
        <v>122.08911898780889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1.6010697219773187E-11</v>
      </c>
      <c r="AX112" s="23">
        <f t="shared" si="60"/>
        <v>1.6010697219773187E-11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>
        <f>VLOOKUP(A112,'Données projet'!$A$87:$I$107,2,0)</f>
        <v>256.09230769230771</v>
      </c>
      <c r="BB112" s="13">
        <f>VLOOKUP(A112,'Données projet'!$A$87:$I$107,9,0)</f>
        <v>5.4600000000000026</v>
      </c>
      <c r="BC112" s="13">
        <f t="array" ref="BC112">INDEX(BB:BB,MIN(IF(ISNUMBER(BB112:BB308),ROW(BB112:BB308),"")))</f>
        <v>5.4600000000000026</v>
      </c>
      <c r="BD112" s="13">
        <f>IF('Données projet'!$A$88&gt;35,BD111+BC112-BL111,IF(A112&lt;'Données projet'!$A$88,$BA$205^A112,IF(A112='Données projet'!$A$88,'Données projet'!$B$88,BD111+BC112-BL111)))</f>
        <v>256.09230769230709</v>
      </c>
      <c r="BE112" s="14">
        <f>BD112*VLOOKUP('Données projet'!$B$11,Paramètres!$A$1:$I$89,3,0)*VLOOKUP('Données projet'!$B$11,Paramètres!$A$1:$I$89,5,0)</f>
        <v>119.85119999999972</v>
      </c>
      <c r="BF112" s="14">
        <f t="shared" si="91"/>
        <v>31.640291631938162</v>
      </c>
      <c r="BG112" s="22">
        <f t="shared" si="61"/>
        <v>263.84768125895852</v>
      </c>
      <c r="BH112" s="60">
        <f t="shared" si="62"/>
        <v>557.18101459229183</v>
      </c>
      <c r="BI112" s="60">
        <f ca="1">AVERAGE(OFFSET($BH$3,0,0,'Données projet'!$E$11+1,1))-AVERAGE(OFFSET($H$3,0,0,'Données projet'!$E$11+1,1))</f>
        <v>179.52358670810645</v>
      </c>
      <c r="BJ112" s="60">
        <f t="shared" si="92"/>
        <v>89.471764801078166</v>
      </c>
      <c r="BK112" s="16">
        <f>IF(ISNA(VLOOKUP(A112,'Données projet'!$A$87:$I$107,3,0)),0,VLOOKUP(A112,'Données projet'!$A$87:$I$107,3,0))</f>
        <v>6</v>
      </c>
      <c r="BL112" s="16">
        <f>IF(ISNA(VLOOKUP(A112,'Données projet'!$A$87:$I$107,4,0)),0,VLOOKUP(A112,'Données projet'!$A$87:$I$107,4,0))</f>
        <v>256.09230769230771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2.4999999999999973</v>
      </c>
      <c r="BY112" s="13">
        <f>IF('Données projet'!$A$114&gt;35,BY111+BX112-CG111,IF(A112&lt;'Données projet'!$A$114,$BV$205^A112,IF(A112='Données projet'!$A$114,'Données projet'!$B$114,BY111+BX112-CG111)))</f>
        <v>240.44871794871798</v>
      </c>
      <c r="BZ112" s="14">
        <f>BY112*VLOOKUP('Données projet'!$B$12,Paramètres!$A$1:$I$89,3,0)*VLOOKUP('Données projet'!$B$12,Paramètres!$A$1:$I$89,5,0)</f>
        <v>251.31700000000006</v>
      </c>
      <c r="CA112" s="14">
        <f t="shared" si="93"/>
        <v>60.867870284326941</v>
      </c>
      <c r="CB112" s="22">
        <f t="shared" si="64"/>
        <v>543.72198241186959</v>
      </c>
      <c r="CC112" s="60">
        <f t="shared" si="65"/>
        <v>837.05531574520296</v>
      </c>
      <c r="CD112" s="60">
        <f ca="1">AVERAGE(OFFSET($CC$3,0,0,'Données projet'!$E$12+1,1))-AVERAGE(OFFSET($H$3,0,0,'Données projet'!$E$12+1,1))</f>
        <v>304.57411436867147</v>
      </c>
      <c r="CE112" s="60">
        <f t="shared" si="94"/>
        <v>178.19974548556962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2.4999999999999973</v>
      </c>
      <c r="CT112" s="13">
        <f>IF('Données projet'!$A$140&gt;35,CT111+CS112-DB111,IF(A112&lt;'Données projet'!$A$140,$CQ$205^A112,IF(A112='Données projet'!$A$140,'Données projet'!$B$140,CT111+CS112-DB111)))</f>
        <v>240.44871794871798</v>
      </c>
      <c r="CU112" s="18">
        <f>CT112*VLOOKUP('Données projet'!$B$13,Paramètres!$A$1:$I$89,3,0)*VLOOKUP('Données projet'!$B$13,Paramètres!$A$1:$I$89,5,0)</f>
        <v>232.56200000000004</v>
      </c>
      <c r="CV112" s="14">
        <f t="shared" si="95"/>
        <v>56.836288177083048</v>
      </c>
      <c r="CW112" s="22">
        <f t="shared" si="67"/>
        <v>504.03535190841973</v>
      </c>
      <c r="CX112" s="60">
        <f t="shared" si="68"/>
        <v>797.36868524175304</v>
      </c>
      <c r="CY112" s="60">
        <f ca="1">AVERAGE(OFFSET($CX$3,0,0,'Données projet'!$E$13+1,1))-AVERAGE(OFFSET($H$3,0,0,'Données projet'!$E$13+1,1))</f>
        <v>279.37339904167601</v>
      </c>
      <c r="CZ112" s="60">
        <f t="shared" si="96"/>
        <v>163.80861186980007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0" t="e">
        <f t="shared" si="71"/>
        <v>#N/A</v>
      </c>
      <c r="DT112" s="60" t="e">
        <f ca="1">AVERAGE(OFFSET($DS$3,0,0,'Données projet'!$E$14+1,1))-AVERAGE(OFFSET($H$3,0,0,'Données projet'!$E$14+1,1))</f>
        <v>#N/A</v>
      </c>
      <c r="DU112" s="60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30.029999999999973</v>
      </c>
      <c r="D113" s="12">
        <f t="shared" si="86"/>
        <v>9.3136509212754071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303.70537553265211</v>
      </c>
      <c r="H113" s="68">
        <f t="shared" si="56"/>
        <v>361.85685868788795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0">
        <f t="shared" si="55"/>
        <v>293.33333333333439</v>
      </c>
      <c r="S113" s="60">
        <f ca="1">AVERAGE(OFFSET($R$3,0,0,'Données projet'!$E$9+1,1))-AVERAGE(OFFSET($H$3,0,0,'Données projet'!$E$9+1,1))</f>
        <v>223.38593045370783</v>
      </c>
      <c r="T113" s="60">
        <f t="shared" si="88"/>
        <v>161.68519532023998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5.1159076974727213E-13</v>
      </c>
      <c r="AJ113" s="14">
        <f>AI113*VLOOKUP('Données projet'!$B$10,Paramètres!$A$1:$I$89,3,0)*VLOOKUP('Données projet'!$B$10,Paramètres!$A$1:$I$89,5,0)</f>
        <v>3.0593128030886877E-13</v>
      </c>
      <c r="AK113" s="14">
        <f t="shared" si="89"/>
        <v>4.0350537939347394E-12</v>
      </c>
      <c r="AL113" s="22">
        <f t="shared" si="58"/>
        <v>7.5605490043076185E-12</v>
      </c>
      <c r="AM113" s="60">
        <f t="shared" si="59"/>
        <v>293.33333333334087</v>
      </c>
      <c r="AN113" s="60">
        <f ca="1">AVERAGE(OFFSET($AM$3,0,0,'Données projet'!$E$10+1,1))-AVERAGE(OFFSET($H$3,0,0,'Données projet'!$E$10+1,1))</f>
        <v>216.19747366796145</v>
      </c>
      <c r="AO113" s="60">
        <f t="shared" si="90"/>
        <v>122.08911898780889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1.1321272575626224E-11</v>
      </c>
      <c r="AX113" s="23">
        <f t="shared" si="60"/>
        <v>1.1321272575626224E-11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-6.2527760746888816E-13</v>
      </c>
      <c r="BE113" s="14">
        <f>BD113*VLOOKUP('Données projet'!$B$11,Paramètres!$A$1:$I$89,3,0)*VLOOKUP('Données projet'!$B$11,Paramètres!$A$1:$I$89,5,0)</f>
        <v>-2.9262992029543964E-13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179.52358670810645</v>
      </c>
      <c r="BJ113" s="60">
        <f t="shared" si="92"/>
        <v>89.471764801078166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242.94871794871793</v>
      </c>
      <c r="BW113" s="13">
        <f>VLOOKUP(A113,'Données projet'!$A$113:$I$133,9,0)</f>
        <v>2.4999999999999973</v>
      </c>
      <c r="BX113" s="13">
        <f t="array" ref="BX113">INDEX(BW:BW,MIN(IF(ISNUMBER(BW113:BW309),ROW(BW113:BW309),"")))</f>
        <v>2.4999999999999973</v>
      </c>
      <c r="BY113" s="13">
        <f>IF('Données projet'!$A$114&gt;35,BY112+BX113-CG112,IF(A113&lt;'Données projet'!$A$114,$BV$205^A113,IF(A113='Données projet'!$A$114,'Données projet'!$B$114,BY112+BX113-CG112)))</f>
        <v>242.94871794871798</v>
      </c>
      <c r="BZ113" s="14">
        <f>BY113*VLOOKUP('Données projet'!$B$12,Paramètres!$A$1:$I$89,3,0)*VLOOKUP('Données projet'!$B$12,Paramètres!$A$1:$I$89,5,0)</f>
        <v>253.93000000000004</v>
      </c>
      <c r="CA113" s="14">
        <f t="shared" si="93"/>
        <v>61.426725732489594</v>
      </c>
      <c r="CB113" s="22">
        <f t="shared" si="64"/>
        <v>549.24629731741936</v>
      </c>
      <c r="CC113" s="60">
        <f t="shared" si="65"/>
        <v>842.57963065075273</v>
      </c>
      <c r="CD113" s="60">
        <f ca="1">AVERAGE(OFFSET($CC$3,0,0,'Données projet'!$E$12+1,1))-AVERAGE(OFFSET($H$3,0,0,'Données projet'!$E$12+1,1))</f>
        <v>304.57411436867147</v>
      </c>
      <c r="CE113" s="60">
        <f t="shared" si="94"/>
        <v>178.19974548556962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14.102564102564102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242.94871794871793</v>
      </c>
      <c r="CR113" s="13">
        <f>VLOOKUP(A113,'Données projet'!$A$139:$I$159,9,0)</f>
        <v>2.4999999999999973</v>
      </c>
      <c r="CS113" s="13">
        <f t="array" ref="CS113">INDEX(CR:CR,MIN(IF(ISNUMBER(CR113:CR309),ROW(CR113:CR309),"")))</f>
        <v>2.4999999999999973</v>
      </c>
      <c r="CT113" s="13">
        <f>IF('Données projet'!$A$140&gt;35,CT112+CS113-DB112,IF(A113&lt;'Données projet'!$A$140,$CQ$205^A113,IF(A113='Données projet'!$A$140,'Données projet'!$B$140,CT112+CS113-DB112)))</f>
        <v>242.94871794871798</v>
      </c>
      <c r="CU113" s="18">
        <f>CT113*VLOOKUP('Données projet'!$B$13,Paramètres!$A$1:$I$89,3,0)*VLOOKUP('Données projet'!$B$13,Paramètres!$A$1:$I$89,5,0)</f>
        <v>234.98000000000002</v>
      </c>
      <c r="CV113" s="14">
        <f t="shared" si="95"/>
        <v>57.358127846398496</v>
      </c>
      <c r="CW113" s="22">
        <f t="shared" si="67"/>
        <v>509.15557266581067</v>
      </c>
      <c r="CX113" s="60">
        <f t="shared" si="68"/>
        <v>802.48890599914398</v>
      </c>
      <c r="CY113" s="60">
        <f ca="1">AVERAGE(OFFSET($CX$3,0,0,'Données projet'!$E$13+1,1))-AVERAGE(OFFSET($H$3,0,0,'Données projet'!$E$13+1,1))</f>
        <v>279.37339904167601</v>
      </c>
      <c r="CZ113" s="60">
        <f t="shared" si="96"/>
        <v>163.80861186980007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14.102564102564102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0" t="e">
        <f t="shared" si="71"/>
        <v>#N/A</v>
      </c>
      <c r="DT113" s="60" t="e">
        <f ca="1">AVERAGE(OFFSET($DS$3,0,0,'Données projet'!$E$14+1,1))-AVERAGE(OFFSET($H$3,0,0,'Données projet'!$E$14+1,1))</f>
        <v>#N/A</v>
      </c>
      <c r="DU113" s="60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30.302999999999972</v>
      </c>
      <c r="D114" s="12">
        <f t="shared" si="86"/>
        <v>9.3884254888941374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306.38995114234052</v>
      </c>
      <c r="H114" s="68">
        <f t="shared" si="56"/>
        <v>362.46256605982387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0">
        <f t="shared" si="55"/>
        <v>293.33333333333439</v>
      </c>
      <c r="S114" s="60">
        <f ca="1">AVERAGE(OFFSET($R$3,0,0,'Données projet'!$E$9+1,1))-AVERAGE(OFFSET($H$3,0,0,'Données projet'!$E$9+1,1))</f>
        <v>223.38593045370783</v>
      </c>
      <c r="T114" s="60">
        <f t="shared" si="88"/>
        <v>161.68519532023998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5.1159076974727213E-13</v>
      </c>
      <c r="AJ114" s="14">
        <f>AI114*VLOOKUP('Données projet'!$B$10,Paramètres!$A$1:$I$89,3,0)*VLOOKUP('Données projet'!$B$10,Paramètres!$A$1:$I$89,5,0)</f>
        <v>3.0593128030886877E-13</v>
      </c>
      <c r="AK114" s="14">
        <f t="shared" si="89"/>
        <v>4.0350537939347394E-12</v>
      </c>
      <c r="AL114" s="22">
        <f t="shared" si="58"/>
        <v>7.5605490043076185E-12</v>
      </c>
      <c r="AM114" s="60">
        <f t="shared" si="59"/>
        <v>293.33333333334087</v>
      </c>
      <c r="AN114" s="60">
        <f ca="1">AVERAGE(OFFSET($AM$3,0,0,'Données projet'!$E$10+1,1))-AVERAGE(OFFSET($H$3,0,0,'Données projet'!$E$10+1,1))</f>
        <v>216.19747366796145</v>
      </c>
      <c r="AO114" s="60">
        <f t="shared" si="90"/>
        <v>122.08911898780889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8.0053486098865936E-12</v>
      </c>
      <c r="AX114" s="23">
        <f t="shared" si="60"/>
        <v>8.0053486098865936E-12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-6.2527760746888816E-13</v>
      </c>
      <c r="BE114" s="14">
        <f>BD114*VLOOKUP('Données projet'!$B$11,Paramètres!$A$1:$I$89,3,0)*VLOOKUP('Données projet'!$B$11,Paramètres!$A$1:$I$89,5,0)</f>
        <v>-2.9262992029543964E-13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179.52358670810645</v>
      </c>
      <c r="BJ114" s="60">
        <f t="shared" si="92"/>
        <v>89.471764801078166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2.3076923076923093</v>
      </c>
      <c r="BY114" s="13">
        <f>IF('Données projet'!$A$114&gt;35,BY113+BX114-CG113,IF(A114&lt;'Données projet'!$A$114,$BV$205^A114,IF(A114='Données projet'!$A$114,'Données projet'!$B$114,BY113+BX114-CG113)))</f>
        <v>231.15384615384619</v>
      </c>
      <c r="BZ114" s="14">
        <f>BY114*VLOOKUP('Données projet'!$B$12,Paramètres!$A$1:$I$89,3,0)*VLOOKUP('Données projet'!$B$12,Paramètres!$A$1:$I$89,5,0)</f>
        <v>241.60200000000006</v>
      </c>
      <c r="CA114" s="14">
        <f t="shared" si="93"/>
        <v>58.784075015353388</v>
      </c>
      <c r="CB114" s="22">
        <f t="shared" si="64"/>
        <v>523.17241398507394</v>
      </c>
      <c r="CC114" s="60">
        <f t="shared" si="65"/>
        <v>816.5057473184072</v>
      </c>
      <c r="CD114" s="60">
        <f ca="1">AVERAGE(OFFSET($CC$3,0,0,'Données projet'!$E$12+1,1))-AVERAGE(OFFSET($H$3,0,0,'Données projet'!$E$12+1,1))</f>
        <v>304.57411436867147</v>
      </c>
      <c r="CE114" s="60">
        <f t="shared" si="94"/>
        <v>178.19974548556962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2.3076923076923093</v>
      </c>
      <c r="CT114" s="13">
        <f>IF('Données projet'!$A$140&gt;35,CT113+CS114-DB113,IF(A114&lt;'Données projet'!$A$140,$CQ$205^A114,IF(A114='Données projet'!$A$140,'Données projet'!$B$140,CT113+CS114-DB113)))</f>
        <v>231.15384615384619</v>
      </c>
      <c r="CU114" s="18">
        <f>CT114*VLOOKUP('Données projet'!$B$13,Paramètres!$A$1:$I$89,3,0)*VLOOKUP('Données projet'!$B$13,Paramètres!$A$1:$I$89,5,0)</f>
        <v>223.57200000000003</v>
      </c>
      <c r="CV114" s="14">
        <f t="shared" si="95"/>
        <v>54.890513043894003</v>
      </c>
      <c r="CW114" s="22">
        <f t="shared" si="67"/>
        <v>484.98887688478209</v>
      </c>
      <c r="CX114" s="60">
        <f t="shared" si="68"/>
        <v>778.3222102181154</v>
      </c>
      <c r="CY114" s="60">
        <f ca="1">AVERAGE(OFFSET($CX$3,0,0,'Données projet'!$E$13+1,1))-AVERAGE(OFFSET($H$3,0,0,'Données projet'!$E$13+1,1))</f>
        <v>279.37339904167601</v>
      </c>
      <c r="CZ114" s="60">
        <f t="shared" si="96"/>
        <v>163.80861186980007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0" t="e">
        <f t="shared" si="71"/>
        <v>#N/A</v>
      </c>
      <c r="DT114" s="60" t="e">
        <f ca="1">AVERAGE(OFFSET($DS$3,0,0,'Données projet'!$E$14+1,1))-AVERAGE(OFFSET($H$3,0,0,'Données projet'!$E$14+1,1))</f>
        <v>#N/A</v>
      </c>
      <c r="DU114" s="60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30.575999999999972</v>
      </c>
      <c r="D115" s="12">
        <f t="shared" si="86"/>
        <v>9.4631216842413792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309.07392177309117</v>
      </c>
      <c r="H115" s="68">
        <f t="shared" si="56"/>
        <v>363.068136933387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0">
        <f t="shared" si="55"/>
        <v>293.33333333333439</v>
      </c>
      <c r="S115" s="60">
        <f ca="1">AVERAGE(OFFSET($R$3,0,0,'Données projet'!$E$9+1,1))-AVERAGE(OFFSET($H$3,0,0,'Données projet'!$E$9+1,1))</f>
        <v>223.38593045370783</v>
      </c>
      <c r="T115" s="60">
        <f t="shared" si="88"/>
        <v>161.68519532023998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5.1159076974727213E-13</v>
      </c>
      <c r="AJ115" s="14">
        <f>AI115*VLOOKUP('Données projet'!$B$10,Paramètres!$A$1:$I$89,3,0)*VLOOKUP('Données projet'!$B$10,Paramètres!$A$1:$I$89,5,0)</f>
        <v>3.0593128030886877E-13</v>
      </c>
      <c r="AK115" s="14">
        <f t="shared" si="89"/>
        <v>4.0350537939347394E-12</v>
      </c>
      <c r="AL115" s="22">
        <f t="shared" si="58"/>
        <v>7.5605490043076185E-12</v>
      </c>
      <c r="AM115" s="60">
        <f t="shared" si="59"/>
        <v>293.33333333334087</v>
      </c>
      <c r="AN115" s="60">
        <f ca="1">AVERAGE(OFFSET($AM$3,0,0,'Données projet'!$E$10+1,1))-AVERAGE(OFFSET($H$3,0,0,'Données projet'!$E$10+1,1))</f>
        <v>216.19747366796145</v>
      </c>
      <c r="AO115" s="60">
        <f t="shared" si="90"/>
        <v>122.08911898780889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5.660636287813112E-12</v>
      </c>
      <c r="AX115" s="23">
        <f t="shared" si="60"/>
        <v>5.660636287813112E-12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-6.2527760746888816E-13</v>
      </c>
      <c r="BE115" s="14">
        <f>BD115*VLOOKUP('Données projet'!$B$11,Paramètres!$A$1:$I$89,3,0)*VLOOKUP('Données projet'!$B$11,Paramètres!$A$1:$I$89,5,0)</f>
        <v>-2.9262992029543964E-13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179.52358670810645</v>
      </c>
      <c r="BJ115" s="60">
        <f t="shared" si="92"/>
        <v>89.471764801078166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2.3076923076923093</v>
      </c>
      <c r="BY115" s="13">
        <f>IF('Données projet'!$A$114&gt;35,BY114+BX115-CG114,IF(A115&lt;'Données projet'!$A$114,$BV$205^A115,IF(A115='Données projet'!$A$114,'Données projet'!$B$114,BY114+BX115-CG114)))</f>
        <v>233.46153846153851</v>
      </c>
      <c r="BZ115" s="14">
        <f>BY115*VLOOKUP('Données projet'!$B$12,Paramètres!$A$1:$I$89,3,0)*VLOOKUP('Données projet'!$B$12,Paramètres!$A$1:$I$89,5,0)</f>
        <v>244.01400000000007</v>
      </c>
      <c r="CA115" s="14">
        <f t="shared" si="93"/>
        <v>59.302326667601335</v>
      </c>
      <c r="CB115" s="22">
        <f t="shared" si="64"/>
        <v>528.27593561273909</v>
      </c>
      <c r="CC115" s="60">
        <f t="shared" si="65"/>
        <v>821.60926894607246</v>
      </c>
      <c r="CD115" s="60">
        <f ca="1">AVERAGE(OFFSET($CC$3,0,0,'Données projet'!$E$12+1,1))-AVERAGE(OFFSET($H$3,0,0,'Données projet'!$E$12+1,1))</f>
        <v>304.57411436867147</v>
      </c>
      <c r="CE115" s="60">
        <f t="shared" si="94"/>
        <v>178.19974548556962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2.3076923076923093</v>
      </c>
      <c r="CT115" s="13">
        <f>IF('Données projet'!$A$140&gt;35,CT114+CS115-DB114,IF(A115&lt;'Données projet'!$A$140,$CQ$205^A115,IF(A115='Données projet'!$A$140,'Données projet'!$B$140,CT114+CS115-DB114)))</f>
        <v>233.46153846153851</v>
      </c>
      <c r="CU115" s="18">
        <f>CT115*VLOOKUP('Données projet'!$B$13,Paramètres!$A$1:$I$89,3,0)*VLOOKUP('Données projet'!$B$13,Paramètres!$A$1:$I$89,5,0)</f>
        <v>225.80400000000006</v>
      </c>
      <c r="CV115" s="14">
        <f t="shared" si="95"/>
        <v>55.374438308862494</v>
      </c>
      <c r="CW115" s="22">
        <f t="shared" si="67"/>
        <v>489.71911338793558</v>
      </c>
      <c r="CX115" s="60">
        <f t="shared" si="68"/>
        <v>783.05244672126889</v>
      </c>
      <c r="CY115" s="60">
        <f ca="1">AVERAGE(OFFSET($CX$3,0,0,'Données projet'!$E$13+1,1))-AVERAGE(OFFSET($H$3,0,0,'Données projet'!$E$13+1,1))</f>
        <v>279.37339904167601</v>
      </c>
      <c r="CZ115" s="60">
        <f t="shared" si="96"/>
        <v>163.80861186980007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0" t="e">
        <f t="shared" si="71"/>
        <v>#N/A</v>
      </c>
      <c r="DT115" s="60" t="e">
        <f ca="1">AVERAGE(OFFSET($DS$3,0,0,'Données projet'!$E$14+1,1))-AVERAGE(OFFSET($H$3,0,0,'Données projet'!$E$14+1,1))</f>
        <v>#N/A</v>
      </c>
      <c r="DU115" s="60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30.848999999999972</v>
      </c>
      <c r="D116" s="12">
        <f t="shared" si="86"/>
        <v>9.5377402881357707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311.75729345227592</v>
      </c>
      <c r="H116" s="68">
        <f t="shared" si="56"/>
        <v>363.67357266850308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0">
        <f t="shared" si="55"/>
        <v>293.33333333333439</v>
      </c>
      <c r="S116" s="60">
        <f ca="1">AVERAGE(OFFSET($R$3,0,0,'Données projet'!$E$9+1,1))-AVERAGE(OFFSET($H$3,0,0,'Données projet'!$E$9+1,1))</f>
        <v>223.38593045370783</v>
      </c>
      <c r="T116" s="60">
        <f t="shared" si="88"/>
        <v>161.68519532023998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5.1159076974727213E-13</v>
      </c>
      <c r="AJ116" s="14">
        <f>AI116*VLOOKUP('Données projet'!$B$10,Paramètres!$A$1:$I$89,3,0)*VLOOKUP('Données projet'!$B$10,Paramètres!$A$1:$I$89,5,0)</f>
        <v>3.0593128030886877E-13</v>
      </c>
      <c r="AK116" s="14">
        <f t="shared" si="89"/>
        <v>4.0350537939347394E-12</v>
      </c>
      <c r="AL116" s="22">
        <f t="shared" si="58"/>
        <v>7.5605490043076185E-12</v>
      </c>
      <c r="AM116" s="60">
        <f t="shared" si="59"/>
        <v>293.33333333334087</v>
      </c>
      <c r="AN116" s="60">
        <f ca="1">AVERAGE(OFFSET($AM$3,0,0,'Données projet'!$E$10+1,1))-AVERAGE(OFFSET($H$3,0,0,'Données projet'!$E$10+1,1))</f>
        <v>216.19747366796145</v>
      </c>
      <c r="AO116" s="60">
        <f t="shared" si="90"/>
        <v>122.08911898780889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4.0026743049432968E-12</v>
      </c>
      <c r="AX116" s="23">
        <f t="shared" si="60"/>
        <v>4.0026743049432968E-12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-6.2527760746888816E-13</v>
      </c>
      <c r="BE116" s="14">
        <f>BD116*VLOOKUP('Données projet'!$B$11,Paramètres!$A$1:$I$89,3,0)*VLOOKUP('Données projet'!$B$11,Paramètres!$A$1:$I$89,5,0)</f>
        <v>-2.9262992029543964E-13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179.52358670810645</v>
      </c>
      <c r="BJ116" s="60">
        <f t="shared" si="92"/>
        <v>89.471764801078166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2.3076923076923093</v>
      </c>
      <c r="BY116" s="13">
        <f>IF('Données projet'!$A$114&gt;35,BY115+BX116-CG115,IF(A116&lt;'Données projet'!$A$114,$BV$205^A116,IF(A116='Données projet'!$A$114,'Données projet'!$B$114,BY115+BX116-CG115)))</f>
        <v>235.76923076923083</v>
      </c>
      <c r="BZ116" s="14">
        <f>BY116*VLOOKUP('Données projet'!$B$12,Paramètres!$A$1:$I$89,3,0)*VLOOKUP('Données projet'!$B$12,Paramètres!$A$1:$I$89,5,0)</f>
        <v>246.42600000000007</v>
      </c>
      <c r="CA116" s="14">
        <f t="shared" si="93"/>
        <v>59.819982364264135</v>
      </c>
      <c r="CB116" s="22">
        <f t="shared" si="64"/>
        <v>533.37841928442674</v>
      </c>
      <c r="CC116" s="60">
        <f t="shared" si="65"/>
        <v>826.71175261776011</v>
      </c>
      <c r="CD116" s="60">
        <f ca="1">AVERAGE(OFFSET($CC$3,0,0,'Données projet'!$E$12+1,1))-AVERAGE(OFFSET($H$3,0,0,'Données projet'!$E$12+1,1))</f>
        <v>304.57411436867147</v>
      </c>
      <c r="CE116" s="60">
        <f t="shared" si="94"/>
        <v>178.19974548556962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2.3076923076923093</v>
      </c>
      <c r="CT116" s="13">
        <f>IF('Données projet'!$A$140&gt;35,CT115+CS116-DB115,IF(A116&lt;'Données projet'!$A$140,$CQ$205^A116,IF(A116='Données projet'!$A$140,'Données projet'!$B$140,CT115+CS116-DB115)))</f>
        <v>235.76923076923083</v>
      </c>
      <c r="CU116" s="18">
        <f>CT116*VLOOKUP('Données projet'!$B$13,Paramètres!$A$1:$I$89,3,0)*VLOOKUP('Données projet'!$B$13,Paramètres!$A$1:$I$89,5,0)</f>
        <v>228.03600000000006</v>
      </c>
      <c r="CV116" s="14">
        <f t="shared" si="95"/>
        <v>55.857807091351575</v>
      </c>
      <c r="CW116" s="22">
        <f t="shared" si="67"/>
        <v>494.44838068410405</v>
      </c>
      <c r="CX116" s="60">
        <f t="shared" si="68"/>
        <v>787.78171401743737</v>
      </c>
      <c r="CY116" s="60">
        <f ca="1">AVERAGE(OFFSET($CX$3,0,0,'Données projet'!$E$13+1,1))-AVERAGE(OFFSET($H$3,0,0,'Données projet'!$E$13+1,1))</f>
        <v>279.37339904167601</v>
      </c>
      <c r="CZ116" s="60">
        <f t="shared" si="96"/>
        <v>163.80861186980007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0" t="e">
        <f t="shared" si="71"/>
        <v>#N/A</v>
      </c>
      <c r="DT116" s="60" t="e">
        <f ca="1">AVERAGE(OFFSET($DS$3,0,0,'Données projet'!$E$14+1,1))-AVERAGE(OFFSET($H$3,0,0,'Données projet'!$E$14+1,1))</f>
        <v>#N/A</v>
      </c>
      <c r="DU116" s="60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31.121999999999971</v>
      </c>
      <c r="D117" s="12">
        <f t="shared" si="86"/>
        <v>9.6122820667787945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314.44007209443265</v>
      </c>
      <c r="H117" s="68">
        <f t="shared" si="56"/>
        <v>364.27887459963966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0">
        <f t="shared" si="55"/>
        <v>293.33333333333439</v>
      </c>
      <c r="S117" s="60">
        <f ca="1">AVERAGE(OFFSET($R$3,0,0,'Données projet'!$E$9+1,1))-AVERAGE(OFFSET($H$3,0,0,'Données projet'!$E$9+1,1))</f>
        <v>223.38593045370783</v>
      </c>
      <c r="T117" s="60">
        <f t="shared" si="88"/>
        <v>161.68519532023998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5.1159076974727213E-13</v>
      </c>
      <c r="AJ117" s="14">
        <f>AI117*VLOOKUP('Données projet'!$B$10,Paramètres!$A$1:$I$89,3,0)*VLOOKUP('Données projet'!$B$10,Paramètres!$A$1:$I$89,5,0)</f>
        <v>3.0593128030886877E-13</v>
      </c>
      <c r="AK117" s="14">
        <f t="shared" si="89"/>
        <v>4.0350537939347394E-12</v>
      </c>
      <c r="AL117" s="22">
        <f t="shared" si="58"/>
        <v>7.5605490043076185E-12</v>
      </c>
      <c r="AM117" s="60">
        <f t="shared" si="59"/>
        <v>293.33333333334087</v>
      </c>
      <c r="AN117" s="60">
        <f ca="1">AVERAGE(OFFSET($AM$3,0,0,'Données projet'!$E$10+1,1))-AVERAGE(OFFSET($H$3,0,0,'Données projet'!$E$10+1,1))</f>
        <v>216.19747366796145</v>
      </c>
      <c r="AO117" s="60">
        <f t="shared" si="90"/>
        <v>122.08911898780889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2.830318143906556E-12</v>
      </c>
      <c r="AX117" s="23">
        <f t="shared" si="60"/>
        <v>2.830318143906556E-12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-6.2527760746888816E-13</v>
      </c>
      <c r="BE117" s="14">
        <f>BD117*VLOOKUP('Données projet'!$B$11,Paramètres!$A$1:$I$89,3,0)*VLOOKUP('Données projet'!$B$11,Paramètres!$A$1:$I$89,5,0)</f>
        <v>-2.9262992029543964E-13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179.52358670810645</v>
      </c>
      <c r="BJ117" s="60">
        <f t="shared" si="92"/>
        <v>89.471764801078166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2.3076923076923093</v>
      </c>
      <c r="BY117" s="13">
        <f>IF('Données projet'!$A$114&gt;35,BY116+BX117-CG116,IF(A117&lt;'Données projet'!$A$114,$BV$205^A117,IF(A117='Données projet'!$A$114,'Données projet'!$B$114,BY116+BX117-CG116)))</f>
        <v>238.07692307692315</v>
      </c>
      <c r="BZ117" s="14">
        <f>BY117*VLOOKUP('Données projet'!$B$12,Paramètres!$A$1:$I$89,3,0)*VLOOKUP('Données projet'!$B$12,Paramètres!$A$1:$I$89,5,0)</f>
        <v>248.83800000000011</v>
      </c>
      <c r="CA117" s="14">
        <f t="shared" si="93"/>
        <v>60.337048613993865</v>
      </c>
      <c r="CB117" s="22">
        <f t="shared" si="64"/>
        <v>538.47987633603952</v>
      </c>
      <c r="CC117" s="60">
        <f t="shared" si="65"/>
        <v>831.81320966937278</v>
      </c>
      <c r="CD117" s="60">
        <f ca="1">AVERAGE(OFFSET($CC$3,0,0,'Données projet'!$E$12+1,1))-AVERAGE(OFFSET($H$3,0,0,'Données projet'!$E$12+1,1))</f>
        <v>304.57411436867147</v>
      </c>
      <c r="CE117" s="60">
        <f t="shared" si="94"/>
        <v>178.19974548556962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2.3076923076923093</v>
      </c>
      <c r="CT117" s="13">
        <f>IF('Données projet'!$A$140&gt;35,CT116+CS117-DB116,IF(A117&lt;'Données projet'!$A$140,$CQ$205^A117,IF(A117='Données projet'!$A$140,'Données projet'!$B$140,CT116+CS117-DB116)))</f>
        <v>238.07692307692315</v>
      </c>
      <c r="CU117" s="18">
        <f>CT117*VLOOKUP('Données projet'!$B$13,Paramètres!$A$1:$I$89,3,0)*VLOOKUP('Données projet'!$B$13,Paramètres!$A$1:$I$89,5,0)</f>
        <v>230.26800000000009</v>
      </c>
      <c r="CV117" s="14">
        <f t="shared" si="95"/>
        <v>56.340625468912698</v>
      </c>
      <c r="CW117" s="22">
        <f t="shared" si="67"/>
        <v>499.1766893583565</v>
      </c>
      <c r="CX117" s="60">
        <f t="shared" si="68"/>
        <v>792.51002269168976</v>
      </c>
      <c r="CY117" s="60">
        <f ca="1">AVERAGE(OFFSET($CX$3,0,0,'Données projet'!$E$13+1,1))-AVERAGE(OFFSET($H$3,0,0,'Données projet'!$E$13+1,1))</f>
        <v>279.37339904167601</v>
      </c>
      <c r="CZ117" s="60">
        <f t="shared" si="96"/>
        <v>163.80861186980007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0" t="e">
        <f t="shared" si="71"/>
        <v>#N/A</v>
      </c>
      <c r="DT117" s="60" t="e">
        <f ca="1">AVERAGE(OFFSET($DS$3,0,0,'Données projet'!$E$14+1,1))-AVERAGE(OFFSET($H$3,0,0,'Données projet'!$E$14+1,1))</f>
        <v>#N/A</v>
      </c>
      <c r="DU117" s="60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31.394999999999971</v>
      </c>
      <c r="D118" s="12">
        <f t="shared" si="86"/>
        <v>9.6867477721541881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317.12226350434793</v>
      </c>
      <c r="H118" s="68">
        <f t="shared" si="56"/>
        <v>364.88404403650179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0">
        <f t="shared" si="55"/>
        <v>293.33333333333439</v>
      </c>
      <c r="S118" s="60">
        <f ca="1">AVERAGE(OFFSET($R$3,0,0,'Données projet'!$E$9+1,1))-AVERAGE(OFFSET($H$3,0,0,'Données projet'!$E$9+1,1))</f>
        <v>223.38593045370783</v>
      </c>
      <c r="T118" s="60">
        <f t="shared" si="88"/>
        <v>161.68519532023998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5.1159076974727213E-13</v>
      </c>
      <c r="AJ118" s="14">
        <f>AI118*VLOOKUP('Données projet'!$B$10,Paramètres!$A$1:$I$89,3,0)*VLOOKUP('Données projet'!$B$10,Paramètres!$A$1:$I$89,5,0)</f>
        <v>3.0593128030886877E-13</v>
      </c>
      <c r="AK118" s="14">
        <f t="shared" si="89"/>
        <v>4.0350537939347394E-12</v>
      </c>
      <c r="AL118" s="22">
        <f t="shared" si="58"/>
        <v>7.5605490043076185E-12</v>
      </c>
      <c r="AM118" s="60">
        <f t="shared" si="59"/>
        <v>293.33333333334087</v>
      </c>
      <c r="AN118" s="60">
        <f ca="1">AVERAGE(OFFSET($AM$3,0,0,'Données projet'!$E$10+1,1))-AVERAGE(OFFSET($H$3,0,0,'Données projet'!$E$10+1,1))</f>
        <v>216.19747366796145</v>
      </c>
      <c r="AO118" s="60">
        <f t="shared" si="90"/>
        <v>122.08911898780889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2.0013371524716484E-12</v>
      </c>
      <c r="AX118" s="23">
        <f t="shared" si="60"/>
        <v>2.0013371524716484E-12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-6.2527760746888816E-13</v>
      </c>
      <c r="BE118" s="14">
        <f>BD118*VLOOKUP('Données projet'!$B$11,Paramètres!$A$1:$I$89,3,0)*VLOOKUP('Données projet'!$B$11,Paramètres!$A$1:$I$89,5,0)</f>
        <v>-2.9262992029543964E-13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179.52358670810645</v>
      </c>
      <c r="BJ118" s="60">
        <f t="shared" si="92"/>
        <v>89.471764801078166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2.3076923076923093</v>
      </c>
      <c r="BY118" s="13">
        <f>IF('Données projet'!$A$114&gt;35,BY117+BX118-CG117,IF(A118&lt;'Données projet'!$A$114,$BV$205^A118,IF(A118='Données projet'!$A$114,'Données projet'!$B$114,BY117+BX118-CG117)))</f>
        <v>240.38461538461547</v>
      </c>
      <c r="BZ118" s="14">
        <f>BY118*VLOOKUP('Données projet'!$B$12,Paramètres!$A$1:$I$89,3,0)*VLOOKUP('Données projet'!$B$12,Paramètres!$A$1:$I$89,5,0)</f>
        <v>251.25000000000011</v>
      </c>
      <c r="CA118" s="14">
        <f t="shared" si="93"/>
        <v>60.853531791990697</v>
      </c>
      <c r="CB118" s="22">
        <f t="shared" si="64"/>
        <v>543.58031787105062</v>
      </c>
      <c r="CC118" s="60">
        <f t="shared" si="65"/>
        <v>836.913651204384</v>
      </c>
      <c r="CD118" s="60">
        <f ca="1">AVERAGE(OFFSET($CC$3,0,0,'Données projet'!$E$12+1,1))-AVERAGE(OFFSET($H$3,0,0,'Données projet'!$E$12+1,1))</f>
        <v>304.57411436867147</v>
      </c>
      <c r="CE118" s="60">
        <f t="shared" si="94"/>
        <v>178.19974548556962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2.3076923076923093</v>
      </c>
      <c r="CT118" s="13">
        <f>IF('Données projet'!$A$140&gt;35,CT117+CS118-DB117,IF(A118&lt;'Données projet'!$A$140,$CQ$205^A118,IF(A118='Données projet'!$A$140,'Données projet'!$B$140,CT117+CS118-DB117)))</f>
        <v>240.38461538461547</v>
      </c>
      <c r="CU118" s="18">
        <f>CT118*VLOOKUP('Données projet'!$B$13,Paramètres!$A$1:$I$89,3,0)*VLOOKUP('Données projet'!$B$13,Paramètres!$A$1:$I$89,5,0)</f>
        <v>232.50000000000011</v>
      </c>
      <c r="CV118" s="14">
        <f t="shared" si="95"/>
        <v>56.822899394484928</v>
      </c>
      <c r="CW118" s="22">
        <f t="shared" si="67"/>
        <v>503.90404977872805</v>
      </c>
      <c r="CX118" s="60">
        <f t="shared" si="68"/>
        <v>797.23738311206137</v>
      </c>
      <c r="CY118" s="60">
        <f ca="1">AVERAGE(OFFSET($CX$3,0,0,'Données projet'!$E$13+1,1))-AVERAGE(OFFSET($H$3,0,0,'Données projet'!$E$13+1,1))</f>
        <v>279.37339904167601</v>
      </c>
      <c r="CZ118" s="60">
        <f t="shared" si="96"/>
        <v>163.80861186980007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0" t="e">
        <f t="shared" si="71"/>
        <v>#N/A</v>
      </c>
      <c r="DT118" s="60" t="e">
        <f ca="1">AVERAGE(OFFSET($DS$3,0,0,'Données projet'!$E$14+1,1))-AVERAGE(OFFSET($H$3,0,0,'Données projet'!$E$14+1,1))</f>
        <v>#N/A</v>
      </c>
      <c r="DU118" s="60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31.667999999999971</v>
      </c>
      <c r="D119" s="12">
        <f t="shared" si="86"/>
        <v>9.7611381424130617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319.80387338003044</v>
      </c>
      <c r="H119" s="68">
        <f t="shared" si="56"/>
        <v>365.48908226470269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0">
        <f t="shared" si="55"/>
        <v>293.33333333333439</v>
      </c>
      <c r="S119" s="60">
        <f ca="1">AVERAGE(OFFSET($R$3,0,0,'Données projet'!$E$9+1,1))-AVERAGE(OFFSET($H$3,0,0,'Données projet'!$E$9+1,1))</f>
        <v>223.38593045370783</v>
      </c>
      <c r="T119" s="60">
        <f t="shared" si="88"/>
        <v>161.68519532023998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5.1159076974727213E-13</v>
      </c>
      <c r="AJ119" s="14">
        <f>AI119*VLOOKUP('Données projet'!$B$10,Paramètres!$A$1:$I$89,3,0)*VLOOKUP('Données projet'!$B$10,Paramètres!$A$1:$I$89,5,0)</f>
        <v>3.0593128030886877E-13</v>
      </c>
      <c r="AK119" s="14">
        <f t="shared" si="89"/>
        <v>4.0350537939347394E-12</v>
      </c>
      <c r="AL119" s="22">
        <f t="shared" si="58"/>
        <v>7.5605490043076185E-12</v>
      </c>
      <c r="AM119" s="60">
        <f t="shared" si="59"/>
        <v>293.33333333334087</v>
      </c>
      <c r="AN119" s="60">
        <f ca="1">AVERAGE(OFFSET($AM$3,0,0,'Données projet'!$E$10+1,1))-AVERAGE(OFFSET($H$3,0,0,'Données projet'!$E$10+1,1))</f>
        <v>216.19747366796145</v>
      </c>
      <c r="AO119" s="60">
        <f t="shared" si="90"/>
        <v>122.08911898780889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1.415159071953278E-12</v>
      </c>
      <c r="AX119" s="23">
        <f t="shared" si="60"/>
        <v>1.415159071953278E-12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-6.2527760746888816E-13</v>
      </c>
      <c r="BE119" s="14">
        <f>BD119*VLOOKUP('Données projet'!$B$11,Paramètres!$A$1:$I$89,3,0)*VLOOKUP('Données projet'!$B$11,Paramètres!$A$1:$I$89,5,0)</f>
        <v>-2.9262992029543964E-13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179.52358670810645</v>
      </c>
      <c r="BJ119" s="60">
        <f t="shared" si="92"/>
        <v>89.471764801078166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2.3076923076923093</v>
      </c>
      <c r="BY119" s="13">
        <f>IF('Données projet'!$A$114&gt;35,BY118+BX119-CG118,IF(A119&lt;'Données projet'!$A$114,$BV$205^A119,IF(A119='Données projet'!$A$114,'Données projet'!$B$114,BY118+BX119-CG118)))</f>
        <v>242.69230769230779</v>
      </c>
      <c r="BZ119" s="14">
        <f>BY119*VLOOKUP('Données projet'!$B$12,Paramètres!$A$1:$I$89,3,0)*VLOOKUP('Données projet'!$B$12,Paramètres!$A$1:$I$89,5,0)</f>
        <v>253.66200000000015</v>
      </c>
      <c r="CA119" s="14">
        <f t="shared" si="93"/>
        <v>61.369438143993413</v>
      </c>
      <c r="CB119" s="22">
        <f t="shared" si="64"/>
        <v>548.67975476745539</v>
      </c>
      <c r="CC119" s="60">
        <f t="shared" si="65"/>
        <v>842.01308810078876</v>
      </c>
      <c r="CD119" s="60">
        <f ca="1">AVERAGE(OFFSET($CC$3,0,0,'Données projet'!$E$12+1,1))-AVERAGE(OFFSET($H$3,0,0,'Données projet'!$E$12+1,1))</f>
        <v>304.57411436867147</v>
      </c>
      <c r="CE119" s="60">
        <f t="shared" si="94"/>
        <v>178.19974548556962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2.3076923076923093</v>
      </c>
      <c r="CT119" s="13">
        <f>IF('Données projet'!$A$140&gt;35,CT118+CS119-DB118,IF(A119&lt;'Données projet'!$A$140,$CQ$205^A119,IF(A119='Données projet'!$A$140,'Données projet'!$B$140,CT118+CS119-DB118)))</f>
        <v>242.69230769230779</v>
      </c>
      <c r="CU119" s="18">
        <f>CT119*VLOOKUP('Données projet'!$B$13,Paramètres!$A$1:$I$89,3,0)*VLOOKUP('Données projet'!$B$13,Paramètres!$A$1:$I$89,5,0)</f>
        <v>234.73200000000008</v>
      </c>
      <c r="CV119" s="14">
        <f t="shared" si="95"/>
        <v>57.304634700120623</v>
      </c>
      <c r="CW119" s="22">
        <f t="shared" si="67"/>
        <v>508.6304721027102</v>
      </c>
      <c r="CX119" s="60">
        <f t="shared" si="68"/>
        <v>801.96380543604346</v>
      </c>
      <c r="CY119" s="60">
        <f ca="1">AVERAGE(OFFSET($CX$3,0,0,'Données projet'!$E$13+1,1))-AVERAGE(OFFSET($H$3,0,0,'Données projet'!$E$13+1,1))</f>
        <v>279.37339904167601</v>
      </c>
      <c r="CZ119" s="60">
        <f t="shared" si="96"/>
        <v>163.80861186980007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0" t="e">
        <f t="shared" si="71"/>
        <v>#N/A</v>
      </c>
      <c r="DT119" s="60" t="e">
        <f ca="1">AVERAGE(OFFSET($DS$3,0,0,'Données projet'!$E$14+1,1))-AVERAGE(OFFSET($H$3,0,0,'Données projet'!$E$14+1,1))</f>
        <v>#N/A</v>
      </c>
      <c r="DU119" s="60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31.940999999999971</v>
      </c>
      <c r="D120" s="12">
        <f t="shared" si="86"/>
        <v>9.8354539022453356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322.4849073155778</v>
      </c>
      <c r="H120" s="68">
        <f t="shared" si="56"/>
        <v>366.09399054641057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0">
        <f t="shared" si="55"/>
        <v>293.33333333333439</v>
      </c>
      <c r="S120" s="60">
        <f ca="1">AVERAGE(OFFSET($R$3,0,0,'Données projet'!$E$9+1,1))-AVERAGE(OFFSET($H$3,0,0,'Données projet'!$E$9+1,1))</f>
        <v>223.38593045370783</v>
      </c>
      <c r="T120" s="60">
        <f t="shared" si="88"/>
        <v>161.68519532023998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5.1159076974727213E-13</v>
      </c>
      <c r="AJ120" s="14">
        <f>AI120*VLOOKUP('Données projet'!$B$10,Paramètres!$A$1:$I$89,3,0)*VLOOKUP('Données projet'!$B$10,Paramètres!$A$1:$I$89,5,0)</f>
        <v>3.0593128030886877E-13</v>
      </c>
      <c r="AK120" s="14">
        <f t="shared" si="89"/>
        <v>4.0350537939347394E-12</v>
      </c>
      <c r="AL120" s="22">
        <f t="shared" si="58"/>
        <v>7.5605490043076185E-12</v>
      </c>
      <c r="AM120" s="60">
        <f t="shared" si="59"/>
        <v>293.33333333334087</v>
      </c>
      <c r="AN120" s="60">
        <f ca="1">AVERAGE(OFFSET($AM$3,0,0,'Données projet'!$E$10+1,1))-AVERAGE(OFFSET($H$3,0,0,'Données projet'!$E$10+1,1))</f>
        <v>216.19747366796145</v>
      </c>
      <c r="AO120" s="60">
        <f t="shared" si="90"/>
        <v>122.08911898780889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1.0006685762358242E-12</v>
      </c>
      <c r="AX120" s="23">
        <f t="shared" si="60"/>
        <v>1.0006685762358242E-12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-6.2527760746888816E-13</v>
      </c>
      <c r="BE120" s="14">
        <f>BD120*VLOOKUP('Données projet'!$B$11,Paramètres!$A$1:$I$89,3,0)*VLOOKUP('Données projet'!$B$11,Paramètres!$A$1:$I$89,5,0)</f>
        <v>-2.9262992029543964E-13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179.52358670810645</v>
      </c>
      <c r="BJ120" s="60">
        <f t="shared" si="92"/>
        <v>89.471764801078166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2.3076923076923093</v>
      </c>
      <c r="BY120" s="13">
        <f>IF('Données projet'!$A$114&gt;35,BY119+BX120-CG119,IF(A120&lt;'Données projet'!$A$114,$BV$205^A120,IF(A120='Données projet'!$A$114,'Données projet'!$B$114,BY119+BX120-CG119)))</f>
        <v>245.00000000000011</v>
      </c>
      <c r="BZ120" s="14">
        <f>BY120*VLOOKUP('Données projet'!$B$12,Paramètres!$A$1:$I$89,3,0)*VLOOKUP('Données projet'!$B$12,Paramètres!$A$1:$I$89,5,0)</f>
        <v>256.07400000000013</v>
      </c>
      <c r="CA120" s="14">
        <f t="shared" si="93"/>
        <v>61.884773790113961</v>
      </c>
      <c r="CB120" s="22">
        <f t="shared" si="64"/>
        <v>553.77819768444863</v>
      </c>
      <c r="CC120" s="60">
        <f t="shared" si="65"/>
        <v>847.111531017782</v>
      </c>
      <c r="CD120" s="60">
        <f ca="1">AVERAGE(OFFSET($CC$3,0,0,'Données projet'!$E$12+1,1))-AVERAGE(OFFSET($H$3,0,0,'Données projet'!$E$12+1,1))</f>
        <v>304.57411436867147</v>
      </c>
      <c r="CE120" s="60">
        <f t="shared" si="94"/>
        <v>178.19974548556962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2.3076923076923093</v>
      </c>
      <c r="CT120" s="13">
        <f>IF('Données projet'!$A$140&gt;35,CT119+CS120-DB119,IF(A120&lt;'Données projet'!$A$140,$CQ$205^A120,IF(A120='Données projet'!$A$140,'Données projet'!$B$140,CT119+CS120-DB119)))</f>
        <v>245.00000000000011</v>
      </c>
      <c r="CU120" s="18">
        <f>CT120*VLOOKUP('Données projet'!$B$13,Paramètres!$A$1:$I$89,3,0)*VLOOKUP('Données projet'!$B$13,Paramètres!$A$1:$I$89,5,0)</f>
        <v>236.96400000000011</v>
      </c>
      <c r="CV120" s="14">
        <f t="shared" si="95"/>
        <v>57.78583710056629</v>
      </c>
      <c r="CW120" s="22">
        <f t="shared" si="67"/>
        <v>513.35596628348651</v>
      </c>
      <c r="CX120" s="60">
        <f t="shared" si="68"/>
        <v>806.68929961681988</v>
      </c>
      <c r="CY120" s="60">
        <f ca="1">AVERAGE(OFFSET($CX$3,0,0,'Données projet'!$E$13+1,1))-AVERAGE(OFFSET($H$3,0,0,'Données projet'!$E$13+1,1))</f>
        <v>279.37339904167601</v>
      </c>
      <c r="CZ120" s="60">
        <f t="shared" si="96"/>
        <v>163.80861186980007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0" t="e">
        <f t="shared" si="71"/>
        <v>#N/A</v>
      </c>
      <c r="DT120" s="60" t="e">
        <f ca="1">AVERAGE(OFFSET($DS$3,0,0,'Données projet'!$E$14+1,1))-AVERAGE(OFFSET($H$3,0,0,'Données projet'!$E$14+1,1))</f>
        <v>#N/A</v>
      </c>
      <c r="DU120" s="60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</v>
      </c>
      <c r="D121" s="12">
        <f t="shared" si="86"/>
        <v>9.9096957632381564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325.16537080394346</v>
      </c>
      <c r="H121" s="68">
        <f t="shared" si="56"/>
        <v>366.69877012097305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0">
        <f t="shared" si="55"/>
        <v>293.33333333333439</v>
      </c>
      <c r="S121" s="60">
        <f ca="1">AVERAGE(OFFSET($R$3,0,0,'Données projet'!$E$9+1,1))-AVERAGE(OFFSET($H$3,0,0,'Données projet'!$E$9+1,1))</f>
        <v>223.38593045370783</v>
      </c>
      <c r="T121" s="60">
        <f t="shared" si="88"/>
        <v>161.68519532023998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5.1159076974727213E-13</v>
      </c>
      <c r="AJ121" s="14">
        <f>AI121*VLOOKUP('Données projet'!$B$10,Paramètres!$A$1:$I$89,3,0)*VLOOKUP('Données projet'!$B$10,Paramètres!$A$1:$I$89,5,0)</f>
        <v>3.0593128030886877E-13</v>
      </c>
      <c r="AK121" s="14">
        <f t="shared" si="89"/>
        <v>4.0350537939347394E-12</v>
      </c>
      <c r="AL121" s="22">
        <f t="shared" si="58"/>
        <v>7.5605490043076185E-12</v>
      </c>
      <c r="AM121" s="60">
        <f t="shared" si="59"/>
        <v>293.33333333334087</v>
      </c>
      <c r="AN121" s="60">
        <f ca="1">AVERAGE(OFFSET($AM$3,0,0,'Données projet'!$E$10+1,1))-AVERAGE(OFFSET($H$3,0,0,'Données projet'!$E$10+1,1))</f>
        <v>216.19747366796145</v>
      </c>
      <c r="AO121" s="60">
        <f t="shared" si="90"/>
        <v>122.08911898780889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7.07579535976639E-13</v>
      </c>
      <c r="AX121" s="23">
        <f t="shared" si="60"/>
        <v>7.07579535976639E-13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-6.2527760746888816E-13</v>
      </c>
      <c r="BE121" s="14">
        <f>BD121*VLOOKUP('Données projet'!$B$11,Paramètres!$A$1:$I$89,3,0)*VLOOKUP('Données projet'!$B$11,Paramètres!$A$1:$I$89,5,0)</f>
        <v>-2.9262992029543964E-13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179.52358670810645</v>
      </c>
      <c r="BJ121" s="60">
        <f t="shared" si="92"/>
        <v>89.471764801078166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2.3076923076923093</v>
      </c>
      <c r="BY121" s="13">
        <f>IF('Données projet'!$A$114&gt;35,BY120+BX121-CG120,IF(A121&lt;'Données projet'!$A$114,$BV$205^A121,IF(A121='Données projet'!$A$114,'Données projet'!$B$114,BY120+BX121-CG120)))</f>
        <v>247.30769230769243</v>
      </c>
      <c r="BZ121" s="14">
        <f>BY121*VLOOKUP('Données projet'!$B$12,Paramètres!$A$1:$I$89,3,0)*VLOOKUP('Données projet'!$B$12,Paramètres!$A$1:$I$89,5,0)</f>
        <v>258.48600000000016</v>
      </c>
      <c r="CA121" s="14">
        <f t="shared" si="93"/>
        <v>62.399544728523388</v>
      </c>
      <c r="CB121" s="22">
        <f t="shared" si="64"/>
        <v>558.87565706884516</v>
      </c>
      <c r="CC121" s="60">
        <f t="shared" si="65"/>
        <v>852.20899040217842</v>
      </c>
      <c r="CD121" s="60">
        <f ca="1">AVERAGE(OFFSET($CC$3,0,0,'Données projet'!$E$12+1,1))-AVERAGE(OFFSET($H$3,0,0,'Données projet'!$E$12+1,1))</f>
        <v>304.57411436867147</v>
      </c>
      <c r="CE121" s="60">
        <f t="shared" si="94"/>
        <v>178.19974548556962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2.3076923076923093</v>
      </c>
      <c r="CT121" s="13">
        <f>IF('Données projet'!$A$140&gt;35,CT120+CS121-DB120,IF(A121&lt;'Données projet'!$A$140,$CQ$205^A121,IF(A121='Données projet'!$A$140,'Données projet'!$B$140,CT120+CS121-DB120)))</f>
        <v>247.30769230769243</v>
      </c>
      <c r="CU121" s="18">
        <f>CT121*VLOOKUP('Données projet'!$B$13,Paramètres!$A$1:$I$89,3,0)*VLOOKUP('Données projet'!$B$13,Paramètres!$A$1:$I$89,5,0)</f>
        <v>239.19600000000011</v>
      </c>
      <c r="CV121" s="14">
        <f t="shared" si="95"/>
        <v>58.266512196704099</v>
      </c>
      <c r="CW121" s="22">
        <f t="shared" si="67"/>
        <v>518.08054207592647</v>
      </c>
      <c r="CX121" s="60">
        <f t="shared" si="68"/>
        <v>811.41387540925984</v>
      </c>
      <c r="CY121" s="60">
        <f ca="1">AVERAGE(OFFSET($CX$3,0,0,'Données projet'!$E$13+1,1))-AVERAGE(OFFSET($H$3,0,0,'Données projet'!$E$13+1,1))</f>
        <v>279.37339904167601</v>
      </c>
      <c r="CZ121" s="60">
        <f t="shared" si="96"/>
        <v>163.80861186980007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0" t="e">
        <f t="shared" si="71"/>
        <v>#N/A</v>
      </c>
      <c r="DT121" s="60" t="e">
        <f ca="1">AVERAGE(OFFSET($DS$3,0,0,'Données projet'!$E$14+1,1))-AVERAGE(OFFSET($H$3,0,0,'Données projet'!$E$14+1,1))</f>
        <v>#N/A</v>
      </c>
      <c r="DU121" s="60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32.486999999999973</v>
      </c>
      <c r="D122" s="12">
        <f t="shared" si="86"/>
        <v>9.9838644242217605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327.84526923960635</v>
      </c>
      <c r="H122" s="68">
        <f t="shared" si="56"/>
        <v>367.3034222055195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0">
        <f t="shared" si="55"/>
        <v>293.33333333333439</v>
      </c>
      <c r="S122" s="60">
        <f ca="1">AVERAGE(OFFSET($R$3,0,0,'Données projet'!$E$9+1,1))-AVERAGE(OFFSET($H$3,0,0,'Données projet'!$E$9+1,1))</f>
        <v>223.38593045370783</v>
      </c>
      <c r="T122" s="60">
        <f t="shared" si="88"/>
        <v>161.68519532023998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5.1159076974727213E-13</v>
      </c>
      <c r="AJ122" s="14">
        <f>AI122*VLOOKUP('Données projet'!$B$10,Paramètres!$A$1:$I$89,3,0)*VLOOKUP('Données projet'!$B$10,Paramètres!$A$1:$I$89,5,0)</f>
        <v>3.0593128030886877E-13</v>
      </c>
      <c r="AK122" s="14">
        <f t="shared" si="89"/>
        <v>4.0350537939347394E-12</v>
      </c>
      <c r="AL122" s="22">
        <f t="shared" si="58"/>
        <v>7.5605490043076185E-12</v>
      </c>
      <c r="AM122" s="60">
        <f t="shared" si="59"/>
        <v>293.33333333334087</v>
      </c>
      <c r="AN122" s="60">
        <f ca="1">AVERAGE(OFFSET($AM$3,0,0,'Données projet'!$E$10+1,1))-AVERAGE(OFFSET($H$3,0,0,'Données projet'!$E$10+1,1))</f>
        <v>216.19747366796145</v>
      </c>
      <c r="AO122" s="60">
        <f t="shared" si="90"/>
        <v>122.08911898780889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5.003342881179121E-13</v>
      </c>
      <c r="AX122" s="23">
        <f t="shared" si="60"/>
        <v>5.003342881179121E-13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-6.2527760746888816E-13</v>
      </c>
      <c r="BE122" s="14">
        <f>BD122*VLOOKUP('Données projet'!$B$11,Paramètres!$A$1:$I$89,3,0)*VLOOKUP('Données projet'!$B$11,Paramètres!$A$1:$I$89,5,0)</f>
        <v>-2.9262992029543964E-13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179.52358670810645</v>
      </c>
      <c r="BJ122" s="60">
        <f t="shared" si="92"/>
        <v>89.471764801078166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2.3076923076923093</v>
      </c>
      <c r="BY122" s="13">
        <f>IF('Données projet'!$A$114&gt;35,BY121+BX122-CG121,IF(A122&lt;'Données projet'!$A$114,$BV$205^A122,IF(A122='Données projet'!$A$114,'Données projet'!$B$114,BY121+BX122-CG121)))</f>
        <v>249.61538461538476</v>
      </c>
      <c r="BZ122" s="14">
        <f>BY122*VLOOKUP('Données projet'!$B$12,Paramètres!$A$1:$I$89,3,0)*VLOOKUP('Données projet'!$B$12,Paramètres!$A$1:$I$89,5,0)</f>
        <v>260.8980000000002</v>
      </c>
      <c r="CA122" s="14">
        <f t="shared" si="93"/>
        <v>62.913756838995681</v>
      </c>
      <c r="CB122" s="22">
        <f t="shared" si="64"/>
        <v>563.97214316125098</v>
      </c>
      <c r="CC122" s="60">
        <f t="shared" si="65"/>
        <v>857.30547649458435</v>
      </c>
      <c r="CD122" s="60">
        <f ca="1">AVERAGE(OFFSET($CC$3,0,0,'Données projet'!$E$12+1,1))-AVERAGE(OFFSET($H$3,0,0,'Données projet'!$E$12+1,1))</f>
        <v>304.57411436867147</v>
      </c>
      <c r="CE122" s="60">
        <f t="shared" si="94"/>
        <v>178.19974548556962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2.3076923076923093</v>
      </c>
      <c r="CT122" s="13">
        <f>IF('Données projet'!$A$140&gt;35,CT121+CS122-DB121,IF(A122&lt;'Données projet'!$A$140,$CQ$205^A122,IF(A122='Données projet'!$A$140,'Données projet'!$B$140,CT121+CS122-DB121)))</f>
        <v>249.61538461538476</v>
      </c>
      <c r="CU122" s="18">
        <f>CT122*VLOOKUP('Données projet'!$B$13,Paramètres!$A$1:$I$89,3,0)*VLOOKUP('Données projet'!$B$13,Paramètres!$A$1:$I$89,5,0)</f>
        <v>241.42800000000014</v>
      </c>
      <c r="CV122" s="14">
        <f t="shared" si="95"/>
        <v>58.74666547886148</v>
      </c>
      <c r="CW122" s="22">
        <f t="shared" si="67"/>
        <v>522.80420904235064</v>
      </c>
      <c r="CX122" s="60">
        <f t="shared" si="68"/>
        <v>816.13754237568401</v>
      </c>
      <c r="CY122" s="60">
        <f ca="1">AVERAGE(OFFSET($CX$3,0,0,'Données projet'!$E$13+1,1))-AVERAGE(OFFSET($H$3,0,0,'Données projet'!$E$13+1,1))</f>
        <v>279.37339904167601</v>
      </c>
      <c r="CZ122" s="60">
        <f t="shared" si="96"/>
        <v>163.80861186980007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0" t="e">
        <f t="shared" si="71"/>
        <v>#N/A</v>
      </c>
      <c r="DT122" s="60" t="e">
        <f ca="1">AVERAGE(OFFSET($DS$3,0,0,'Données projet'!$E$14+1,1))-AVERAGE(OFFSET($H$3,0,0,'Données projet'!$E$14+1,1))</f>
        <v>#N/A</v>
      </c>
      <c r="DU122" s="60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123" s="12">
        <f t="shared" si="86"/>
        <v>10.05796057160342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330.52460792114903</v>
      </c>
      <c r="H123" s="68">
        <f t="shared" si="56"/>
        <v>367.90794799554254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0">
        <f t="shared" si="55"/>
        <v>293.33333333333439</v>
      </c>
      <c r="S123" s="60">
        <f ca="1">AVERAGE(OFFSET($R$3,0,0,'Données projet'!$E$9+1,1))-AVERAGE(OFFSET($H$3,0,0,'Données projet'!$E$9+1,1))</f>
        <v>223.38593045370783</v>
      </c>
      <c r="T123" s="60">
        <f t="shared" si="88"/>
        <v>161.68519532023998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5.1159076974727213E-13</v>
      </c>
      <c r="AJ123" s="14">
        <f>AI123*VLOOKUP('Données projet'!$B$10,Paramètres!$A$1:$I$89,3,0)*VLOOKUP('Données projet'!$B$10,Paramètres!$A$1:$I$89,5,0)</f>
        <v>3.0593128030886877E-13</v>
      </c>
      <c r="AK123" s="14">
        <f t="shared" si="89"/>
        <v>4.0350537939347394E-12</v>
      </c>
      <c r="AL123" s="22">
        <f t="shared" si="58"/>
        <v>7.5605490043076185E-12</v>
      </c>
      <c r="AM123" s="60">
        <f t="shared" si="59"/>
        <v>293.33333333334087</v>
      </c>
      <c r="AN123" s="60">
        <f ca="1">AVERAGE(OFFSET($AM$3,0,0,'Données projet'!$E$10+1,1))-AVERAGE(OFFSET($H$3,0,0,'Données projet'!$E$10+1,1))</f>
        <v>216.19747366796145</v>
      </c>
      <c r="AO123" s="60">
        <f t="shared" si="90"/>
        <v>122.08911898780889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3.537897679883195E-13</v>
      </c>
      <c r="AX123" s="23">
        <f t="shared" si="60"/>
        <v>3.537897679883195E-13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-6.2527760746888816E-13</v>
      </c>
      <c r="BE123" s="14">
        <f>BD123*VLOOKUP('Données projet'!$B$11,Paramètres!$A$1:$I$89,3,0)*VLOOKUP('Données projet'!$B$11,Paramètres!$A$1:$I$89,5,0)</f>
        <v>-2.9262992029543964E-13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179.52358670810645</v>
      </c>
      <c r="BJ123" s="60">
        <f t="shared" si="92"/>
        <v>89.471764801078166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251.92307692307691</v>
      </c>
      <c r="BW123" s="13">
        <f>VLOOKUP(A123,'Données projet'!$A$113:$I$133,9,0)</f>
        <v>2.3076923076923093</v>
      </c>
      <c r="BX123" s="13">
        <f t="array" ref="BX123">INDEX(BW:BW,MIN(IF(ISNUMBER(BW123:BW319),ROW(BW123:BW319),"")))</f>
        <v>2.3076923076923093</v>
      </c>
      <c r="BY123" s="13">
        <f>IF('Données projet'!$A$114&gt;35,BY122+BX123-CG122,IF(A123&lt;'Données projet'!$A$114,$BV$205^A123,IF(A123='Données projet'!$A$114,'Données projet'!$B$114,BY122+BX123-CG122)))</f>
        <v>251.92307692307708</v>
      </c>
      <c r="BZ123" s="14">
        <f>BY123*VLOOKUP('Données projet'!$B$12,Paramètres!$A$1:$I$89,3,0)*VLOOKUP('Données projet'!$B$12,Paramètres!$A$1:$I$89,5,0)</f>
        <v>263.31000000000017</v>
      </c>
      <c r="CA123" s="14">
        <f t="shared" si="93"/>
        <v>63.427415886317931</v>
      </c>
      <c r="CB123" s="22">
        <f t="shared" si="64"/>
        <v>569.06766600200399</v>
      </c>
      <c r="CC123" s="60">
        <f t="shared" si="65"/>
        <v>862.40099933533725</v>
      </c>
      <c r="CD123" s="60">
        <f ca="1">AVERAGE(OFFSET($CC$3,0,0,'Données projet'!$E$12+1,1))-AVERAGE(OFFSET($H$3,0,0,'Données projet'!$E$12+1,1))</f>
        <v>304.57411436867147</v>
      </c>
      <c r="CE123" s="60">
        <f t="shared" si="94"/>
        <v>178.19974548556962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13.461538461538462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251.92307692307691</v>
      </c>
      <c r="CR123" s="13">
        <f>VLOOKUP(A123,'Données projet'!$A$139:$I$159,9,0)</f>
        <v>2.3076923076923093</v>
      </c>
      <c r="CS123" s="13">
        <f t="array" ref="CS123">INDEX(CR:CR,MIN(IF(ISNUMBER(CR123:CR319),ROW(CR123:CR319),"")))</f>
        <v>2.3076923076923093</v>
      </c>
      <c r="CT123" s="13">
        <f>IF('Données projet'!$A$140&gt;35,CT122+CS123-DB122,IF(A123&lt;'Données projet'!$A$140,$CQ$205^A123,IF(A123='Données projet'!$A$140,'Données projet'!$B$140,CT122+CS123-DB122)))</f>
        <v>251.92307692307708</v>
      </c>
      <c r="CU123" s="18">
        <f>CT123*VLOOKUP('Données projet'!$B$13,Paramètres!$A$1:$I$89,3,0)*VLOOKUP('Données projet'!$B$13,Paramètres!$A$1:$I$89,5,0)</f>
        <v>243.66000000000017</v>
      </c>
      <c r="CV123" s="14">
        <f t="shared" si="95"/>
        <v>59.226302329994923</v>
      </c>
      <c r="CW123" s="22">
        <f t="shared" si="67"/>
        <v>527.52697655807481</v>
      </c>
      <c r="CX123" s="60">
        <f t="shared" si="68"/>
        <v>820.86030989140818</v>
      </c>
      <c r="CY123" s="60">
        <f ca="1">AVERAGE(OFFSET($CX$3,0,0,'Données projet'!$E$13+1,1))-AVERAGE(OFFSET($H$3,0,0,'Données projet'!$E$13+1,1))</f>
        <v>279.37339904167601</v>
      </c>
      <c r="CZ123" s="60">
        <f t="shared" si="96"/>
        <v>163.80861186980007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13.461538461538462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0" t="e">
        <f t="shared" si="71"/>
        <v>#N/A</v>
      </c>
      <c r="DT123" s="60" t="e">
        <f ca="1">AVERAGE(OFFSET($DS$3,0,0,'Données projet'!$E$14+1,1))-AVERAGE(OFFSET($H$3,0,0,'Données projet'!$E$14+1,1))</f>
        <v>#N/A</v>
      </c>
      <c r="DU123" s="60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33.03299999999998</v>
      </c>
      <c r="D124" s="12">
        <f t="shared" si="86"/>
        <v>10.131984879689933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333.20339205374665</v>
      </c>
      <c r="H124" s="68">
        <f t="shared" si="56"/>
        <v>368.51234866545991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0">
        <f t="shared" si="55"/>
        <v>293.33333333333439</v>
      </c>
      <c r="S124" s="60">
        <f ca="1">AVERAGE(OFFSET($R$3,0,0,'Données projet'!$E$9+1,1))-AVERAGE(OFFSET($H$3,0,0,'Données projet'!$E$9+1,1))</f>
        <v>223.38593045370783</v>
      </c>
      <c r="T124" s="60">
        <f t="shared" si="88"/>
        <v>161.68519532023998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5.1159076974727213E-13</v>
      </c>
      <c r="AJ124" s="14">
        <f>AI124*VLOOKUP('Données projet'!$B$10,Paramètres!$A$1:$I$89,3,0)*VLOOKUP('Données projet'!$B$10,Paramètres!$A$1:$I$89,5,0)</f>
        <v>3.0593128030886877E-13</v>
      </c>
      <c r="AK124" s="14">
        <f t="shared" si="89"/>
        <v>4.0350537939347394E-12</v>
      </c>
      <c r="AL124" s="22">
        <f t="shared" si="58"/>
        <v>7.5605490043076185E-12</v>
      </c>
      <c r="AM124" s="60">
        <f t="shared" si="59"/>
        <v>293.33333333334087</v>
      </c>
      <c r="AN124" s="60">
        <f ca="1">AVERAGE(OFFSET($AM$3,0,0,'Données projet'!$E$10+1,1))-AVERAGE(OFFSET($H$3,0,0,'Données projet'!$E$10+1,1))</f>
        <v>216.19747366796145</v>
      </c>
      <c r="AO124" s="60">
        <f t="shared" si="90"/>
        <v>122.08911898780889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2.5016714405895605E-13</v>
      </c>
      <c r="AX124" s="23">
        <f t="shared" si="60"/>
        <v>2.5016714405895605E-13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-6.2527760746888816E-13</v>
      </c>
      <c r="BE124" s="14">
        <f>BD124*VLOOKUP('Données projet'!$B$11,Paramètres!$A$1:$I$89,3,0)*VLOOKUP('Données projet'!$B$11,Paramètres!$A$1:$I$89,5,0)</f>
        <v>-2.9262992029543964E-13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179.52358670810645</v>
      </c>
      <c r="BJ124" s="60">
        <f t="shared" si="92"/>
        <v>89.471764801078166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2.0512820512820498</v>
      </c>
      <c r="BY124" s="13">
        <f>IF('Données projet'!$A$114&gt;35,BY123+BX124-CG123,IF(A124&lt;'Données projet'!$A$114,$BV$205^A124,IF(A124='Données projet'!$A$114,'Données projet'!$B$114,BY123+BX124-CG123)))</f>
        <v>240.51282051282067</v>
      </c>
      <c r="BZ124" s="14">
        <f>BY124*VLOOKUP('Données projet'!$B$12,Paramètres!$A$1:$I$89,3,0)*VLOOKUP('Données projet'!$B$12,Paramètres!$A$1:$I$89,5,0)</f>
        <v>251.38400000000016</v>
      </c>
      <c r="CA124" s="14">
        <f t="shared" si="93"/>
        <v>60.882208331721962</v>
      </c>
      <c r="CB124" s="22">
        <f t="shared" si="64"/>
        <v>543.86364617774927</v>
      </c>
      <c r="CC124" s="60">
        <f t="shared" si="65"/>
        <v>837.19697951108265</v>
      </c>
      <c r="CD124" s="60">
        <f ca="1">AVERAGE(OFFSET($CC$3,0,0,'Données projet'!$E$12+1,1))-AVERAGE(OFFSET($H$3,0,0,'Données projet'!$E$12+1,1))</f>
        <v>304.57411436867147</v>
      </c>
      <c r="CE124" s="60">
        <f t="shared" si="94"/>
        <v>178.19974548556962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2.0512820512820498</v>
      </c>
      <c r="CT124" s="13">
        <f>IF('Données projet'!$A$140&gt;35,CT123+CS124-DB123,IF(A124&lt;'Données projet'!$A$140,$CQ$205^A124,IF(A124='Données projet'!$A$140,'Données projet'!$B$140,CT123+CS124-DB123)))</f>
        <v>240.51282051282067</v>
      </c>
      <c r="CU124" s="18">
        <f>CT124*VLOOKUP('Données projet'!$B$13,Paramètres!$A$1:$I$89,3,0)*VLOOKUP('Données projet'!$B$13,Paramètres!$A$1:$I$89,5,0)</f>
        <v>232.62400000000017</v>
      </c>
      <c r="CV124" s="14">
        <f t="shared" si="95"/>
        <v>56.849676544210681</v>
      </c>
      <c r="CW124" s="22">
        <f t="shared" si="67"/>
        <v>504.16665331450054</v>
      </c>
      <c r="CX124" s="60">
        <f t="shared" si="68"/>
        <v>797.49998664783379</v>
      </c>
      <c r="CY124" s="60">
        <f ca="1">AVERAGE(OFFSET($CX$3,0,0,'Données projet'!$E$13+1,1))-AVERAGE(OFFSET($H$3,0,0,'Données projet'!$E$13+1,1))</f>
        <v>279.37339904167601</v>
      </c>
      <c r="CZ124" s="60">
        <f t="shared" si="96"/>
        <v>163.80861186980007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0" t="e">
        <f t="shared" si="71"/>
        <v>#N/A</v>
      </c>
      <c r="DT124" s="60" t="e">
        <f ca="1">AVERAGE(OFFSET($DS$3,0,0,'Données projet'!$E$14+1,1))-AVERAGE(OFFSET($H$3,0,0,'Données projet'!$E$14+1,1))</f>
        <v>#N/A</v>
      </c>
      <c r="DU124" s="60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33.305999999999983</v>
      </c>
      <c r="D125" s="12">
        <f t="shared" si="86"/>
        <v>10.205938010999127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335.88162675157213</v>
      </c>
      <c r="H125" s="68">
        <f t="shared" si="56"/>
        <v>369.11662536915674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0">
        <f t="shared" si="55"/>
        <v>293.33333333333439</v>
      </c>
      <c r="S125" s="60">
        <f ca="1">AVERAGE(OFFSET($R$3,0,0,'Données projet'!$E$9+1,1))-AVERAGE(OFFSET($H$3,0,0,'Données projet'!$E$9+1,1))</f>
        <v>223.38593045370783</v>
      </c>
      <c r="T125" s="60">
        <f t="shared" si="88"/>
        <v>161.68519532023998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5.1159076974727213E-13</v>
      </c>
      <c r="AJ125" s="14">
        <f>AI125*VLOOKUP('Données projet'!$B$10,Paramètres!$A$1:$I$89,3,0)*VLOOKUP('Données projet'!$B$10,Paramètres!$A$1:$I$89,5,0)</f>
        <v>3.0593128030886877E-13</v>
      </c>
      <c r="AK125" s="14">
        <f t="shared" si="89"/>
        <v>4.0350537939347394E-12</v>
      </c>
      <c r="AL125" s="22">
        <f t="shared" si="58"/>
        <v>7.5605490043076185E-12</v>
      </c>
      <c r="AM125" s="60">
        <f t="shared" si="59"/>
        <v>293.33333333334087</v>
      </c>
      <c r="AN125" s="60">
        <f ca="1">AVERAGE(OFFSET($AM$3,0,0,'Données projet'!$E$10+1,1))-AVERAGE(OFFSET($H$3,0,0,'Données projet'!$E$10+1,1))</f>
        <v>216.19747366796145</v>
      </c>
      <c r="AO125" s="60">
        <f t="shared" si="90"/>
        <v>122.08911898780889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1.7689488399415975E-13</v>
      </c>
      <c r="AX125" s="23">
        <f t="shared" si="60"/>
        <v>1.7689488399415975E-13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-6.2527760746888816E-13</v>
      </c>
      <c r="BE125" s="14">
        <f>BD125*VLOOKUP('Données projet'!$B$11,Paramètres!$A$1:$I$89,3,0)*VLOOKUP('Données projet'!$B$11,Paramètres!$A$1:$I$89,5,0)</f>
        <v>-2.9262992029543964E-13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179.52358670810645</v>
      </c>
      <c r="BJ125" s="60">
        <f t="shared" si="92"/>
        <v>89.471764801078166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2.0512820512820498</v>
      </c>
      <c r="BY125" s="13">
        <f>IF('Données projet'!$A$114&gt;35,BY124+BX125-CG124,IF(A125&lt;'Données projet'!$A$114,$BV$205^A125,IF(A125='Données projet'!$A$114,'Données projet'!$B$114,BY124+BX125-CG124)))</f>
        <v>242.56410256410271</v>
      </c>
      <c r="BZ125" s="14">
        <f>BY125*VLOOKUP('Données projet'!$B$12,Paramètres!$A$1:$I$89,3,0)*VLOOKUP('Données projet'!$B$12,Paramètres!$A$1:$I$89,5,0)</f>
        <v>253.52800000000019</v>
      </c>
      <c r="CA125" s="14">
        <f t="shared" si="93"/>
        <v>61.340791708154434</v>
      </c>
      <c r="CB125" s="22">
        <f t="shared" si="64"/>
        <v>548.39647889170249</v>
      </c>
      <c r="CC125" s="60">
        <f t="shared" si="65"/>
        <v>841.72981222503586</v>
      </c>
      <c r="CD125" s="60">
        <f ca="1">AVERAGE(OFFSET($CC$3,0,0,'Données projet'!$E$12+1,1))-AVERAGE(OFFSET($H$3,0,0,'Données projet'!$E$12+1,1))</f>
        <v>304.57411436867147</v>
      </c>
      <c r="CE125" s="60">
        <f t="shared" si="94"/>
        <v>178.19974548556962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2.0512820512820498</v>
      </c>
      <c r="CT125" s="13">
        <f>IF('Données projet'!$A$140&gt;35,CT124+CS125-DB124,IF(A125&lt;'Données projet'!$A$140,$CQ$205^A125,IF(A125='Données projet'!$A$140,'Données projet'!$B$140,CT124+CS125-DB124)))</f>
        <v>242.56410256410271</v>
      </c>
      <c r="CU125" s="18">
        <f>CT125*VLOOKUP('Données projet'!$B$13,Paramètres!$A$1:$I$89,3,0)*VLOOKUP('Données projet'!$B$13,Paramètres!$A$1:$I$89,5,0)</f>
        <v>234.60800000000017</v>
      </c>
      <c r="CV125" s="14">
        <f t="shared" si="95"/>
        <v>57.277885660356588</v>
      </c>
      <c r="CW125" s="22">
        <f t="shared" si="67"/>
        <v>508.3679175251213</v>
      </c>
      <c r="CX125" s="60">
        <f t="shared" si="68"/>
        <v>801.70125085845461</v>
      </c>
      <c r="CY125" s="60">
        <f ca="1">AVERAGE(OFFSET($CX$3,0,0,'Données projet'!$E$13+1,1))-AVERAGE(OFFSET($H$3,0,0,'Données projet'!$E$13+1,1))</f>
        <v>279.37339904167601</v>
      </c>
      <c r="CZ125" s="60">
        <f t="shared" si="96"/>
        <v>163.80861186980007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0" t="e">
        <f t="shared" si="71"/>
        <v>#N/A</v>
      </c>
      <c r="DT125" s="60" t="e">
        <f ca="1">AVERAGE(OFFSET($DS$3,0,0,'Données projet'!$E$14+1,1))-AVERAGE(OFFSET($H$3,0,0,'Données projet'!$E$14+1,1))</f>
        <v>#N/A</v>
      </c>
      <c r="DU125" s="60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33.578999999999986</v>
      </c>
      <c r="D126" s="12">
        <f t="shared" si="86"/>
        <v>10.279820616560862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338.55931704011886</v>
      </c>
      <c r="H126" s="68">
        <f t="shared" si="56"/>
        <v>369.72077924051013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0">
        <f t="shared" si="55"/>
        <v>293.33333333333439</v>
      </c>
      <c r="S126" s="60">
        <f ca="1">AVERAGE(OFFSET($R$3,0,0,'Données projet'!$E$9+1,1))-AVERAGE(OFFSET($H$3,0,0,'Données projet'!$E$9+1,1))</f>
        <v>223.38593045370783</v>
      </c>
      <c r="T126" s="60">
        <f t="shared" si="88"/>
        <v>161.68519532023998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5.1159076974727213E-13</v>
      </c>
      <c r="AJ126" s="14">
        <f>AI126*VLOOKUP('Données projet'!$B$10,Paramètres!$A$1:$I$89,3,0)*VLOOKUP('Données projet'!$B$10,Paramètres!$A$1:$I$89,5,0)</f>
        <v>3.0593128030886877E-13</v>
      </c>
      <c r="AK126" s="14">
        <f t="shared" si="89"/>
        <v>4.0350537939347394E-12</v>
      </c>
      <c r="AL126" s="22">
        <f t="shared" si="58"/>
        <v>7.5605490043076185E-12</v>
      </c>
      <c r="AM126" s="60">
        <f t="shared" si="59"/>
        <v>293.33333333334087</v>
      </c>
      <c r="AN126" s="60">
        <f ca="1">AVERAGE(OFFSET($AM$3,0,0,'Données projet'!$E$10+1,1))-AVERAGE(OFFSET($H$3,0,0,'Données projet'!$E$10+1,1))</f>
        <v>216.19747366796145</v>
      </c>
      <c r="AO126" s="60">
        <f t="shared" si="90"/>
        <v>122.08911898780889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1.2508357202947802E-13</v>
      </c>
      <c r="AX126" s="23">
        <f t="shared" si="60"/>
        <v>1.2508357202947802E-13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-6.2527760746888816E-13</v>
      </c>
      <c r="BE126" s="14">
        <f>BD126*VLOOKUP('Données projet'!$B$11,Paramètres!$A$1:$I$89,3,0)*VLOOKUP('Données projet'!$B$11,Paramètres!$A$1:$I$89,5,0)</f>
        <v>-2.9262992029543964E-13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179.52358670810645</v>
      </c>
      <c r="BJ126" s="60">
        <f t="shared" si="92"/>
        <v>89.471764801078166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2.0512820512820498</v>
      </c>
      <c r="BY126" s="13">
        <f>IF('Données projet'!$A$114&gt;35,BY125+BX126-CG125,IF(A126&lt;'Données projet'!$A$114,$BV$205^A126,IF(A126='Données projet'!$A$114,'Données projet'!$B$114,BY125+BX126-CG125)))</f>
        <v>244.61538461538476</v>
      </c>
      <c r="BZ126" s="14">
        <f>BY126*VLOOKUP('Données projet'!$B$12,Paramètres!$A$1:$I$89,3,0)*VLOOKUP('Données projet'!$B$12,Paramètres!$A$1:$I$89,5,0)</f>
        <v>255.6720000000002</v>
      </c>
      <c r="CA126" s="14">
        <f t="shared" si="93"/>
        <v>61.798923892077319</v>
      </c>
      <c r="CB126" s="22">
        <f t="shared" si="64"/>
        <v>552.92852577870167</v>
      </c>
      <c r="CC126" s="60">
        <f t="shared" si="65"/>
        <v>846.26185911203493</v>
      </c>
      <c r="CD126" s="60">
        <f ca="1">AVERAGE(OFFSET($CC$3,0,0,'Données projet'!$E$12+1,1))-AVERAGE(OFFSET($H$3,0,0,'Données projet'!$E$12+1,1))</f>
        <v>304.57411436867147</v>
      </c>
      <c r="CE126" s="60">
        <f t="shared" si="94"/>
        <v>178.19974548556962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2.0512820512820498</v>
      </c>
      <c r="CT126" s="13">
        <f>IF('Données projet'!$A$140&gt;35,CT125+CS126-DB125,IF(A126&lt;'Données projet'!$A$140,$CQ$205^A126,IF(A126='Données projet'!$A$140,'Données projet'!$B$140,CT125+CS126-DB125)))</f>
        <v>244.61538461538476</v>
      </c>
      <c r="CU126" s="18">
        <f>CT126*VLOOKUP('Données projet'!$B$13,Paramètres!$A$1:$I$89,3,0)*VLOOKUP('Données projet'!$B$13,Paramètres!$A$1:$I$89,5,0)</f>
        <v>236.59200000000016</v>
      </c>
      <c r="CV126" s="14">
        <f t="shared" si="95"/>
        <v>57.70567346871929</v>
      </c>
      <c r="CW126" s="22">
        <f t="shared" si="67"/>
        <v>512.56844795801965</v>
      </c>
      <c r="CX126" s="60">
        <f t="shared" si="68"/>
        <v>805.90178129135302</v>
      </c>
      <c r="CY126" s="60">
        <f ca="1">AVERAGE(OFFSET($CX$3,0,0,'Données projet'!$E$13+1,1))-AVERAGE(OFFSET($H$3,0,0,'Données projet'!$E$13+1,1))</f>
        <v>279.37339904167601</v>
      </c>
      <c r="CZ126" s="60">
        <f t="shared" si="96"/>
        <v>163.80861186980007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0" t="e">
        <f t="shared" si="71"/>
        <v>#N/A</v>
      </c>
      <c r="DT126" s="60" t="e">
        <f ca="1">AVERAGE(OFFSET($DS$3,0,0,'Données projet'!$E$14+1,1))-AVERAGE(OFFSET($H$3,0,0,'Données projet'!$E$14+1,1))</f>
        <v>#N/A</v>
      </c>
      <c r="DU126" s="60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33.85199999999999</v>
      </c>
      <c r="D127" s="12">
        <f t="shared" si="86"/>
        <v>10.353633336208013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341.23646785844772</v>
      </c>
      <c r="H127" s="68">
        <f t="shared" si="56"/>
        <v>370.32481139389557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0">
        <f t="shared" si="55"/>
        <v>293.33333333333439</v>
      </c>
      <c r="S127" s="60">
        <f ca="1">AVERAGE(OFFSET($R$3,0,0,'Données projet'!$E$9+1,1))-AVERAGE(OFFSET($H$3,0,0,'Données projet'!$E$9+1,1))</f>
        <v>223.38593045370783</v>
      </c>
      <c r="T127" s="60">
        <f t="shared" si="88"/>
        <v>161.68519532023998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5.1159076974727213E-13</v>
      </c>
      <c r="AJ127" s="14">
        <f>AI127*VLOOKUP('Données projet'!$B$10,Paramètres!$A$1:$I$89,3,0)*VLOOKUP('Données projet'!$B$10,Paramètres!$A$1:$I$89,5,0)</f>
        <v>3.0593128030886877E-13</v>
      </c>
      <c r="AK127" s="14">
        <f t="shared" si="89"/>
        <v>4.0350537939347394E-12</v>
      </c>
      <c r="AL127" s="22">
        <f t="shared" si="58"/>
        <v>7.5605490043076185E-12</v>
      </c>
      <c r="AM127" s="60">
        <f t="shared" si="59"/>
        <v>293.33333333334087</v>
      </c>
      <c r="AN127" s="60">
        <f ca="1">AVERAGE(OFFSET($AM$3,0,0,'Données projet'!$E$10+1,1))-AVERAGE(OFFSET($H$3,0,0,'Données projet'!$E$10+1,1))</f>
        <v>216.19747366796145</v>
      </c>
      <c r="AO127" s="60">
        <f t="shared" si="90"/>
        <v>122.08911898780889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8.8447441997079875E-14</v>
      </c>
      <c r="AX127" s="23">
        <f t="shared" si="60"/>
        <v>8.8447441997079875E-14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-6.2527760746888816E-13</v>
      </c>
      <c r="BE127" s="14">
        <f>BD127*VLOOKUP('Données projet'!$B$11,Paramètres!$A$1:$I$89,3,0)*VLOOKUP('Données projet'!$B$11,Paramètres!$A$1:$I$89,5,0)</f>
        <v>-2.9262992029543964E-13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179.52358670810645</v>
      </c>
      <c r="BJ127" s="60">
        <f t="shared" si="92"/>
        <v>89.471764801078166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2.0512820512820498</v>
      </c>
      <c r="BY127" s="13">
        <f>IF('Données projet'!$A$114&gt;35,BY126+BX127-CG126,IF(A127&lt;'Données projet'!$A$114,$BV$205^A127,IF(A127='Données projet'!$A$114,'Données projet'!$B$114,BY126+BX127-CG126)))</f>
        <v>246.6666666666668</v>
      </c>
      <c r="BZ127" s="14">
        <f>BY127*VLOOKUP('Données projet'!$B$12,Paramètres!$A$1:$I$89,3,0)*VLOOKUP('Données projet'!$B$12,Paramètres!$A$1:$I$89,5,0)</f>
        <v>257.81600000000014</v>
      </c>
      <c r="CA127" s="14">
        <f t="shared" si="93"/>
        <v>62.256609105523367</v>
      </c>
      <c r="CB127" s="22">
        <f t="shared" si="64"/>
        <v>557.45979419212006</v>
      </c>
      <c r="CC127" s="60">
        <f t="shared" si="65"/>
        <v>850.79312752545343</v>
      </c>
      <c r="CD127" s="60">
        <f ca="1">AVERAGE(OFFSET($CC$3,0,0,'Données projet'!$E$12+1,1))-AVERAGE(OFFSET($H$3,0,0,'Données projet'!$E$12+1,1))</f>
        <v>304.57411436867147</v>
      </c>
      <c r="CE127" s="60">
        <f t="shared" si="94"/>
        <v>178.19974548556962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2.0512820512820498</v>
      </c>
      <c r="CT127" s="13">
        <f>IF('Données projet'!$A$140&gt;35,CT126+CS127-DB126,IF(A127&lt;'Données projet'!$A$140,$CQ$205^A127,IF(A127='Données projet'!$A$140,'Données projet'!$B$140,CT126+CS127-DB126)))</f>
        <v>246.6666666666668</v>
      </c>
      <c r="CU127" s="18">
        <f>CT127*VLOOKUP('Données projet'!$B$13,Paramètres!$A$1:$I$89,3,0)*VLOOKUP('Données projet'!$B$13,Paramètres!$A$1:$I$89,5,0)</f>
        <v>238.57600000000014</v>
      </c>
      <c r="CV127" s="14">
        <f t="shared" si="95"/>
        <v>58.133043911685284</v>
      </c>
      <c r="CW127" s="22">
        <f t="shared" si="67"/>
        <v>516.76825147951865</v>
      </c>
      <c r="CX127" s="60">
        <f t="shared" si="68"/>
        <v>810.10158481285202</v>
      </c>
      <c r="CY127" s="60">
        <f ca="1">AVERAGE(OFFSET($CX$3,0,0,'Données projet'!$E$13+1,1))-AVERAGE(OFFSET($H$3,0,0,'Données projet'!$E$13+1,1))</f>
        <v>279.37339904167601</v>
      </c>
      <c r="CZ127" s="60">
        <f t="shared" si="96"/>
        <v>163.80861186980007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0" t="e">
        <f t="shared" si="71"/>
        <v>#N/A</v>
      </c>
      <c r="DT127" s="60" t="e">
        <f ca="1">AVERAGE(OFFSET($DS$3,0,0,'Données projet'!$E$14+1,1))-AVERAGE(OFFSET($H$3,0,0,'Données projet'!$E$14+1,1))</f>
        <v>#N/A</v>
      </c>
      <c r="DU127" s="60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34.124999999999993</v>
      </c>
      <c r="D128" s="12">
        <f t="shared" si="86"/>
        <v>10.427376798857695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343.91308406135767</v>
      </c>
      <c r="H128" s="68">
        <f t="shared" si="56"/>
        <v>370.92872292467712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0">
        <f t="shared" si="55"/>
        <v>293.33333333333439</v>
      </c>
      <c r="S128" s="60">
        <f ca="1">AVERAGE(OFFSET($R$3,0,0,'Données projet'!$E$9+1,1))-AVERAGE(OFFSET($H$3,0,0,'Données projet'!$E$9+1,1))</f>
        <v>223.38593045370783</v>
      </c>
      <c r="T128" s="60">
        <f t="shared" si="88"/>
        <v>161.68519532023998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5.1159076974727213E-13</v>
      </c>
      <c r="AJ128" s="14">
        <f>AI128*VLOOKUP('Données projet'!$B$10,Paramètres!$A$1:$I$89,3,0)*VLOOKUP('Données projet'!$B$10,Paramètres!$A$1:$I$89,5,0)</f>
        <v>3.0593128030886877E-13</v>
      </c>
      <c r="AK128" s="14">
        <f t="shared" si="89"/>
        <v>4.0350537939347394E-12</v>
      </c>
      <c r="AL128" s="22">
        <f t="shared" si="58"/>
        <v>7.5605490043076185E-12</v>
      </c>
      <c r="AM128" s="60">
        <f t="shared" si="59"/>
        <v>293.33333333334087</v>
      </c>
      <c r="AN128" s="60">
        <f ca="1">AVERAGE(OFFSET($AM$3,0,0,'Données projet'!$E$10+1,1))-AVERAGE(OFFSET($H$3,0,0,'Données projet'!$E$10+1,1))</f>
        <v>216.19747366796145</v>
      </c>
      <c r="AO128" s="60">
        <f t="shared" si="90"/>
        <v>122.08911898780889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6.2541786014739012E-14</v>
      </c>
      <c r="AX128" s="23">
        <f t="shared" si="60"/>
        <v>6.2541786014739012E-14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-6.2527760746888816E-13</v>
      </c>
      <c r="BE128" s="14">
        <f>BD128*VLOOKUP('Données projet'!$B$11,Paramètres!$A$1:$I$89,3,0)*VLOOKUP('Données projet'!$B$11,Paramètres!$A$1:$I$89,5,0)</f>
        <v>-2.9262992029543964E-13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179.52358670810645</v>
      </c>
      <c r="BJ128" s="60">
        <f t="shared" si="92"/>
        <v>89.471764801078166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2.0512820512820498</v>
      </c>
      <c r="BY128" s="13">
        <f>IF('Données projet'!$A$114&gt;35,BY127+BX128-CG127,IF(A128&lt;'Données projet'!$A$114,$BV$205^A128,IF(A128='Données projet'!$A$114,'Données projet'!$B$114,BY127+BX128-CG127)))</f>
        <v>248.71794871794884</v>
      </c>
      <c r="BZ128" s="14">
        <f>BY128*VLOOKUP('Données projet'!$B$12,Paramètres!$A$1:$I$89,3,0)*VLOOKUP('Données projet'!$B$12,Paramètres!$A$1:$I$89,5,0)</f>
        <v>259.96000000000015</v>
      </c>
      <c r="CA128" s="14">
        <f t="shared" si="93"/>
        <v>62.713851496251003</v>
      </c>
      <c r="CB128" s="22">
        <f t="shared" si="64"/>
        <v>561.99029135597073</v>
      </c>
      <c r="CC128" s="60">
        <f t="shared" si="65"/>
        <v>855.3236246893041</v>
      </c>
      <c r="CD128" s="60">
        <f ca="1">AVERAGE(OFFSET($CC$3,0,0,'Données projet'!$E$12+1,1))-AVERAGE(OFFSET($H$3,0,0,'Données projet'!$E$12+1,1))</f>
        <v>304.57411436867147</v>
      </c>
      <c r="CE128" s="60">
        <f t="shared" si="94"/>
        <v>178.19974548556962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2.0512820512820498</v>
      </c>
      <c r="CT128" s="13">
        <f>IF('Données projet'!$A$140&gt;35,CT127+CS128-DB127,IF(A128&lt;'Données projet'!$A$140,$CQ$205^A128,IF(A128='Données projet'!$A$140,'Données projet'!$B$140,CT127+CS128-DB127)))</f>
        <v>248.71794871794884</v>
      </c>
      <c r="CU128" s="18">
        <f>CT128*VLOOKUP('Données projet'!$B$13,Paramètres!$A$1:$I$89,3,0)*VLOOKUP('Données projet'!$B$13,Paramètres!$A$1:$I$89,5,0)</f>
        <v>240.56000000000014</v>
      </c>
      <c r="CV128" s="14">
        <f t="shared" si="95"/>
        <v>58.560000862286302</v>
      </c>
      <c r="CW128" s="22">
        <f t="shared" si="67"/>
        <v>520.9673348351489</v>
      </c>
      <c r="CX128" s="60">
        <f t="shared" si="68"/>
        <v>814.30066816848216</v>
      </c>
      <c r="CY128" s="60">
        <f ca="1">AVERAGE(OFFSET($CX$3,0,0,'Données projet'!$E$13+1,1))-AVERAGE(OFFSET($H$3,0,0,'Données projet'!$E$13+1,1))</f>
        <v>279.37339904167601</v>
      </c>
      <c r="CZ128" s="60">
        <f t="shared" si="96"/>
        <v>163.80861186980007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0" t="e">
        <f t="shared" si="71"/>
        <v>#N/A</v>
      </c>
      <c r="DT128" s="60" t="e">
        <f ca="1">AVERAGE(OFFSET($DS$3,0,0,'Données projet'!$E$14+1,1))-AVERAGE(OFFSET($H$3,0,0,'Données projet'!$E$14+1,1))</f>
        <v>#N/A</v>
      </c>
      <c r="DU128" s="60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34.397999999999996</v>
      </c>
      <c r="D129" s="12">
        <f t="shared" si="86"/>
        <v>10.501051622783342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346.58917042148545</v>
      </c>
      <c r="H129" s="68">
        <f t="shared" si="56"/>
        <v>371.53251490968097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0">
        <f t="shared" si="55"/>
        <v>293.33333333333439</v>
      </c>
      <c r="S129" s="60">
        <f ca="1">AVERAGE(OFFSET($R$3,0,0,'Données projet'!$E$9+1,1))-AVERAGE(OFFSET($H$3,0,0,'Données projet'!$E$9+1,1))</f>
        <v>223.38593045370783</v>
      </c>
      <c r="T129" s="60">
        <f t="shared" si="88"/>
        <v>161.68519532023998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5.1159076974727213E-13</v>
      </c>
      <c r="AJ129" s="14">
        <f>AI129*VLOOKUP('Données projet'!$B$10,Paramètres!$A$1:$I$89,3,0)*VLOOKUP('Données projet'!$B$10,Paramètres!$A$1:$I$89,5,0)</f>
        <v>3.0593128030886877E-13</v>
      </c>
      <c r="AK129" s="14">
        <f t="shared" si="89"/>
        <v>4.0350537939347394E-12</v>
      </c>
      <c r="AL129" s="22">
        <f t="shared" si="58"/>
        <v>7.5605490043076185E-12</v>
      </c>
      <c r="AM129" s="60">
        <f t="shared" si="59"/>
        <v>293.33333333334087</v>
      </c>
      <c r="AN129" s="60">
        <f ca="1">AVERAGE(OFFSET($AM$3,0,0,'Données projet'!$E$10+1,1))-AVERAGE(OFFSET($H$3,0,0,'Données projet'!$E$10+1,1))</f>
        <v>216.19747366796145</v>
      </c>
      <c r="AO129" s="60">
        <f t="shared" si="90"/>
        <v>122.08911898780889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4.4223720998539937E-14</v>
      </c>
      <c r="AX129" s="23">
        <f t="shared" si="60"/>
        <v>4.4223720998539937E-14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-6.2527760746888816E-13</v>
      </c>
      <c r="BE129" s="14">
        <f>BD129*VLOOKUP('Données projet'!$B$11,Paramètres!$A$1:$I$89,3,0)*VLOOKUP('Données projet'!$B$11,Paramètres!$A$1:$I$89,5,0)</f>
        <v>-2.9262992029543964E-13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179.52358670810645</v>
      </c>
      <c r="BJ129" s="60">
        <f t="shared" si="92"/>
        <v>89.471764801078166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2.0512820512820498</v>
      </c>
      <c r="BY129" s="13">
        <f>IF('Données projet'!$A$114&gt;35,BY128+BX129-CG128,IF(A129&lt;'Données projet'!$A$114,$BV$205^A129,IF(A129='Données projet'!$A$114,'Données projet'!$B$114,BY128+BX129-CG128)))</f>
        <v>250.76923076923089</v>
      </c>
      <c r="BZ129" s="14">
        <f>BY129*VLOOKUP('Données projet'!$B$12,Paramètres!$A$1:$I$89,3,0)*VLOOKUP('Données projet'!$B$12,Paramètres!$A$1:$I$89,5,0)</f>
        <v>262.10400000000016</v>
      </c>
      <c r="CA129" s="14">
        <f t="shared" si="93"/>
        <v>63.17065513965251</v>
      </c>
      <c r="CB129" s="22">
        <f t="shared" si="64"/>
        <v>566.52002436822829</v>
      </c>
      <c r="CC129" s="60">
        <f t="shared" si="65"/>
        <v>859.85335770156166</v>
      </c>
      <c r="CD129" s="60">
        <f ca="1">AVERAGE(OFFSET($CC$3,0,0,'Données projet'!$E$12+1,1))-AVERAGE(OFFSET($H$3,0,0,'Données projet'!$E$12+1,1))</f>
        <v>304.57411436867147</v>
      </c>
      <c r="CE129" s="60">
        <f t="shared" si="94"/>
        <v>178.19974548556962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2.0512820512820498</v>
      </c>
      <c r="CT129" s="13">
        <f>IF('Données projet'!$A$140&gt;35,CT128+CS129-DB128,IF(A129&lt;'Données projet'!$A$140,$CQ$205^A129,IF(A129='Données projet'!$A$140,'Données projet'!$B$140,CT128+CS129-DB128)))</f>
        <v>250.76923076923089</v>
      </c>
      <c r="CU129" s="18">
        <f>CT129*VLOOKUP('Données projet'!$B$13,Paramètres!$A$1:$I$89,3,0)*VLOOKUP('Données projet'!$B$13,Paramètres!$A$1:$I$89,5,0)</f>
        <v>242.54400000000012</v>
      </c>
      <c r="CV129" s="14">
        <f t="shared" si="95"/>
        <v>58.986548125981095</v>
      </c>
      <c r="CW129" s="22">
        <f t="shared" si="67"/>
        <v>525.16570465275061</v>
      </c>
      <c r="CX129" s="60">
        <f t="shared" si="68"/>
        <v>818.49903798608398</v>
      </c>
      <c r="CY129" s="60">
        <f ca="1">AVERAGE(OFFSET($CX$3,0,0,'Données projet'!$E$13+1,1))-AVERAGE(OFFSET($H$3,0,0,'Données projet'!$E$13+1,1))</f>
        <v>279.37339904167601</v>
      </c>
      <c r="CZ129" s="60">
        <f t="shared" si="96"/>
        <v>163.80861186980007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0" t="e">
        <f t="shared" si="71"/>
        <v>#N/A</v>
      </c>
      <c r="DT129" s="60" t="e">
        <f ca="1">AVERAGE(OFFSET($DS$3,0,0,'Données projet'!$E$14+1,1))-AVERAGE(OFFSET($H$3,0,0,'Données projet'!$E$14+1,1))</f>
        <v>#N/A</v>
      </c>
      <c r="DU129" s="60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34.670999999999999</v>
      </c>
      <c r="D130" s="12">
        <f t="shared" si="86"/>
        <v>10.574658415877819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349.26473163133755</v>
      </c>
      <c r="H130" s="68">
        <f t="shared" si="56"/>
        <v>372.13618840765383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0">
        <f t="shared" si="55"/>
        <v>293.33333333333439</v>
      </c>
      <c r="S130" s="60">
        <f ca="1">AVERAGE(OFFSET($R$3,0,0,'Données projet'!$E$9+1,1))-AVERAGE(OFFSET($H$3,0,0,'Données projet'!$E$9+1,1))</f>
        <v>223.38593045370783</v>
      </c>
      <c r="T130" s="60">
        <f t="shared" si="88"/>
        <v>161.68519532023998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5.1159076974727213E-13</v>
      </c>
      <c r="AJ130" s="14">
        <f>AI130*VLOOKUP('Données projet'!$B$10,Paramètres!$A$1:$I$89,3,0)*VLOOKUP('Données projet'!$B$10,Paramètres!$A$1:$I$89,5,0)</f>
        <v>3.0593128030886877E-13</v>
      </c>
      <c r="AK130" s="14">
        <f t="shared" si="89"/>
        <v>4.0350537939347394E-12</v>
      </c>
      <c r="AL130" s="22">
        <f t="shared" si="58"/>
        <v>7.5605490043076185E-12</v>
      </c>
      <c r="AM130" s="60">
        <f t="shared" si="59"/>
        <v>293.33333333334087</v>
      </c>
      <c r="AN130" s="60">
        <f ca="1">AVERAGE(OFFSET($AM$3,0,0,'Données projet'!$E$10+1,1))-AVERAGE(OFFSET($H$3,0,0,'Données projet'!$E$10+1,1))</f>
        <v>216.19747366796145</v>
      </c>
      <c r="AO130" s="60">
        <f t="shared" si="90"/>
        <v>122.08911898780889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3.1270893007369506E-14</v>
      </c>
      <c r="AX130" s="23">
        <f t="shared" si="60"/>
        <v>3.1270893007369506E-14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-6.2527760746888816E-13</v>
      </c>
      <c r="BE130" s="14">
        <f>BD130*VLOOKUP('Données projet'!$B$11,Paramètres!$A$1:$I$89,3,0)*VLOOKUP('Données projet'!$B$11,Paramètres!$A$1:$I$89,5,0)</f>
        <v>-2.9262992029543964E-13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179.52358670810645</v>
      </c>
      <c r="BJ130" s="60">
        <f t="shared" si="92"/>
        <v>89.471764801078166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2.0512820512820498</v>
      </c>
      <c r="BY130" s="13">
        <f>IF('Données projet'!$A$114&gt;35,BY129+BX130-CG129,IF(A130&lt;'Données projet'!$A$114,$BV$205^A130,IF(A130='Données projet'!$A$114,'Données projet'!$B$114,BY129+BX130-CG129)))</f>
        <v>252.82051282051293</v>
      </c>
      <c r="BZ130" s="14">
        <f>BY130*VLOOKUP('Données projet'!$B$12,Paramètres!$A$1:$I$89,3,0)*VLOOKUP('Données projet'!$B$12,Paramètres!$A$1:$I$89,5,0)</f>
        <v>264.24800000000016</v>
      </c>
      <c r="CA130" s="14">
        <f t="shared" si="93"/>
        <v>63.627024040597796</v>
      </c>
      <c r="CB130" s="22">
        <f t="shared" si="64"/>
        <v>571.04900020404136</v>
      </c>
      <c r="CC130" s="60">
        <f t="shared" si="65"/>
        <v>864.38233353737473</v>
      </c>
      <c r="CD130" s="60">
        <f ca="1">AVERAGE(OFFSET($CC$3,0,0,'Données projet'!$E$12+1,1))-AVERAGE(OFFSET($H$3,0,0,'Données projet'!$E$12+1,1))</f>
        <v>304.57411436867147</v>
      </c>
      <c r="CE130" s="60">
        <f t="shared" si="94"/>
        <v>178.19974548556962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2.0512820512820498</v>
      </c>
      <c r="CT130" s="13">
        <f>IF('Données projet'!$A$140&gt;35,CT129+CS130-DB129,IF(A130&lt;'Données projet'!$A$140,$CQ$205^A130,IF(A130='Données projet'!$A$140,'Données projet'!$B$140,CT129+CS130-DB129)))</f>
        <v>252.82051282051293</v>
      </c>
      <c r="CU130" s="18">
        <f>CT130*VLOOKUP('Données projet'!$B$13,Paramètres!$A$1:$I$89,3,0)*VLOOKUP('Données projet'!$B$13,Paramètres!$A$1:$I$89,5,0)</f>
        <v>244.52800000000013</v>
      </c>
      <c r="CV130" s="14">
        <f t="shared" si="95"/>
        <v>59.412689442377058</v>
      </c>
      <c r="CW130" s="22">
        <f t="shared" si="67"/>
        <v>529.36336744547361</v>
      </c>
      <c r="CX130" s="60">
        <f t="shared" si="68"/>
        <v>822.69670077880687</v>
      </c>
      <c r="CY130" s="60">
        <f ca="1">AVERAGE(OFFSET($CX$3,0,0,'Données projet'!$E$13+1,1))-AVERAGE(OFFSET($H$3,0,0,'Données projet'!$E$13+1,1))</f>
        <v>279.37339904167601</v>
      </c>
      <c r="CZ130" s="60">
        <f t="shared" si="96"/>
        <v>163.80861186980007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0" t="e">
        <f t="shared" si="71"/>
        <v>#N/A</v>
      </c>
      <c r="DT130" s="60" t="e">
        <f ca="1">AVERAGE(OFFSET($DS$3,0,0,'Données projet'!$E$14+1,1))-AVERAGE(OFFSET($H$3,0,0,'Données projet'!$E$14+1,1))</f>
        <v>#N/A</v>
      </c>
      <c r="DU130" s="60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34.944000000000003</v>
      </c>
      <c r="D131" s="12">
        <f t="shared" si="86"/>
        <v>10.648197775908045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351.93977230525508</v>
      </c>
      <c r="H131" s="68">
        <f t="shared" si="56"/>
        <v>372.73974445970651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0">
        <f t="shared" ref="R131:R194" si="109">Q131+(I131+J131)*44/12</f>
        <v>293.33333333333439</v>
      </c>
      <c r="S131" s="60">
        <f ca="1">AVERAGE(OFFSET($R$3,0,0,'Données projet'!$E$9+1,1))-AVERAGE(OFFSET($H$3,0,0,'Données projet'!$E$9+1,1))</f>
        <v>223.38593045370783</v>
      </c>
      <c r="T131" s="60">
        <f t="shared" si="88"/>
        <v>161.68519532023998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5.1159076974727213E-13</v>
      </c>
      <c r="AJ131" s="14">
        <f>AI131*VLOOKUP('Données projet'!$B$10,Paramètres!$A$1:$I$89,3,0)*VLOOKUP('Données projet'!$B$10,Paramètres!$A$1:$I$89,5,0)</f>
        <v>3.0593128030886877E-13</v>
      </c>
      <c r="AK131" s="14">
        <f t="shared" si="89"/>
        <v>4.0350537939347394E-12</v>
      </c>
      <c r="AL131" s="22">
        <f t="shared" si="58"/>
        <v>7.5605490043076185E-12</v>
      </c>
      <c r="AM131" s="60">
        <f t="shared" si="59"/>
        <v>293.33333333334087</v>
      </c>
      <c r="AN131" s="60">
        <f ca="1">AVERAGE(OFFSET($AM$3,0,0,'Données projet'!$E$10+1,1))-AVERAGE(OFFSET($H$3,0,0,'Données projet'!$E$10+1,1))</f>
        <v>216.19747366796145</v>
      </c>
      <c r="AO131" s="60">
        <f t="shared" si="90"/>
        <v>122.08911898780889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2.2111860499269969E-14</v>
      </c>
      <c r="AX131" s="23">
        <f t="shared" si="60"/>
        <v>2.2111860499269969E-14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-6.2527760746888816E-13</v>
      </c>
      <c r="BE131" s="14">
        <f>BD131*VLOOKUP('Données projet'!$B$11,Paramètres!$A$1:$I$89,3,0)*VLOOKUP('Données projet'!$B$11,Paramètres!$A$1:$I$89,5,0)</f>
        <v>-2.9262992029543964E-13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179.52358670810645</v>
      </c>
      <c r="BJ131" s="60">
        <f t="shared" si="92"/>
        <v>89.471764801078166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2.0512820512820498</v>
      </c>
      <c r="BY131" s="13">
        <f>IF('Données projet'!$A$114&gt;35,BY130+BX131-CG130,IF(A131&lt;'Données projet'!$A$114,$BV$205^A131,IF(A131='Données projet'!$A$114,'Données projet'!$B$114,BY130+BX131-CG130)))</f>
        <v>254.87179487179498</v>
      </c>
      <c r="BZ131" s="14">
        <f>BY131*VLOOKUP('Données projet'!$B$12,Paramètres!$A$1:$I$89,3,0)*VLOOKUP('Données projet'!$B$12,Paramètres!$A$1:$I$89,5,0)</f>
        <v>266.39200000000011</v>
      </c>
      <c r="CA131" s="14">
        <f t="shared" si="93"/>
        <v>64.08296213521713</v>
      </c>
      <c r="CB131" s="22">
        <f t="shared" si="64"/>
        <v>575.57722571883676</v>
      </c>
      <c r="CC131" s="60">
        <f t="shared" si="65"/>
        <v>868.91055905217013</v>
      </c>
      <c r="CD131" s="60">
        <f ca="1">AVERAGE(OFFSET($CC$3,0,0,'Données projet'!$E$12+1,1))-AVERAGE(OFFSET($H$3,0,0,'Données projet'!$E$12+1,1))</f>
        <v>304.57411436867147</v>
      </c>
      <c r="CE131" s="60">
        <f t="shared" si="94"/>
        <v>178.19974548556962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2.0512820512820498</v>
      </c>
      <c r="CT131" s="13">
        <f>IF('Données projet'!$A$140&gt;35,CT130+CS131-DB130,IF(A131&lt;'Données projet'!$A$140,$CQ$205^A131,IF(A131='Données projet'!$A$140,'Données projet'!$B$140,CT130+CS131-DB130)))</f>
        <v>254.87179487179498</v>
      </c>
      <c r="CU131" s="18">
        <f>CT131*VLOOKUP('Données projet'!$B$13,Paramètres!$A$1:$I$89,3,0)*VLOOKUP('Données projet'!$B$13,Paramètres!$A$1:$I$89,5,0)</f>
        <v>246.51200000000011</v>
      </c>
      <c r="CV131" s="14">
        <f t="shared" si="95"/>
        <v>59.838428486895111</v>
      </c>
      <c r="CW131" s="22">
        <f t="shared" si="67"/>
        <v>533.56032961467588</v>
      </c>
      <c r="CX131" s="60">
        <f t="shared" si="68"/>
        <v>826.89366294800925</v>
      </c>
      <c r="CY131" s="60">
        <f ca="1">AVERAGE(OFFSET($CX$3,0,0,'Données projet'!$E$13+1,1))-AVERAGE(OFFSET($H$3,0,0,'Données projet'!$E$13+1,1))</f>
        <v>279.37339904167601</v>
      </c>
      <c r="CZ131" s="60">
        <f t="shared" si="96"/>
        <v>163.80861186980007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0" t="e">
        <f t="shared" si="71"/>
        <v>#N/A</v>
      </c>
      <c r="DT131" s="60" t="e">
        <f ca="1">AVERAGE(OFFSET($DS$3,0,0,'Données projet'!$E$14+1,1))-AVERAGE(OFFSET($H$3,0,0,'Données projet'!$E$14+1,1))</f>
        <v>#N/A</v>
      </c>
      <c r="DU131" s="60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35.217000000000006</v>
      </c>
      <c r="D132" s="12">
        <f t="shared" si="86"/>
        <v>10.721670290761447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354.6142969813165</v>
      </c>
      <c r="H132" s="68">
        <f t="shared" ref="H132:H195" si="110">(B132+E132+F132)*44/12+(C132+D132)*0.475*44/12</f>
        <v>373.34318408974286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0">
        <f t="shared" si="109"/>
        <v>293.33333333333439</v>
      </c>
      <c r="S132" s="60">
        <f ca="1">AVERAGE(OFFSET($R$3,0,0,'Données projet'!$E$9+1,1))-AVERAGE(OFFSET($H$3,0,0,'Données projet'!$E$9+1,1))</f>
        <v>223.38593045370783</v>
      </c>
      <c r="T132" s="60">
        <f t="shared" si="88"/>
        <v>161.68519532023998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5.1159076974727213E-13</v>
      </c>
      <c r="AJ132" s="14">
        <f>AI132*VLOOKUP('Données projet'!$B$10,Paramètres!$A$1:$I$89,3,0)*VLOOKUP('Données projet'!$B$10,Paramètres!$A$1:$I$89,5,0)</f>
        <v>3.0593128030886877E-13</v>
      </c>
      <c r="AK132" s="14">
        <f t="shared" si="89"/>
        <v>4.0350537939347394E-12</v>
      </c>
      <c r="AL132" s="22">
        <f t="shared" ref="AL132:AL153" si="112">(AJ132+AK132)*0.475*44/12</f>
        <v>7.5605490043076185E-12</v>
      </c>
      <c r="AM132" s="60">
        <f t="shared" ref="AM132:AM195" si="113">AL132+(AD132+AE132)*44/12</f>
        <v>293.33333333334087</v>
      </c>
      <c r="AN132" s="60">
        <f ca="1">AVERAGE(OFFSET($AM$3,0,0,'Données projet'!$E$10+1,1))-AVERAGE(OFFSET($H$3,0,0,'Données projet'!$E$10+1,1))</f>
        <v>216.19747366796145</v>
      </c>
      <c r="AO132" s="60">
        <f t="shared" si="90"/>
        <v>122.08911898780889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1.5635446503684753E-14</v>
      </c>
      <c r="AX132" s="23">
        <f t="shared" ref="AX132:AX153" si="114">SUM(AU132:AW132)</f>
        <v>1.5635446503684753E-14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-6.2527760746888816E-13</v>
      </c>
      <c r="BE132" s="14">
        <f>BD132*VLOOKUP('Données projet'!$B$11,Paramètres!$A$1:$I$89,3,0)*VLOOKUP('Données projet'!$B$11,Paramètres!$A$1:$I$89,5,0)</f>
        <v>-2.9262992029543964E-13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179.52358670810645</v>
      </c>
      <c r="BJ132" s="60">
        <f t="shared" si="92"/>
        <v>89.471764801078166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2.0512820512820498</v>
      </c>
      <c r="BY132" s="13">
        <f>IF('Données projet'!$A$114&gt;35,BY131+BX132-CG131,IF(A132&lt;'Données projet'!$A$114,$BV$205^A132,IF(A132='Données projet'!$A$114,'Données projet'!$B$114,BY131+BX132-CG131)))</f>
        <v>256.92307692307702</v>
      </c>
      <c r="BZ132" s="14">
        <f>BY132*VLOOKUP('Données projet'!$B$12,Paramètres!$A$1:$I$89,3,0)*VLOOKUP('Données projet'!$B$12,Paramètres!$A$1:$I$89,5,0)</f>
        <v>268.53600000000017</v>
      </c>
      <c r="CA132" s="14">
        <f t="shared" si="93"/>
        <v>64.538473292624303</v>
      </c>
      <c r="CB132" s="22">
        <f t="shared" ref="CB132:CB153" si="118">(BZ132+CA132)*0.475*44/12</f>
        <v>580.10470765132095</v>
      </c>
      <c r="CC132" s="60">
        <f t="shared" ref="CC132:CC195" si="119">CB132+(BT132+BU132)*44/12</f>
        <v>873.43804098465421</v>
      </c>
      <c r="CD132" s="60">
        <f ca="1">AVERAGE(OFFSET($CC$3,0,0,'Données projet'!$E$12+1,1))-AVERAGE(OFFSET($H$3,0,0,'Données projet'!$E$12+1,1))</f>
        <v>304.57411436867147</v>
      </c>
      <c r="CE132" s="60">
        <f t="shared" si="94"/>
        <v>178.19974548556962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2.0512820512820498</v>
      </c>
      <c r="CT132" s="13">
        <f>IF('Données projet'!$A$140&gt;35,CT131+CS132-DB131,IF(A132&lt;'Données projet'!$A$140,$CQ$205^A132,IF(A132='Données projet'!$A$140,'Données projet'!$B$140,CT131+CS132-DB131)))</f>
        <v>256.92307692307702</v>
      </c>
      <c r="CU132" s="18">
        <f>CT132*VLOOKUP('Données projet'!$B$13,Paramètres!$A$1:$I$89,3,0)*VLOOKUP('Données projet'!$B$13,Paramètres!$A$1:$I$89,5,0)</f>
        <v>248.49600000000012</v>
      </c>
      <c r="CV132" s="14">
        <f t="shared" si="95"/>
        <v>60.263768872378151</v>
      </c>
      <c r="CW132" s="22">
        <f t="shared" ref="CW132:CW153" si="121">(CU132+CV132)*0.475*44/12</f>
        <v>537.75659745272549</v>
      </c>
      <c r="CX132" s="60">
        <f t="shared" ref="CX132:CX195" si="122">CW132+(CO132+CP132)*44/12</f>
        <v>831.08993078605886</v>
      </c>
      <c r="CY132" s="60">
        <f ca="1">AVERAGE(OFFSET($CX$3,0,0,'Données projet'!$E$13+1,1))-AVERAGE(OFFSET($H$3,0,0,'Données projet'!$E$13+1,1))</f>
        <v>279.37339904167601</v>
      </c>
      <c r="CZ132" s="60">
        <f t="shared" si="96"/>
        <v>163.80861186980007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0" t="e">
        <f t="shared" ref="DS132:DS195" si="125">DR132+(DJ132+DK132)*44/12</f>
        <v>#N/A</v>
      </c>
      <c r="DT132" s="60" t="e">
        <f ca="1">AVERAGE(OFFSET($DS$3,0,0,'Données projet'!$E$14+1,1))-AVERAGE(OFFSET($H$3,0,0,'Données projet'!$E$14+1,1))</f>
        <v>#N/A</v>
      </c>
      <c r="DU132" s="60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35.490000000000009</v>
      </c>
      <c r="D133" s="12">
        <f t="shared" ref="D133:D196" si="140">IFERROR(EXP(-1.0587+0.8836*LN(C133)+0.284),0)</f>
        <v>10.795076538684516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357.28831012317875</v>
      </c>
      <c r="H133" s="68">
        <f t="shared" si="110"/>
        <v>373.94650830487552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0">
        <f t="shared" si="109"/>
        <v>293.33333333333439</v>
      </c>
      <c r="S133" s="60">
        <f ca="1">AVERAGE(OFFSET($R$3,0,0,'Données projet'!$E$9+1,1))-AVERAGE(OFFSET($H$3,0,0,'Données projet'!$E$9+1,1))</f>
        <v>223.38593045370783</v>
      </c>
      <c r="T133" s="60">
        <f t="shared" ref="T133:T196" si="142">$T$3</f>
        <v>161.68519532023998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5.1159076974727213E-13</v>
      </c>
      <c r="AJ133" s="14">
        <f>AI133*VLOOKUP('Données projet'!$B$10,Paramètres!$A$1:$I$89,3,0)*VLOOKUP('Données projet'!$B$10,Paramètres!$A$1:$I$89,5,0)</f>
        <v>3.0593128030886877E-13</v>
      </c>
      <c r="AK133" s="14">
        <f t="shared" ref="AK133:AK153" si="143">EXP(-1.0587+0.8836*LN(AJ133)+0.284)</f>
        <v>4.0350537939347394E-12</v>
      </c>
      <c r="AL133" s="22">
        <f t="shared" si="112"/>
        <v>7.5605490043076185E-12</v>
      </c>
      <c r="AM133" s="60">
        <f t="shared" si="113"/>
        <v>293.33333333334087</v>
      </c>
      <c r="AN133" s="60">
        <f ca="1">AVERAGE(OFFSET($AM$3,0,0,'Données projet'!$E$10+1,1))-AVERAGE(OFFSET($H$3,0,0,'Données projet'!$E$10+1,1))</f>
        <v>216.19747366796145</v>
      </c>
      <c r="AO133" s="60">
        <f t="shared" ref="AO133:AO196" si="144">$AO$3</f>
        <v>122.08911898780889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1.1055930249634984E-14</v>
      </c>
      <c r="AX133" s="23">
        <f t="shared" si="114"/>
        <v>1.1055930249634984E-14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-6.2527760746888816E-13</v>
      </c>
      <c r="BE133" s="14">
        <f>BD133*VLOOKUP('Données projet'!$B$11,Paramètres!$A$1:$I$89,3,0)*VLOOKUP('Données projet'!$B$11,Paramètres!$A$1:$I$89,5,0)</f>
        <v>-2.9262992029543964E-13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179.52358670810645</v>
      </c>
      <c r="BJ133" s="60">
        <f t="shared" ref="BJ133:BJ196" si="146">$BJ$3</f>
        <v>89.471764801078166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258.97435897435895</v>
      </c>
      <c r="BW133" s="13">
        <f>VLOOKUP(A133,'Données projet'!$A$113:$I$133,9,0)</f>
        <v>2.0512820512820498</v>
      </c>
      <c r="BX133" s="13">
        <f t="array" ref="BX133">INDEX(BW:BW,MIN(IF(ISNUMBER(BW133:BW329),ROW(BW133:BW329),"")))</f>
        <v>2.0512820512820498</v>
      </c>
      <c r="BY133" s="13">
        <f>IF('Données projet'!$A$114&gt;35,BY132+BX133-CG132,IF(A133&lt;'Données projet'!$A$114,$BV$205^A133,IF(A133='Données projet'!$A$114,'Données projet'!$B$114,BY132+BX133-CG132)))</f>
        <v>258.97435897435906</v>
      </c>
      <c r="BZ133" s="14">
        <f>BY133*VLOOKUP('Données projet'!$B$12,Paramètres!$A$1:$I$89,3,0)*VLOOKUP('Données projet'!$B$12,Paramètres!$A$1:$I$89,5,0)</f>
        <v>270.68000000000012</v>
      </c>
      <c r="CA133" s="14">
        <f t="shared" ref="CA133:CA153" si="147">EXP(-1.0587+0.8836*LN(BZ133)+0.284)</f>
        <v>64.993561316583325</v>
      </c>
      <c r="CB133" s="22">
        <f t="shared" si="118"/>
        <v>584.63145262638284</v>
      </c>
      <c r="CC133" s="60">
        <f t="shared" si="119"/>
        <v>877.96478595971621</v>
      </c>
      <c r="CD133" s="60">
        <f ca="1">AVERAGE(OFFSET($CC$3,0,0,'Données projet'!$E$12+1,1))-AVERAGE(OFFSET($H$3,0,0,'Données projet'!$E$12+1,1))</f>
        <v>304.57411436867147</v>
      </c>
      <c r="CE133" s="60">
        <f t="shared" ref="CE133:CE196" si="148">$CE$3</f>
        <v>178.19974548556962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258.97435897435895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258.97435897435895</v>
      </c>
      <c r="CR133" s="13">
        <f>VLOOKUP(A133,'Données projet'!$A$139:$I$159,9,0)</f>
        <v>2.0512820512820498</v>
      </c>
      <c r="CS133" s="13">
        <f t="array" ref="CS133">INDEX(CR:CR,MIN(IF(ISNUMBER(CR133:CR329),ROW(CR133:CR329),"")))</f>
        <v>2.0512820512820498</v>
      </c>
      <c r="CT133" s="13">
        <f>IF('Données projet'!$A$140&gt;35,CT132+CS133-DB132,IF(A133&lt;'Données projet'!$A$140,$CQ$205^A133,IF(A133='Données projet'!$A$140,'Données projet'!$B$140,CT132+CS133-DB132)))</f>
        <v>258.97435897435906</v>
      </c>
      <c r="CU133" s="18">
        <f>CT133*VLOOKUP('Données projet'!$B$13,Paramètres!$A$1:$I$89,3,0)*VLOOKUP('Données projet'!$B$13,Paramètres!$A$1:$I$89,5,0)</f>
        <v>250.4800000000001</v>
      </c>
      <c r="CV133" s="14">
        <f t="shared" ref="CV133:CV153" si="149">EXP(-1.0587+0.8836*LN(CU133)+0.284)</f>
        <v>60.688714150648181</v>
      </c>
      <c r="CW133" s="22">
        <f t="shared" si="121"/>
        <v>541.95217714571231</v>
      </c>
      <c r="CX133" s="60">
        <f t="shared" si="122"/>
        <v>835.28551047904557</v>
      </c>
      <c r="CY133" s="60">
        <f ca="1">AVERAGE(OFFSET($CX$3,0,0,'Données projet'!$E$13+1,1))-AVERAGE(OFFSET($H$3,0,0,'Données projet'!$E$13+1,1))</f>
        <v>279.37339904167601</v>
      </c>
      <c r="CZ133" s="60">
        <f t="shared" ref="CZ133:CZ196" si="150">$CZ$3</f>
        <v>163.80861186980007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258.97435897435895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0" t="e">
        <f t="shared" si="125"/>
        <v>#N/A</v>
      </c>
      <c r="DT133" s="60" t="e">
        <f ca="1">AVERAGE(OFFSET($DS$3,0,0,'Données projet'!$E$14+1,1))-AVERAGE(OFFSET($H$3,0,0,'Données projet'!$E$14+1,1))</f>
        <v>#N/A</v>
      </c>
      <c r="DU133" s="60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35.763000000000012</v>
      </c>
      <c r="D134" s="12">
        <f t="shared" si="140"/>
        <v>10.868417088513807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359.96181612186109</v>
      </c>
      <c r="H134" s="68">
        <f t="shared" si="110"/>
        <v>374.54971809582821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0">
        <f t="shared" si="109"/>
        <v>293.33333333333439</v>
      </c>
      <c r="S134" s="60">
        <f ca="1">AVERAGE(OFFSET($R$3,0,0,'Données projet'!$E$9+1,1))-AVERAGE(OFFSET($H$3,0,0,'Données projet'!$E$9+1,1))</f>
        <v>223.38593045370783</v>
      </c>
      <c r="T134" s="60">
        <f t="shared" si="142"/>
        <v>161.68519532023998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5.1159076974727213E-13</v>
      </c>
      <c r="AJ134" s="14">
        <f>AI134*VLOOKUP('Données projet'!$B$10,Paramètres!$A$1:$I$89,3,0)*VLOOKUP('Données projet'!$B$10,Paramètres!$A$1:$I$89,5,0)</f>
        <v>3.0593128030886877E-13</v>
      </c>
      <c r="AK134" s="14">
        <f t="shared" si="143"/>
        <v>4.0350537939347394E-12</v>
      </c>
      <c r="AL134" s="22">
        <f t="shared" si="112"/>
        <v>7.5605490043076185E-12</v>
      </c>
      <c r="AM134" s="60">
        <f t="shared" si="113"/>
        <v>293.33333333334087</v>
      </c>
      <c r="AN134" s="60">
        <f ca="1">AVERAGE(OFFSET($AM$3,0,0,'Données projet'!$E$10+1,1))-AVERAGE(OFFSET($H$3,0,0,'Données projet'!$E$10+1,1))</f>
        <v>216.19747366796145</v>
      </c>
      <c r="AO134" s="60">
        <f t="shared" si="144"/>
        <v>122.08911898780889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7.8177232518423765E-15</v>
      </c>
      <c r="AX134" s="23">
        <f t="shared" si="114"/>
        <v>7.8177232518423765E-15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-6.2527760746888816E-13</v>
      </c>
      <c r="BE134" s="14">
        <f>BD134*VLOOKUP('Données projet'!$B$11,Paramètres!$A$1:$I$89,3,0)*VLOOKUP('Données projet'!$B$11,Paramètres!$A$1:$I$89,5,0)</f>
        <v>-2.9262992029543964E-13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179.52358670810645</v>
      </c>
      <c r="BJ134" s="60">
        <f t="shared" si="146"/>
        <v>89.471764801078166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1.1882548278663309E-13</v>
      </c>
      <c r="CA134" s="14">
        <f t="shared" si="147"/>
        <v>1.7496137229198366E-12</v>
      </c>
      <c r="CB134" s="22">
        <f t="shared" si="118"/>
        <v>3.2541982832721012E-12</v>
      </c>
      <c r="CC134" s="60">
        <f t="shared" si="119"/>
        <v>293.33333333333655</v>
      </c>
      <c r="CD134" s="60">
        <f ca="1">AVERAGE(OFFSET($CC$3,0,0,'Données projet'!$E$12+1,1))-AVERAGE(OFFSET($H$3,0,0,'Données projet'!$E$12+1,1))</f>
        <v>304.57411436867147</v>
      </c>
      <c r="CE134" s="60">
        <f t="shared" si="148"/>
        <v>178.19974548556962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1.0995790944434703E-13</v>
      </c>
      <c r="CV134" s="14">
        <f t="shared" si="149"/>
        <v>1.6337280948049956E-12</v>
      </c>
      <c r="CW134" s="22">
        <f t="shared" si="121"/>
        <v>3.036919790734272E-12</v>
      </c>
      <c r="CX134" s="60">
        <f t="shared" si="122"/>
        <v>293.33333333333633</v>
      </c>
      <c r="CY134" s="60">
        <f ca="1">AVERAGE(OFFSET($CX$3,0,0,'Données projet'!$E$13+1,1))-AVERAGE(OFFSET($H$3,0,0,'Données projet'!$E$13+1,1))</f>
        <v>279.37339904167601</v>
      </c>
      <c r="CZ134" s="60">
        <f t="shared" si="150"/>
        <v>163.80861186980007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0" t="e">
        <f t="shared" si="125"/>
        <v>#N/A</v>
      </c>
      <c r="DT134" s="60" t="e">
        <f ca="1">AVERAGE(OFFSET($DS$3,0,0,'Données projet'!$E$14+1,1))-AVERAGE(OFFSET($H$3,0,0,'Données projet'!$E$14+1,1))</f>
        <v>#N/A</v>
      </c>
      <c r="DU134" s="60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36.036000000000016</v>
      </c>
      <c r="D135" s="12">
        <f t="shared" si="140"/>
        <v>10.941692499899746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362.63481929747178</v>
      </c>
      <c r="H135" s="68">
        <f t="shared" si="110"/>
        <v>375.15281443732539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0">
        <f t="shared" si="109"/>
        <v>293.33333333333439</v>
      </c>
      <c r="S135" s="60">
        <f ca="1">AVERAGE(OFFSET($R$3,0,0,'Données projet'!$E$9+1,1))-AVERAGE(OFFSET($H$3,0,0,'Données projet'!$E$9+1,1))</f>
        <v>223.38593045370783</v>
      </c>
      <c r="T135" s="60">
        <f t="shared" si="142"/>
        <v>161.68519532023998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5.1159076974727213E-13</v>
      </c>
      <c r="AJ135" s="14">
        <f>AI135*VLOOKUP('Données projet'!$B$10,Paramètres!$A$1:$I$89,3,0)*VLOOKUP('Données projet'!$B$10,Paramètres!$A$1:$I$89,5,0)</f>
        <v>3.0593128030886877E-13</v>
      </c>
      <c r="AK135" s="14">
        <f t="shared" si="143"/>
        <v>4.0350537939347394E-12</v>
      </c>
      <c r="AL135" s="22">
        <f t="shared" si="112"/>
        <v>7.5605490043076185E-12</v>
      </c>
      <c r="AM135" s="60">
        <f t="shared" si="113"/>
        <v>293.33333333334087</v>
      </c>
      <c r="AN135" s="60">
        <f ca="1">AVERAGE(OFFSET($AM$3,0,0,'Données projet'!$E$10+1,1))-AVERAGE(OFFSET($H$3,0,0,'Données projet'!$E$10+1,1))</f>
        <v>216.19747366796145</v>
      </c>
      <c r="AO135" s="60">
        <f t="shared" si="144"/>
        <v>122.08911898780889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5.5279651248174922E-15</v>
      </c>
      <c r="AX135" s="23">
        <f t="shared" si="114"/>
        <v>5.5279651248174922E-15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-6.2527760746888816E-13</v>
      </c>
      <c r="BE135" s="14">
        <f>BD135*VLOOKUP('Données projet'!$B$11,Paramètres!$A$1:$I$89,3,0)*VLOOKUP('Données projet'!$B$11,Paramètres!$A$1:$I$89,5,0)</f>
        <v>-2.9262992029543964E-13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179.52358670810645</v>
      </c>
      <c r="BJ135" s="60">
        <f t="shared" si="146"/>
        <v>89.471764801078166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1.1882548278663309E-13</v>
      </c>
      <c r="CA135" s="14">
        <f t="shared" si="147"/>
        <v>1.7496137229198366E-12</v>
      </c>
      <c r="CB135" s="22">
        <f t="shared" si="118"/>
        <v>3.2541982832721012E-12</v>
      </c>
      <c r="CC135" s="60">
        <f t="shared" si="119"/>
        <v>293.33333333333655</v>
      </c>
      <c r="CD135" s="60">
        <f ca="1">AVERAGE(OFFSET($CC$3,0,0,'Données projet'!$E$12+1,1))-AVERAGE(OFFSET($H$3,0,0,'Données projet'!$E$12+1,1))</f>
        <v>304.57411436867147</v>
      </c>
      <c r="CE135" s="60">
        <f t="shared" si="148"/>
        <v>178.19974548556962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1.0995790944434703E-13</v>
      </c>
      <c r="CV135" s="14">
        <f t="shared" si="149"/>
        <v>1.6337280948049956E-12</v>
      </c>
      <c r="CW135" s="22">
        <f t="shared" si="121"/>
        <v>3.036919790734272E-12</v>
      </c>
      <c r="CX135" s="60">
        <f t="shared" si="122"/>
        <v>293.33333333333633</v>
      </c>
      <c r="CY135" s="60">
        <f ca="1">AVERAGE(OFFSET($CX$3,0,0,'Données projet'!$E$13+1,1))-AVERAGE(OFFSET($H$3,0,0,'Données projet'!$E$13+1,1))</f>
        <v>279.37339904167601</v>
      </c>
      <c r="CZ135" s="60">
        <f t="shared" si="150"/>
        <v>163.80861186980007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0" t="e">
        <f t="shared" si="125"/>
        <v>#N/A</v>
      </c>
      <c r="DT135" s="60" t="e">
        <f ca="1">AVERAGE(OFFSET($DS$3,0,0,'Données projet'!$E$14+1,1))-AVERAGE(OFFSET($H$3,0,0,'Données projet'!$E$14+1,1))</f>
        <v>#N/A</v>
      </c>
      <c r="DU135" s="60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36.309000000000019</v>
      </c>
      <c r="D136" s="12">
        <f t="shared" si="140"/>
        <v>11.014903323523397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365.30732390088252</v>
      </c>
      <c r="H136" s="68">
        <f t="shared" si="110"/>
        <v>375.75579828846992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0">
        <f t="shared" si="109"/>
        <v>293.33333333333439</v>
      </c>
      <c r="S136" s="60">
        <f ca="1">AVERAGE(OFFSET($R$3,0,0,'Données projet'!$E$9+1,1))-AVERAGE(OFFSET($H$3,0,0,'Données projet'!$E$9+1,1))</f>
        <v>223.38593045370783</v>
      </c>
      <c r="T136" s="60">
        <f t="shared" si="142"/>
        <v>161.68519532023998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5.1159076974727213E-13</v>
      </c>
      <c r="AJ136" s="14">
        <f>AI136*VLOOKUP('Données projet'!$B$10,Paramètres!$A$1:$I$89,3,0)*VLOOKUP('Données projet'!$B$10,Paramètres!$A$1:$I$89,5,0)</f>
        <v>3.0593128030886877E-13</v>
      </c>
      <c r="AK136" s="14">
        <f t="shared" si="143"/>
        <v>4.0350537939347394E-12</v>
      </c>
      <c r="AL136" s="22">
        <f t="shared" si="112"/>
        <v>7.5605490043076185E-12</v>
      </c>
      <c r="AM136" s="60">
        <f t="shared" si="113"/>
        <v>293.33333333334087</v>
      </c>
      <c r="AN136" s="60">
        <f ca="1">AVERAGE(OFFSET($AM$3,0,0,'Données projet'!$E$10+1,1))-AVERAGE(OFFSET($H$3,0,0,'Données projet'!$E$10+1,1))</f>
        <v>216.19747366796145</v>
      </c>
      <c r="AO136" s="60">
        <f t="shared" si="144"/>
        <v>122.08911898780889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3.9088616259211883E-15</v>
      </c>
      <c r="AX136" s="23">
        <f t="shared" si="114"/>
        <v>3.9088616259211883E-15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-6.2527760746888816E-13</v>
      </c>
      <c r="BE136" s="14">
        <f>BD136*VLOOKUP('Données projet'!$B$11,Paramètres!$A$1:$I$89,3,0)*VLOOKUP('Données projet'!$B$11,Paramètres!$A$1:$I$89,5,0)</f>
        <v>-2.9262992029543964E-13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179.52358670810645</v>
      </c>
      <c r="BJ136" s="60">
        <f t="shared" si="146"/>
        <v>89.471764801078166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1.1882548278663309E-13</v>
      </c>
      <c r="CA136" s="14">
        <f t="shared" si="147"/>
        <v>1.7496137229198366E-12</v>
      </c>
      <c r="CB136" s="22">
        <f t="shared" si="118"/>
        <v>3.2541982832721012E-12</v>
      </c>
      <c r="CC136" s="60">
        <f t="shared" si="119"/>
        <v>293.33333333333655</v>
      </c>
      <c r="CD136" s="60">
        <f ca="1">AVERAGE(OFFSET($CC$3,0,0,'Données projet'!$E$12+1,1))-AVERAGE(OFFSET($H$3,0,0,'Données projet'!$E$12+1,1))</f>
        <v>304.57411436867147</v>
      </c>
      <c r="CE136" s="60">
        <f t="shared" si="148"/>
        <v>178.19974548556962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1.0995790944434703E-13</v>
      </c>
      <c r="CV136" s="14">
        <f t="shared" si="149"/>
        <v>1.6337280948049956E-12</v>
      </c>
      <c r="CW136" s="22">
        <f t="shared" si="121"/>
        <v>3.036919790734272E-12</v>
      </c>
      <c r="CX136" s="60">
        <f t="shared" si="122"/>
        <v>293.33333333333633</v>
      </c>
      <c r="CY136" s="60">
        <f ca="1">AVERAGE(OFFSET($CX$3,0,0,'Données projet'!$E$13+1,1))-AVERAGE(OFFSET($H$3,0,0,'Données projet'!$E$13+1,1))</f>
        <v>279.37339904167601</v>
      </c>
      <c r="CZ136" s="60">
        <f t="shared" si="150"/>
        <v>163.80861186980007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0" t="e">
        <f t="shared" si="125"/>
        <v>#N/A</v>
      </c>
      <c r="DT136" s="60" t="e">
        <f ca="1">AVERAGE(OFFSET($DS$3,0,0,'Données projet'!$E$14+1,1))-AVERAGE(OFFSET($H$3,0,0,'Données projet'!$E$14+1,1))</f>
        <v>#N/A</v>
      </c>
      <c r="DU136" s="60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36.582000000000022</v>
      </c>
      <c r="D137" s="12">
        <f t="shared" si="140"/>
        <v>11.088050101306525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367.97933411534876</v>
      </c>
      <c r="H137" s="68">
        <f t="shared" si="110"/>
        <v>376.35867059310885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0">
        <f t="shared" si="109"/>
        <v>293.33333333333439</v>
      </c>
      <c r="S137" s="60">
        <f ca="1">AVERAGE(OFFSET($R$3,0,0,'Données projet'!$E$9+1,1))-AVERAGE(OFFSET($H$3,0,0,'Données projet'!$E$9+1,1))</f>
        <v>223.38593045370783</v>
      </c>
      <c r="T137" s="60">
        <f t="shared" si="142"/>
        <v>161.68519532023998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5.1159076974727213E-13</v>
      </c>
      <c r="AJ137" s="14">
        <f>AI137*VLOOKUP('Données projet'!$B$10,Paramètres!$A$1:$I$89,3,0)*VLOOKUP('Données projet'!$B$10,Paramètres!$A$1:$I$89,5,0)</f>
        <v>3.0593128030886877E-13</v>
      </c>
      <c r="AK137" s="14">
        <f t="shared" si="143"/>
        <v>4.0350537939347394E-12</v>
      </c>
      <c r="AL137" s="22">
        <f t="shared" si="112"/>
        <v>7.5605490043076185E-12</v>
      </c>
      <c r="AM137" s="60">
        <f t="shared" si="113"/>
        <v>293.33333333334087</v>
      </c>
      <c r="AN137" s="60">
        <f ca="1">AVERAGE(OFFSET($AM$3,0,0,'Données projet'!$E$10+1,1))-AVERAGE(OFFSET($H$3,0,0,'Données projet'!$E$10+1,1))</f>
        <v>216.19747366796145</v>
      </c>
      <c r="AO137" s="60">
        <f t="shared" si="144"/>
        <v>122.08911898780889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2.7639825624087461E-15</v>
      </c>
      <c r="AX137" s="23">
        <f t="shared" si="114"/>
        <v>2.7639825624087461E-15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-6.2527760746888816E-13</v>
      </c>
      <c r="BE137" s="14">
        <f>BD137*VLOOKUP('Données projet'!$B$11,Paramètres!$A$1:$I$89,3,0)*VLOOKUP('Données projet'!$B$11,Paramètres!$A$1:$I$89,5,0)</f>
        <v>-2.9262992029543964E-13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179.52358670810645</v>
      </c>
      <c r="BJ137" s="60">
        <f t="shared" si="146"/>
        <v>89.471764801078166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1.1882548278663309E-13</v>
      </c>
      <c r="CA137" s="14">
        <f t="shared" si="147"/>
        <v>1.7496137229198366E-12</v>
      </c>
      <c r="CB137" s="22">
        <f t="shared" si="118"/>
        <v>3.2541982832721012E-12</v>
      </c>
      <c r="CC137" s="60">
        <f t="shared" si="119"/>
        <v>293.33333333333655</v>
      </c>
      <c r="CD137" s="60">
        <f ca="1">AVERAGE(OFFSET($CC$3,0,0,'Données projet'!$E$12+1,1))-AVERAGE(OFFSET($H$3,0,0,'Données projet'!$E$12+1,1))</f>
        <v>304.57411436867147</v>
      </c>
      <c r="CE137" s="60">
        <f t="shared" si="148"/>
        <v>178.19974548556962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1.0995790944434703E-13</v>
      </c>
      <c r="CV137" s="14">
        <f t="shared" si="149"/>
        <v>1.6337280948049956E-12</v>
      </c>
      <c r="CW137" s="22">
        <f t="shared" si="121"/>
        <v>3.036919790734272E-12</v>
      </c>
      <c r="CX137" s="60">
        <f t="shared" si="122"/>
        <v>293.33333333333633</v>
      </c>
      <c r="CY137" s="60">
        <f ca="1">AVERAGE(OFFSET($CX$3,0,0,'Données projet'!$E$13+1,1))-AVERAGE(OFFSET($H$3,0,0,'Données projet'!$E$13+1,1))</f>
        <v>279.37339904167601</v>
      </c>
      <c r="CZ137" s="60">
        <f t="shared" si="150"/>
        <v>163.80861186980007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0" t="e">
        <f t="shared" si="125"/>
        <v>#N/A</v>
      </c>
      <c r="DT137" s="60" t="e">
        <f ca="1">AVERAGE(OFFSET($DS$3,0,0,'Données projet'!$E$14+1,1))-AVERAGE(OFFSET($H$3,0,0,'Données projet'!$E$14+1,1))</f>
        <v>#N/A</v>
      </c>
      <c r="DU137" s="60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36.855000000000025</v>
      </c>
      <c r="D138" s="12">
        <f t="shared" si="140"/>
        <v>11.161133366615282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370.6508540580831</v>
      </c>
      <c r="H138" s="68">
        <f t="shared" si="110"/>
        <v>376.96143228018832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0">
        <f t="shared" si="109"/>
        <v>293.33333333333439</v>
      </c>
      <c r="S138" s="60">
        <f ca="1">AVERAGE(OFFSET($R$3,0,0,'Données projet'!$E$9+1,1))-AVERAGE(OFFSET($H$3,0,0,'Données projet'!$E$9+1,1))</f>
        <v>223.38593045370783</v>
      </c>
      <c r="T138" s="60">
        <f t="shared" si="142"/>
        <v>161.68519532023998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5.1159076974727213E-13</v>
      </c>
      <c r="AJ138" s="14">
        <f>AI138*VLOOKUP('Données projet'!$B$10,Paramètres!$A$1:$I$89,3,0)*VLOOKUP('Données projet'!$B$10,Paramètres!$A$1:$I$89,5,0)</f>
        <v>3.0593128030886877E-13</v>
      </c>
      <c r="AK138" s="14">
        <f t="shared" si="143"/>
        <v>4.0350537939347394E-12</v>
      </c>
      <c r="AL138" s="22">
        <f t="shared" si="112"/>
        <v>7.5605490043076185E-12</v>
      </c>
      <c r="AM138" s="60">
        <f t="shared" si="113"/>
        <v>293.33333333334087</v>
      </c>
      <c r="AN138" s="60">
        <f ca="1">AVERAGE(OFFSET($AM$3,0,0,'Données projet'!$E$10+1,1))-AVERAGE(OFFSET($H$3,0,0,'Données projet'!$E$10+1,1))</f>
        <v>216.19747366796145</v>
      </c>
      <c r="AO138" s="60">
        <f t="shared" si="144"/>
        <v>122.08911898780889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1.9544308129605941E-15</v>
      </c>
      <c r="AX138" s="23">
        <f t="shared" si="114"/>
        <v>1.9544308129605941E-15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-6.2527760746888816E-13</v>
      </c>
      <c r="BE138" s="14">
        <f>BD138*VLOOKUP('Données projet'!$B$11,Paramètres!$A$1:$I$89,3,0)*VLOOKUP('Données projet'!$B$11,Paramètres!$A$1:$I$89,5,0)</f>
        <v>-2.9262992029543964E-13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179.52358670810645</v>
      </c>
      <c r="BJ138" s="60">
        <f t="shared" si="146"/>
        <v>89.471764801078166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1.1882548278663309E-13</v>
      </c>
      <c r="CA138" s="14">
        <f t="shared" si="147"/>
        <v>1.7496137229198366E-12</v>
      </c>
      <c r="CB138" s="22">
        <f t="shared" si="118"/>
        <v>3.2541982832721012E-12</v>
      </c>
      <c r="CC138" s="60">
        <f t="shared" si="119"/>
        <v>293.33333333333655</v>
      </c>
      <c r="CD138" s="60">
        <f ca="1">AVERAGE(OFFSET($CC$3,0,0,'Données projet'!$E$12+1,1))-AVERAGE(OFFSET($H$3,0,0,'Données projet'!$E$12+1,1))</f>
        <v>304.57411436867147</v>
      </c>
      <c r="CE138" s="60">
        <f t="shared" si="148"/>
        <v>178.19974548556962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1.0995790944434703E-13</v>
      </c>
      <c r="CV138" s="14">
        <f t="shared" si="149"/>
        <v>1.6337280948049956E-12</v>
      </c>
      <c r="CW138" s="22">
        <f t="shared" si="121"/>
        <v>3.036919790734272E-12</v>
      </c>
      <c r="CX138" s="60">
        <f t="shared" si="122"/>
        <v>293.33333333333633</v>
      </c>
      <c r="CY138" s="60">
        <f ca="1">AVERAGE(OFFSET($CX$3,0,0,'Données projet'!$E$13+1,1))-AVERAGE(OFFSET($H$3,0,0,'Données projet'!$E$13+1,1))</f>
        <v>279.37339904167601</v>
      </c>
      <c r="CZ138" s="60">
        <f t="shared" si="150"/>
        <v>163.80861186980007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0" t="e">
        <f t="shared" si="125"/>
        <v>#N/A</v>
      </c>
      <c r="DT138" s="60" t="e">
        <f ca="1">AVERAGE(OFFSET($DS$3,0,0,'Données projet'!$E$14+1,1))-AVERAGE(OFFSET($H$3,0,0,'Données projet'!$E$14+1,1))</f>
        <v>#N/A</v>
      </c>
      <c r="DU138" s="60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37.128000000000029</v>
      </c>
      <c r="D139" s="12">
        <f t="shared" si="140"/>
        <v>11.234153644457562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373.32188778177789</v>
      </c>
      <c r="H139" s="68">
        <f t="shared" si="110"/>
        <v>377.56408426409695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0">
        <f t="shared" si="109"/>
        <v>293.33333333333439</v>
      </c>
      <c r="S139" s="60">
        <f ca="1">AVERAGE(OFFSET($R$3,0,0,'Données projet'!$E$9+1,1))-AVERAGE(OFFSET($H$3,0,0,'Données projet'!$E$9+1,1))</f>
        <v>223.38593045370783</v>
      </c>
      <c r="T139" s="60">
        <f t="shared" si="142"/>
        <v>161.68519532023998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5.1159076974727213E-13</v>
      </c>
      <c r="AJ139" s="14">
        <f>AI139*VLOOKUP('Données projet'!$B$10,Paramètres!$A$1:$I$89,3,0)*VLOOKUP('Données projet'!$B$10,Paramètres!$A$1:$I$89,5,0)</f>
        <v>3.0593128030886877E-13</v>
      </c>
      <c r="AK139" s="14">
        <f t="shared" si="143"/>
        <v>4.0350537939347394E-12</v>
      </c>
      <c r="AL139" s="22">
        <f t="shared" si="112"/>
        <v>7.5605490043076185E-12</v>
      </c>
      <c r="AM139" s="60">
        <f t="shared" si="113"/>
        <v>293.33333333334087</v>
      </c>
      <c r="AN139" s="60">
        <f ca="1">AVERAGE(OFFSET($AM$3,0,0,'Données projet'!$E$10+1,1))-AVERAGE(OFFSET($H$3,0,0,'Données projet'!$E$10+1,1))</f>
        <v>216.19747366796145</v>
      </c>
      <c r="AO139" s="60">
        <f t="shared" si="144"/>
        <v>122.08911898780889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1.381991281204373E-15</v>
      </c>
      <c r="AX139" s="23">
        <f t="shared" si="114"/>
        <v>1.381991281204373E-15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-6.2527760746888816E-13</v>
      </c>
      <c r="BE139" s="14">
        <f>BD139*VLOOKUP('Données projet'!$B$11,Paramètres!$A$1:$I$89,3,0)*VLOOKUP('Données projet'!$B$11,Paramètres!$A$1:$I$89,5,0)</f>
        <v>-2.9262992029543964E-13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179.52358670810645</v>
      </c>
      <c r="BJ139" s="60">
        <f t="shared" si="146"/>
        <v>89.471764801078166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1.1882548278663309E-13</v>
      </c>
      <c r="CA139" s="14">
        <f t="shared" si="147"/>
        <v>1.7496137229198366E-12</v>
      </c>
      <c r="CB139" s="22">
        <f t="shared" si="118"/>
        <v>3.2541982832721012E-12</v>
      </c>
      <c r="CC139" s="60">
        <f t="shared" si="119"/>
        <v>293.33333333333655</v>
      </c>
      <c r="CD139" s="60">
        <f ca="1">AVERAGE(OFFSET($CC$3,0,0,'Données projet'!$E$12+1,1))-AVERAGE(OFFSET($H$3,0,0,'Données projet'!$E$12+1,1))</f>
        <v>304.57411436867147</v>
      </c>
      <c r="CE139" s="60">
        <f t="shared" si="148"/>
        <v>178.19974548556962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1.0995790944434703E-13</v>
      </c>
      <c r="CV139" s="14">
        <f t="shared" si="149"/>
        <v>1.6337280948049956E-12</v>
      </c>
      <c r="CW139" s="22">
        <f t="shared" si="121"/>
        <v>3.036919790734272E-12</v>
      </c>
      <c r="CX139" s="60">
        <f t="shared" si="122"/>
        <v>293.33333333333633</v>
      </c>
      <c r="CY139" s="60">
        <f ca="1">AVERAGE(OFFSET($CX$3,0,0,'Données projet'!$E$13+1,1))-AVERAGE(OFFSET($H$3,0,0,'Données projet'!$E$13+1,1))</f>
        <v>279.37339904167601</v>
      </c>
      <c r="CZ139" s="60">
        <f t="shared" si="150"/>
        <v>163.80861186980007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0" t="e">
        <f t="shared" si="125"/>
        <v>#N/A</v>
      </c>
      <c r="DT139" s="60" t="e">
        <f ca="1">AVERAGE(OFFSET($DS$3,0,0,'Données projet'!$E$14+1,1))-AVERAGE(OFFSET($H$3,0,0,'Données projet'!$E$14+1,1))</f>
        <v>#N/A</v>
      </c>
      <c r="DU139" s="60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37.401000000000032</v>
      </c>
      <c r="D140" s="12">
        <f t="shared" si="140"/>
        <v>11.307111451674508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375.99243927608421</v>
      </c>
      <c r="H140" s="68">
        <f t="shared" si="110"/>
        <v>378.16662744499979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0">
        <f t="shared" si="109"/>
        <v>293.33333333333439</v>
      </c>
      <c r="S140" s="60">
        <f ca="1">AVERAGE(OFFSET($R$3,0,0,'Données projet'!$E$9+1,1))-AVERAGE(OFFSET($H$3,0,0,'Données projet'!$E$9+1,1))</f>
        <v>223.38593045370783</v>
      </c>
      <c r="T140" s="60">
        <f t="shared" si="142"/>
        <v>161.68519532023998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5.1159076974727213E-13</v>
      </c>
      <c r="AJ140" s="14">
        <f>AI140*VLOOKUP('Données projet'!$B$10,Paramètres!$A$1:$I$89,3,0)*VLOOKUP('Données projet'!$B$10,Paramètres!$A$1:$I$89,5,0)</f>
        <v>3.0593128030886877E-13</v>
      </c>
      <c r="AK140" s="14">
        <f t="shared" si="143"/>
        <v>4.0350537939347394E-12</v>
      </c>
      <c r="AL140" s="22">
        <f t="shared" si="112"/>
        <v>7.5605490043076185E-12</v>
      </c>
      <c r="AM140" s="60">
        <f t="shared" si="113"/>
        <v>293.33333333334087</v>
      </c>
      <c r="AN140" s="60">
        <f ca="1">AVERAGE(OFFSET($AM$3,0,0,'Données projet'!$E$10+1,1))-AVERAGE(OFFSET($H$3,0,0,'Données projet'!$E$10+1,1))</f>
        <v>216.19747366796145</v>
      </c>
      <c r="AO140" s="60">
        <f t="shared" si="144"/>
        <v>122.08911898780889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9.7721540648029707E-16</v>
      </c>
      <c r="AX140" s="23">
        <f t="shared" si="114"/>
        <v>9.7721540648029707E-16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-6.2527760746888816E-13</v>
      </c>
      <c r="BE140" s="14">
        <f>BD140*VLOOKUP('Données projet'!$B$11,Paramètres!$A$1:$I$89,3,0)*VLOOKUP('Données projet'!$B$11,Paramètres!$A$1:$I$89,5,0)</f>
        <v>-2.9262992029543964E-13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179.52358670810645</v>
      </c>
      <c r="BJ140" s="60">
        <f t="shared" si="146"/>
        <v>89.471764801078166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1.1882548278663309E-13</v>
      </c>
      <c r="CA140" s="14">
        <f t="shared" si="147"/>
        <v>1.7496137229198366E-12</v>
      </c>
      <c r="CB140" s="22">
        <f t="shared" si="118"/>
        <v>3.2541982832721012E-12</v>
      </c>
      <c r="CC140" s="60">
        <f t="shared" si="119"/>
        <v>293.33333333333655</v>
      </c>
      <c r="CD140" s="60">
        <f ca="1">AVERAGE(OFFSET($CC$3,0,0,'Données projet'!$E$12+1,1))-AVERAGE(OFFSET($H$3,0,0,'Données projet'!$E$12+1,1))</f>
        <v>304.57411436867147</v>
      </c>
      <c r="CE140" s="60">
        <f t="shared" si="148"/>
        <v>178.19974548556962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1.0995790944434703E-13</v>
      </c>
      <c r="CV140" s="14">
        <f t="shared" si="149"/>
        <v>1.6337280948049956E-12</v>
      </c>
      <c r="CW140" s="22">
        <f t="shared" si="121"/>
        <v>3.036919790734272E-12</v>
      </c>
      <c r="CX140" s="60">
        <f t="shared" si="122"/>
        <v>293.33333333333633</v>
      </c>
      <c r="CY140" s="60">
        <f ca="1">AVERAGE(OFFSET($CX$3,0,0,'Données projet'!$E$13+1,1))-AVERAGE(OFFSET($H$3,0,0,'Données projet'!$E$13+1,1))</f>
        <v>279.37339904167601</v>
      </c>
      <c r="CZ140" s="60">
        <f t="shared" si="150"/>
        <v>163.80861186980007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0" t="e">
        <f t="shared" si="125"/>
        <v>#N/A</v>
      </c>
      <c r="DT140" s="60" t="e">
        <f ca="1">AVERAGE(OFFSET($DS$3,0,0,'Données projet'!$E$14+1,1))-AVERAGE(OFFSET($H$3,0,0,'Données projet'!$E$14+1,1))</f>
        <v>#N/A</v>
      </c>
      <c r="DU140" s="60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37.674000000000035</v>
      </c>
      <c r="D141" s="12">
        <f t="shared" si="140"/>
        <v>11.380007297126186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378.66251246904449</v>
      </c>
      <c r="H141" s="68">
        <f t="shared" si="110"/>
        <v>378.76906270916146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0">
        <f t="shared" si="109"/>
        <v>293.33333333333439</v>
      </c>
      <c r="S141" s="60">
        <f ca="1">AVERAGE(OFFSET($R$3,0,0,'Données projet'!$E$9+1,1))-AVERAGE(OFFSET($H$3,0,0,'Données projet'!$E$9+1,1))</f>
        <v>223.38593045370783</v>
      </c>
      <c r="T141" s="60">
        <f t="shared" si="142"/>
        <v>161.68519532023998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5.1159076974727213E-13</v>
      </c>
      <c r="AJ141" s="14">
        <f>AI141*VLOOKUP('Données projet'!$B$10,Paramètres!$A$1:$I$89,3,0)*VLOOKUP('Données projet'!$B$10,Paramètres!$A$1:$I$89,5,0)</f>
        <v>3.0593128030886877E-13</v>
      </c>
      <c r="AK141" s="14">
        <f t="shared" si="143"/>
        <v>4.0350537939347394E-12</v>
      </c>
      <c r="AL141" s="22">
        <f t="shared" si="112"/>
        <v>7.5605490043076185E-12</v>
      </c>
      <c r="AM141" s="60">
        <f t="shared" si="113"/>
        <v>293.33333333334087</v>
      </c>
      <c r="AN141" s="60">
        <f ca="1">AVERAGE(OFFSET($AM$3,0,0,'Données projet'!$E$10+1,1))-AVERAGE(OFFSET($H$3,0,0,'Données projet'!$E$10+1,1))</f>
        <v>216.19747366796145</v>
      </c>
      <c r="AO141" s="60">
        <f t="shared" si="144"/>
        <v>122.08911898780889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6.9099564060218652E-16</v>
      </c>
      <c r="AX141" s="23">
        <f t="shared" si="114"/>
        <v>6.9099564060218652E-16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-6.2527760746888816E-13</v>
      </c>
      <c r="BE141" s="14">
        <f>BD141*VLOOKUP('Données projet'!$B$11,Paramètres!$A$1:$I$89,3,0)*VLOOKUP('Données projet'!$B$11,Paramètres!$A$1:$I$89,5,0)</f>
        <v>-2.9262992029543964E-13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179.52358670810645</v>
      </c>
      <c r="BJ141" s="60">
        <f t="shared" si="146"/>
        <v>89.471764801078166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1.1882548278663309E-13</v>
      </c>
      <c r="CA141" s="14">
        <f t="shared" si="147"/>
        <v>1.7496137229198366E-12</v>
      </c>
      <c r="CB141" s="22">
        <f t="shared" si="118"/>
        <v>3.2541982832721012E-12</v>
      </c>
      <c r="CC141" s="60">
        <f t="shared" si="119"/>
        <v>293.33333333333655</v>
      </c>
      <c r="CD141" s="60">
        <f ca="1">AVERAGE(OFFSET($CC$3,0,0,'Données projet'!$E$12+1,1))-AVERAGE(OFFSET($H$3,0,0,'Données projet'!$E$12+1,1))</f>
        <v>304.57411436867147</v>
      </c>
      <c r="CE141" s="60">
        <f t="shared" si="148"/>
        <v>178.19974548556962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1.0995790944434703E-13</v>
      </c>
      <c r="CV141" s="14">
        <f t="shared" si="149"/>
        <v>1.6337280948049956E-12</v>
      </c>
      <c r="CW141" s="22">
        <f t="shared" si="121"/>
        <v>3.036919790734272E-12</v>
      </c>
      <c r="CX141" s="60">
        <f t="shared" si="122"/>
        <v>293.33333333333633</v>
      </c>
      <c r="CY141" s="60">
        <f ca="1">AVERAGE(OFFSET($CX$3,0,0,'Données projet'!$E$13+1,1))-AVERAGE(OFFSET($H$3,0,0,'Données projet'!$E$13+1,1))</f>
        <v>279.37339904167601</v>
      </c>
      <c r="CZ141" s="60">
        <f t="shared" si="150"/>
        <v>163.80861186980007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0" t="e">
        <f t="shared" si="125"/>
        <v>#N/A</v>
      </c>
      <c r="DT141" s="60" t="e">
        <f ca="1">AVERAGE(OFFSET($DS$3,0,0,'Données projet'!$E$14+1,1))-AVERAGE(OFFSET($H$3,0,0,'Données projet'!$E$14+1,1))</f>
        <v>#N/A</v>
      </c>
      <c r="DU141" s="60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37.947000000000038</v>
      </c>
      <c r="D142" s="12">
        <f t="shared" si="140"/>
        <v>11.452841681871742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381.33211122848388</v>
      </c>
      <c r="H142" s="68">
        <f t="shared" si="110"/>
        <v>379.37139092925997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0">
        <f t="shared" si="109"/>
        <v>293.33333333333439</v>
      </c>
      <c r="S142" s="60">
        <f ca="1">AVERAGE(OFFSET($R$3,0,0,'Données projet'!$E$9+1,1))-AVERAGE(OFFSET($H$3,0,0,'Données projet'!$E$9+1,1))</f>
        <v>223.38593045370783</v>
      </c>
      <c r="T142" s="60">
        <f t="shared" si="142"/>
        <v>161.68519532023998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5.1159076974727213E-13</v>
      </c>
      <c r="AJ142" s="14">
        <f>AI142*VLOOKUP('Données projet'!$B$10,Paramètres!$A$1:$I$89,3,0)*VLOOKUP('Données projet'!$B$10,Paramètres!$A$1:$I$89,5,0)</f>
        <v>3.0593128030886877E-13</v>
      </c>
      <c r="AK142" s="14">
        <f t="shared" si="143"/>
        <v>4.0350537939347394E-12</v>
      </c>
      <c r="AL142" s="22">
        <f t="shared" si="112"/>
        <v>7.5605490043076185E-12</v>
      </c>
      <c r="AM142" s="60">
        <f t="shared" si="113"/>
        <v>293.33333333334087</v>
      </c>
      <c r="AN142" s="60">
        <f ca="1">AVERAGE(OFFSET($AM$3,0,0,'Données projet'!$E$10+1,1))-AVERAGE(OFFSET($H$3,0,0,'Données projet'!$E$10+1,1))</f>
        <v>216.19747366796145</v>
      </c>
      <c r="AO142" s="60">
        <f t="shared" si="144"/>
        <v>122.08911898780889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4.8860770324014853E-16</v>
      </c>
      <c r="AX142" s="23">
        <f t="shared" si="114"/>
        <v>4.8860770324014853E-16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-6.2527760746888816E-13</v>
      </c>
      <c r="BE142" s="14">
        <f>BD142*VLOOKUP('Données projet'!$B$11,Paramètres!$A$1:$I$89,3,0)*VLOOKUP('Données projet'!$B$11,Paramètres!$A$1:$I$89,5,0)</f>
        <v>-2.9262992029543964E-13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179.52358670810645</v>
      </c>
      <c r="BJ142" s="60">
        <f t="shared" si="146"/>
        <v>89.471764801078166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1.1882548278663309E-13</v>
      </c>
      <c r="CA142" s="14">
        <f t="shared" si="147"/>
        <v>1.7496137229198366E-12</v>
      </c>
      <c r="CB142" s="22">
        <f t="shared" si="118"/>
        <v>3.2541982832721012E-12</v>
      </c>
      <c r="CC142" s="60">
        <f t="shared" si="119"/>
        <v>293.33333333333655</v>
      </c>
      <c r="CD142" s="60">
        <f ca="1">AVERAGE(OFFSET($CC$3,0,0,'Données projet'!$E$12+1,1))-AVERAGE(OFFSET($H$3,0,0,'Données projet'!$E$12+1,1))</f>
        <v>304.57411436867147</v>
      </c>
      <c r="CE142" s="60">
        <f t="shared" si="148"/>
        <v>178.19974548556962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1.0995790944434703E-13</v>
      </c>
      <c r="CV142" s="14">
        <f t="shared" si="149"/>
        <v>1.6337280948049956E-12</v>
      </c>
      <c r="CW142" s="22">
        <f t="shared" si="121"/>
        <v>3.036919790734272E-12</v>
      </c>
      <c r="CX142" s="60">
        <f t="shared" si="122"/>
        <v>293.33333333333633</v>
      </c>
      <c r="CY142" s="60">
        <f ca="1">AVERAGE(OFFSET($CX$3,0,0,'Données projet'!$E$13+1,1))-AVERAGE(OFFSET($H$3,0,0,'Données projet'!$E$13+1,1))</f>
        <v>279.37339904167601</v>
      </c>
      <c r="CZ142" s="60">
        <f t="shared" si="150"/>
        <v>163.80861186980007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0" t="e">
        <f t="shared" si="125"/>
        <v>#N/A</v>
      </c>
      <c r="DT142" s="60" t="e">
        <f ca="1">AVERAGE(OFFSET($DS$3,0,0,'Données projet'!$E$14+1,1))-AVERAGE(OFFSET($H$3,0,0,'Données projet'!$E$14+1,1))</f>
        <v>#N/A</v>
      </c>
      <c r="DU142" s="60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38.220000000000041</v>
      </c>
      <c r="D143" s="12">
        <f t="shared" si="140"/>
        <v>11.525615099344273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384.00123936335967</v>
      </c>
      <c r="H143" s="68">
        <f t="shared" si="110"/>
        <v>379.97361296469131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0">
        <f t="shared" si="109"/>
        <v>293.33333333333439</v>
      </c>
      <c r="S143" s="60">
        <f ca="1">AVERAGE(OFFSET($R$3,0,0,'Données projet'!$E$9+1,1))-AVERAGE(OFFSET($H$3,0,0,'Données projet'!$E$9+1,1))</f>
        <v>223.38593045370783</v>
      </c>
      <c r="T143" s="60">
        <f t="shared" si="142"/>
        <v>161.68519532023998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5.1159076974727213E-13</v>
      </c>
      <c r="AJ143" s="14">
        <f>AI143*VLOOKUP('Données projet'!$B$10,Paramètres!$A$1:$I$89,3,0)*VLOOKUP('Données projet'!$B$10,Paramètres!$A$1:$I$89,5,0)</f>
        <v>3.0593128030886877E-13</v>
      </c>
      <c r="AK143" s="14">
        <f t="shared" si="143"/>
        <v>4.0350537939347394E-12</v>
      </c>
      <c r="AL143" s="22">
        <f t="shared" si="112"/>
        <v>7.5605490043076185E-12</v>
      </c>
      <c r="AM143" s="60">
        <f t="shared" si="113"/>
        <v>293.33333333334087</v>
      </c>
      <c r="AN143" s="60">
        <f ca="1">AVERAGE(OFFSET($AM$3,0,0,'Données projet'!$E$10+1,1))-AVERAGE(OFFSET($H$3,0,0,'Données projet'!$E$10+1,1))</f>
        <v>216.19747366796145</v>
      </c>
      <c r="AO143" s="60">
        <f t="shared" si="144"/>
        <v>122.08911898780889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3.4549782030109326E-16</v>
      </c>
      <c r="AX143" s="23">
        <f t="shared" si="114"/>
        <v>3.4549782030109326E-16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-6.2527760746888816E-13</v>
      </c>
      <c r="BE143" s="14">
        <f>BD143*VLOOKUP('Données projet'!$B$11,Paramètres!$A$1:$I$89,3,0)*VLOOKUP('Données projet'!$B$11,Paramètres!$A$1:$I$89,5,0)</f>
        <v>-2.9262992029543964E-13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179.52358670810645</v>
      </c>
      <c r="BJ143" s="60">
        <f t="shared" si="146"/>
        <v>89.471764801078166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1.1882548278663309E-13</v>
      </c>
      <c r="CA143" s="14">
        <f t="shared" si="147"/>
        <v>1.7496137229198366E-12</v>
      </c>
      <c r="CB143" s="22">
        <f t="shared" si="118"/>
        <v>3.2541982832721012E-12</v>
      </c>
      <c r="CC143" s="60">
        <f t="shared" si="119"/>
        <v>293.33333333333655</v>
      </c>
      <c r="CD143" s="60">
        <f ca="1">AVERAGE(OFFSET($CC$3,0,0,'Données projet'!$E$12+1,1))-AVERAGE(OFFSET($H$3,0,0,'Données projet'!$E$12+1,1))</f>
        <v>304.57411436867147</v>
      </c>
      <c r="CE143" s="60">
        <f t="shared" si="148"/>
        <v>178.19974548556962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1.0995790944434703E-13</v>
      </c>
      <c r="CV143" s="14">
        <f t="shared" si="149"/>
        <v>1.6337280948049956E-12</v>
      </c>
      <c r="CW143" s="22">
        <f t="shared" si="121"/>
        <v>3.036919790734272E-12</v>
      </c>
      <c r="CX143" s="60">
        <f t="shared" si="122"/>
        <v>293.33333333333633</v>
      </c>
      <c r="CY143" s="60">
        <f ca="1">AVERAGE(OFFSET($CX$3,0,0,'Données projet'!$E$13+1,1))-AVERAGE(OFFSET($H$3,0,0,'Données projet'!$E$13+1,1))</f>
        <v>279.37339904167601</v>
      </c>
      <c r="CZ143" s="60">
        <f t="shared" si="150"/>
        <v>163.80861186980007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0" t="e">
        <f t="shared" si="125"/>
        <v>#N/A</v>
      </c>
      <c r="DT143" s="60" t="e">
        <f ca="1">AVERAGE(OFFSET($DS$3,0,0,'Données projet'!$E$14+1,1))-AVERAGE(OFFSET($H$3,0,0,'Données projet'!$E$14+1,1))</f>
        <v>#N/A</v>
      </c>
      <c r="DU143" s="60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38.493000000000045</v>
      </c>
      <c r="D144" s="12">
        <f t="shared" si="140"/>
        <v>11.598328035520462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386.66990062507057</v>
      </c>
      <c r="H144" s="68">
        <f t="shared" si="110"/>
        <v>380.57572966186484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0">
        <f t="shared" si="109"/>
        <v>293.33333333333439</v>
      </c>
      <c r="S144" s="60">
        <f ca="1">AVERAGE(OFFSET($R$3,0,0,'Données projet'!$E$9+1,1))-AVERAGE(OFFSET($H$3,0,0,'Données projet'!$E$9+1,1))</f>
        <v>223.38593045370783</v>
      </c>
      <c r="T144" s="60">
        <f t="shared" si="142"/>
        <v>161.68519532023998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5.1159076974727213E-13</v>
      </c>
      <c r="AJ144" s="14">
        <f>AI144*VLOOKUP('Données projet'!$B$10,Paramètres!$A$1:$I$89,3,0)*VLOOKUP('Données projet'!$B$10,Paramètres!$A$1:$I$89,5,0)</f>
        <v>3.0593128030886877E-13</v>
      </c>
      <c r="AK144" s="14">
        <f t="shared" si="143"/>
        <v>4.0350537939347394E-12</v>
      </c>
      <c r="AL144" s="22">
        <f t="shared" si="112"/>
        <v>7.5605490043076185E-12</v>
      </c>
      <c r="AM144" s="60">
        <f t="shared" si="113"/>
        <v>293.33333333334087</v>
      </c>
      <c r="AN144" s="60">
        <f ca="1">AVERAGE(OFFSET($AM$3,0,0,'Données projet'!$E$10+1,1))-AVERAGE(OFFSET($H$3,0,0,'Données projet'!$E$10+1,1))</f>
        <v>216.19747366796145</v>
      </c>
      <c r="AO144" s="60">
        <f t="shared" si="144"/>
        <v>122.08911898780889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2.4430385162007427E-16</v>
      </c>
      <c r="AX144" s="23">
        <f t="shared" si="114"/>
        <v>2.4430385162007427E-16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-6.2527760746888816E-13</v>
      </c>
      <c r="BE144" s="14">
        <f>BD144*VLOOKUP('Données projet'!$B$11,Paramètres!$A$1:$I$89,3,0)*VLOOKUP('Données projet'!$B$11,Paramètres!$A$1:$I$89,5,0)</f>
        <v>-2.9262992029543964E-13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179.52358670810645</v>
      </c>
      <c r="BJ144" s="60">
        <f t="shared" si="146"/>
        <v>89.471764801078166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1.1882548278663309E-13</v>
      </c>
      <c r="CA144" s="14">
        <f t="shared" si="147"/>
        <v>1.7496137229198366E-12</v>
      </c>
      <c r="CB144" s="22">
        <f t="shared" si="118"/>
        <v>3.2541982832721012E-12</v>
      </c>
      <c r="CC144" s="60">
        <f t="shared" si="119"/>
        <v>293.33333333333655</v>
      </c>
      <c r="CD144" s="60">
        <f ca="1">AVERAGE(OFFSET($CC$3,0,0,'Données projet'!$E$12+1,1))-AVERAGE(OFFSET($H$3,0,0,'Données projet'!$E$12+1,1))</f>
        <v>304.57411436867147</v>
      </c>
      <c r="CE144" s="60">
        <f t="shared" si="148"/>
        <v>178.19974548556962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1.0995790944434703E-13</v>
      </c>
      <c r="CV144" s="14">
        <f t="shared" si="149"/>
        <v>1.6337280948049956E-12</v>
      </c>
      <c r="CW144" s="22">
        <f t="shared" si="121"/>
        <v>3.036919790734272E-12</v>
      </c>
      <c r="CX144" s="60">
        <f t="shared" si="122"/>
        <v>293.33333333333633</v>
      </c>
      <c r="CY144" s="60">
        <f ca="1">AVERAGE(OFFSET($CX$3,0,0,'Données projet'!$E$13+1,1))-AVERAGE(OFFSET($H$3,0,0,'Données projet'!$E$13+1,1))</f>
        <v>279.37339904167601</v>
      </c>
      <c r="CZ144" s="60">
        <f t="shared" si="150"/>
        <v>163.80861186980007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0" t="e">
        <f t="shared" si="125"/>
        <v>#N/A</v>
      </c>
      <c r="DT144" s="60" t="e">
        <f ca="1">AVERAGE(OFFSET($DS$3,0,0,'Données projet'!$E$14+1,1))-AVERAGE(OFFSET($H$3,0,0,'Données projet'!$E$14+1,1))</f>
        <v>#N/A</v>
      </c>
      <c r="DU144" s="60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38.766000000000048</v>
      </c>
      <c r="D145" s="12">
        <f t="shared" si="140"/>
        <v>11.67098096908536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389.33809870872955</v>
      </c>
      <c r="H145" s="68">
        <f t="shared" si="110"/>
        <v>381.17774185449042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0">
        <f t="shared" si="109"/>
        <v>293.33333333333439</v>
      </c>
      <c r="S145" s="60">
        <f ca="1">AVERAGE(OFFSET($R$3,0,0,'Données projet'!$E$9+1,1))-AVERAGE(OFFSET($H$3,0,0,'Données projet'!$E$9+1,1))</f>
        <v>223.38593045370783</v>
      </c>
      <c r="T145" s="60">
        <f t="shared" si="142"/>
        <v>161.68519532023998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5.1159076974727213E-13</v>
      </c>
      <c r="AJ145" s="14">
        <f>AI145*VLOOKUP('Données projet'!$B$10,Paramètres!$A$1:$I$89,3,0)*VLOOKUP('Données projet'!$B$10,Paramètres!$A$1:$I$89,5,0)</f>
        <v>3.0593128030886877E-13</v>
      </c>
      <c r="AK145" s="14">
        <f t="shared" si="143"/>
        <v>4.0350537939347394E-12</v>
      </c>
      <c r="AL145" s="22">
        <f t="shared" si="112"/>
        <v>7.5605490043076185E-12</v>
      </c>
      <c r="AM145" s="60">
        <f t="shared" si="113"/>
        <v>293.33333333334087</v>
      </c>
      <c r="AN145" s="60">
        <f ca="1">AVERAGE(OFFSET($AM$3,0,0,'Données projet'!$E$10+1,1))-AVERAGE(OFFSET($H$3,0,0,'Données projet'!$E$10+1,1))</f>
        <v>216.19747366796145</v>
      </c>
      <c r="AO145" s="60">
        <f t="shared" si="144"/>
        <v>122.08911898780889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1.7274891015054663E-16</v>
      </c>
      <c r="AX145" s="23">
        <f t="shared" si="114"/>
        <v>1.7274891015054663E-16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-6.2527760746888816E-13</v>
      </c>
      <c r="BE145" s="14">
        <f>BD145*VLOOKUP('Données projet'!$B$11,Paramètres!$A$1:$I$89,3,0)*VLOOKUP('Données projet'!$B$11,Paramètres!$A$1:$I$89,5,0)</f>
        <v>-2.9262992029543964E-13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179.52358670810645</v>
      </c>
      <c r="BJ145" s="60">
        <f t="shared" si="146"/>
        <v>89.471764801078166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1.1882548278663309E-13</v>
      </c>
      <c r="CA145" s="14">
        <f t="shared" si="147"/>
        <v>1.7496137229198366E-12</v>
      </c>
      <c r="CB145" s="22">
        <f t="shared" si="118"/>
        <v>3.2541982832721012E-12</v>
      </c>
      <c r="CC145" s="60">
        <f t="shared" si="119"/>
        <v>293.33333333333655</v>
      </c>
      <c r="CD145" s="60">
        <f ca="1">AVERAGE(OFFSET($CC$3,0,0,'Données projet'!$E$12+1,1))-AVERAGE(OFFSET($H$3,0,0,'Données projet'!$E$12+1,1))</f>
        <v>304.57411436867147</v>
      </c>
      <c r="CE145" s="60">
        <f t="shared" si="148"/>
        <v>178.19974548556962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1.0995790944434703E-13</v>
      </c>
      <c r="CV145" s="14">
        <f t="shared" si="149"/>
        <v>1.6337280948049956E-12</v>
      </c>
      <c r="CW145" s="22">
        <f t="shared" si="121"/>
        <v>3.036919790734272E-12</v>
      </c>
      <c r="CX145" s="60">
        <f t="shared" si="122"/>
        <v>293.33333333333633</v>
      </c>
      <c r="CY145" s="60">
        <f ca="1">AVERAGE(OFFSET($CX$3,0,0,'Données projet'!$E$13+1,1))-AVERAGE(OFFSET($H$3,0,0,'Données projet'!$E$13+1,1))</f>
        <v>279.37339904167601</v>
      </c>
      <c r="CZ145" s="60">
        <f t="shared" si="150"/>
        <v>163.80861186980007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0" t="e">
        <f t="shared" si="125"/>
        <v>#N/A</v>
      </c>
      <c r="DT145" s="60" t="e">
        <f ca="1">AVERAGE(OFFSET($DS$3,0,0,'Données projet'!$E$14+1,1))-AVERAGE(OFFSET($H$3,0,0,'Données projet'!$E$14+1,1))</f>
        <v>#N/A</v>
      </c>
      <c r="DU145" s="60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39.039000000000051</v>
      </c>
      <c r="D146" s="12">
        <f t="shared" si="140"/>
        <v>11.743574371592326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392.00583725439725</v>
      </c>
      <c r="H146" s="68">
        <f t="shared" si="110"/>
        <v>381.77965036385672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0">
        <f t="shared" si="109"/>
        <v>293.33333333333439</v>
      </c>
      <c r="S146" s="60">
        <f ca="1">AVERAGE(OFFSET($R$3,0,0,'Données projet'!$E$9+1,1))-AVERAGE(OFFSET($H$3,0,0,'Données projet'!$E$9+1,1))</f>
        <v>223.38593045370783</v>
      </c>
      <c r="T146" s="60">
        <f t="shared" si="142"/>
        <v>161.68519532023998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5.1159076974727213E-13</v>
      </c>
      <c r="AJ146" s="14">
        <f>AI146*VLOOKUP('Données projet'!$B$10,Paramètres!$A$1:$I$89,3,0)*VLOOKUP('Données projet'!$B$10,Paramètres!$A$1:$I$89,5,0)</f>
        <v>3.0593128030886877E-13</v>
      </c>
      <c r="AK146" s="14">
        <f t="shared" si="143"/>
        <v>4.0350537939347394E-12</v>
      </c>
      <c r="AL146" s="22">
        <f t="shared" si="112"/>
        <v>7.5605490043076185E-12</v>
      </c>
      <c r="AM146" s="60">
        <f t="shared" si="113"/>
        <v>293.33333333334087</v>
      </c>
      <c r="AN146" s="60">
        <f ca="1">AVERAGE(OFFSET($AM$3,0,0,'Données projet'!$E$10+1,1))-AVERAGE(OFFSET($H$3,0,0,'Données projet'!$E$10+1,1))</f>
        <v>216.19747366796145</v>
      </c>
      <c r="AO146" s="60">
        <f t="shared" si="144"/>
        <v>122.08911898780889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1.2215192581003713E-16</v>
      </c>
      <c r="AX146" s="23">
        <f t="shared" si="114"/>
        <v>1.2215192581003713E-16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-6.2527760746888816E-13</v>
      </c>
      <c r="BE146" s="14">
        <f>BD146*VLOOKUP('Données projet'!$B$11,Paramètres!$A$1:$I$89,3,0)*VLOOKUP('Données projet'!$B$11,Paramètres!$A$1:$I$89,5,0)</f>
        <v>-2.9262992029543964E-13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179.52358670810645</v>
      </c>
      <c r="BJ146" s="60">
        <f t="shared" si="146"/>
        <v>89.471764801078166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1.1882548278663309E-13</v>
      </c>
      <c r="CA146" s="14">
        <f t="shared" si="147"/>
        <v>1.7496137229198366E-12</v>
      </c>
      <c r="CB146" s="22">
        <f t="shared" si="118"/>
        <v>3.2541982832721012E-12</v>
      </c>
      <c r="CC146" s="60">
        <f t="shared" si="119"/>
        <v>293.33333333333655</v>
      </c>
      <c r="CD146" s="60">
        <f ca="1">AVERAGE(OFFSET($CC$3,0,0,'Données projet'!$E$12+1,1))-AVERAGE(OFFSET($H$3,0,0,'Données projet'!$E$12+1,1))</f>
        <v>304.57411436867147</v>
      </c>
      <c r="CE146" s="60">
        <f t="shared" si="148"/>
        <v>178.19974548556962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1.0995790944434703E-13</v>
      </c>
      <c r="CV146" s="14">
        <f t="shared" si="149"/>
        <v>1.6337280948049956E-12</v>
      </c>
      <c r="CW146" s="22">
        <f t="shared" si="121"/>
        <v>3.036919790734272E-12</v>
      </c>
      <c r="CX146" s="60">
        <f t="shared" si="122"/>
        <v>293.33333333333633</v>
      </c>
      <c r="CY146" s="60">
        <f ca="1">AVERAGE(OFFSET($CX$3,0,0,'Données projet'!$E$13+1,1))-AVERAGE(OFFSET($H$3,0,0,'Données projet'!$E$13+1,1))</f>
        <v>279.37339904167601</v>
      </c>
      <c r="CZ146" s="60">
        <f t="shared" si="150"/>
        <v>163.80861186980007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0" t="e">
        <f t="shared" si="125"/>
        <v>#N/A</v>
      </c>
      <c r="DT146" s="60" t="e">
        <f ca="1">AVERAGE(OFFSET($DS$3,0,0,'Données projet'!$E$14+1,1))-AVERAGE(OFFSET($H$3,0,0,'Données projet'!$E$14+1,1))</f>
        <v>#N/A</v>
      </c>
      <c r="DU146" s="60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39.312000000000054</v>
      </c>
      <c r="D147" s="12">
        <f t="shared" si="140"/>
        <v>11.816108707618415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394.67311984828297</v>
      </c>
      <c r="H147" s="68">
        <f t="shared" si="110"/>
        <v>382.38145599910212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0">
        <f t="shared" si="109"/>
        <v>293.33333333333439</v>
      </c>
      <c r="S147" s="60">
        <f ca="1">AVERAGE(OFFSET($R$3,0,0,'Données projet'!$E$9+1,1))-AVERAGE(OFFSET($H$3,0,0,'Données projet'!$E$9+1,1))</f>
        <v>223.38593045370783</v>
      </c>
      <c r="T147" s="60">
        <f t="shared" si="142"/>
        <v>161.68519532023998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5.1159076974727213E-13</v>
      </c>
      <c r="AJ147" s="14">
        <f>AI147*VLOOKUP('Données projet'!$B$10,Paramètres!$A$1:$I$89,3,0)*VLOOKUP('Données projet'!$B$10,Paramètres!$A$1:$I$89,5,0)</f>
        <v>3.0593128030886877E-13</v>
      </c>
      <c r="AK147" s="14">
        <f t="shared" si="143"/>
        <v>4.0350537939347394E-12</v>
      </c>
      <c r="AL147" s="22">
        <f t="shared" si="112"/>
        <v>7.5605490043076185E-12</v>
      </c>
      <c r="AM147" s="60">
        <f t="shared" si="113"/>
        <v>293.33333333334087</v>
      </c>
      <c r="AN147" s="60">
        <f ca="1">AVERAGE(OFFSET($AM$3,0,0,'Données projet'!$E$10+1,1))-AVERAGE(OFFSET($H$3,0,0,'Données projet'!$E$10+1,1))</f>
        <v>216.19747366796145</v>
      </c>
      <c r="AO147" s="60">
        <f t="shared" si="144"/>
        <v>122.08911898780889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8.6374455075273315E-17</v>
      </c>
      <c r="AX147" s="23">
        <f t="shared" si="114"/>
        <v>8.6374455075273315E-17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-6.2527760746888816E-13</v>
      </c>
      <c r="BE147" s="14">
        <f>BD147*VLOOKUP('Données projet'!$B$11,Paramètres!$A$1:$I$89,3,0)*VLOOKUP('Données projet'!$B$11,Paramètres!$A$1:$I$89,5,0)</f>
        <v>-2.9262992029543964E-13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179.52358670810645</v>
      </c>
      <c r="BJ147" s="60">
        <f t="shared" si="146"/>
        <v>89.471764801078166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1.1882548278663309E-13</v>
      </c>
      <c r="CA147" s="14">
        <f t="shared" si="147"/>
        <v>1.7496137229198366E-12</v>
      </c>
      <c r="CB147" s="22">
        <f t="shared" si="118"/>
        <v>3.2541982832721012E-12</v>
      </c>
      <c r="CC147" s="60">
        <f t="shared" si="119"/>
        <v>293.33333333333655</v>
      </c>
      <c r="CD147" s="60">
        <f ca="1">AVERAGE(OFFSET($CC$3,0,0,'Données projet'!$E$12+1,1))-AVERAGE(OFFSET($H$3,0,0,'Données projet'!$E$12+1,1))</f>
        <v>304.57411436867147</v>
      </c>
      <c r="CE147" s="60">
        <f t="shared" si="148"/>
        <v>178.19974548556962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1.0995790944434703E-13</v>
      </c>
      <c r="CV147" s="14">
        <f t="shared" si="149"/>
        <v>1.6337280948049956E-12</v>
      </c>
      <c r="CW147" s="22">
        <f t="shared" si="121"/>
        <v>3.036919790734272E-12</v>
      </c>
      <c r="CX147" s="60">
        <f t="shared" si="122"/>
        <v>293.33333333333633</v>
      </c>
      <c r="CY147" s="60">
        <f ca="1">AVERAGE(OFFSET($CX$3,0,0,'Données projet'!$E$13+1,1))-AVERAGE(OFFSET($H$3,0,0,'Données projet'!$E$13+1,1))</f>
        <v>279.37339904167601</v>
      </c>
      <c r="CZ147" s="60">
        <f t="shared" si="150"/>
        <v>163.80861186980007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0" t="e">
        <f t="shared" si="125"/>
        <v>#N/A</v>
      </c>
      <c r="DT147" s="60" t="e">
        <f ca="1">AVERAGE(OFFSET($DS$3,0,0,'Données projet'!$E$14+1,1))-AVERAGE(OFFSET($H$3,0,0,'Données projet'!$E$14+1,1))</f>
        <v>#N/A</v>
      </c>
      <c r="DU147" s="60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39.585000000000058</v>
      </c>
      <c r="D148" s="12">
        <f t="shared" si="140"/>
        <v>11.888584434915277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397.33995002390793</v>
      </c>
      <c r="H148" s="68">
        <f t="shared" si="110"/>
        <v>382.98315955747751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0">
        <f t="shared" si="109"/>
        <v>293.33333333333439</v>
      </c>
      <c r="S148" s="60">
        <f ca="1">AVERAGE(OFFSET($R$3,0,0,'Données projet'!$E$9+1,1))-AVERAGE(OFFSET($H$3,0,0,'Données projet'!$E$9+1,1))</f>
        <v>223.38593045370783</v>
      </c>
      <c r="T148" s="60">
        <f t="shared" si="142"/>
        <v>161.68519532023998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5.1159076974727213E-13</v>
      </c>
      <c r="AJ148" s="14">
        <f>AI148*VLOOKUP('Données projet'!$B$10,Paramètres!$A$1:$I$89,3,0)*VLOOKUP('Données projet'!$B$10,Paramètres!$A$1:$I$89,5,0)</f>
        <v>3.0593128030886877E-13</v>
      </c>
      <c r="AK148" s="14">
        <f t="shared" si="143"/>
        <v>4.0350537939347394E-12</v>
      </c>
      <c r="AL148" s="22">
        <f t="shared" si="112"/>
        <v>7.5605490043076185E-12</v>
      </c>
      <c r="AM148" s="60">
        <f t="shared" si="113"/>
        <v>293.33333333334087</v>
      </c>
      <c r="AN148" s="60">
        <f ca="1">AVERAGE(OFFSET($AM$3,0,0,'Données projet'!$E$10+1,1))-AVERAGE(OFFSET($H$3,0,0,'Données projet'!$E$10+1,1))</f>
        <v>216.19747366796145</v>
      </c>
      <c r="AO148" s="60">
        <f t="shared" si="144"/>
        <v>122.08911898780889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6.1075962905018567E-17</v>
      </c>
      <c r="AX148" s="23">
        <f t="shared" si="114"/>
        <v>6.1075962905018567E-17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-6.2527760746888816E-13</v>
      </c>
      <c r="BE148" s="14">
        <f>BD148*VLOOKUP('Données projet'!$B$11,Paramètres!$A$1:$I$89,3,0)*VLOOKUP('Données projet'!$B$11,Paramètres!$A$1:$I$89,5,0)</f>
        <v>-2.9262992029543964E-13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179.52358670810645</v>
      </c>
      <c r="BJ148" s="60">
        <f t="shared" si="146"/>
        <v>89.471764801078166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1.1882548278663309E-13</v>
      </c>
      <c r="CA148" s="14">
        <f t="shared" si="147"/>
        <v>1.7496137229198366E-12</v>
      </c>
      <c r="CB148" s="22">
        <f t="shared" si="118"/>
        <v>3.2541982832721012E-12</v>
      </c>
      <c r="CC148" s="60">
        <f t="shared" si="119"/>
        <v>293.33333333333655</v>
      </c>
      <c r="CD148" s="60">
        <f ca="1">AVERAGE(OFFSET($CC$3,0,0,'Données projet'!$E$12+1,1))-AVERAGE(OFFSET($H$3,0,0,'Données projet'!$E$12+1,1))</f>
        <v>304.57411436867147</v>
      </c>
      <c r="CE148" s="60">
        <f t="shared" si="148"/>
        <v>178.19974548556962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1.0995790944434703E-13</v>
      </c>
      <c r="CV148" s="14">
        <f t="shared" si="149"/>
        <v>1.6337280948049956E-12</v>
      </c>
      <c r="CW148" s="22">
        <f t="shared" si="121"/>
        <v>3.036919790734272E-12</v>
      </c>
      <c r="CX148" s="60">
        <f t="shared" si="122"/>
        <v>293.33333333333633</v>
      </c>
      <c r="CY148" s="60">
        <f ca="1">AVERAGE(OFFSET($CX$3,0,0,'Données projet'!$E$13+1,1))-AVERAGE(OFFSET($H$3,0,0,'Données projet'!$E$13+1,1))</f>
        <v>279.37339904167601</v>
      </c>
      <c r="CZ148" s="60">
        <f t="shared" si="150"/>
        <v>163.80861186980007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0" t="e">
        <f t="shared" si="125"/>
        <v>#N/A</v>
      </c>
      <c r="DT148" s="60" t="e">
        <f ca="1">AVERAGE(OFFSET($DS$3,0,0,'Données projet'!$E$14+1,1))-AVERAGE(OFFSET($H$3,0,0,'Données projet'!$E$14+1,1))</f>
        <v>#N/A</v>
      </c>
      <c r="DU148" s="60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39.858000000000061</v>
      </c>
      <c r="D149" s="12">
        <f t="shared" si="140"/>
        <v>11.961002004555807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400.00633126323828</v>
      </c>
      <c r="H149" s="68">
        <f t="shared" si="110"/>
        <v>383.58476182460146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0">
        <f t="shared" si="109"/>
        <v>293.33333333333439</v>
      </c>
      <c r="S149" s="60">
        <f ca="1">AVERAGE(OFFSET($R$3,0,0,'Données projet'!$E$9+1,1))-AVERAGE(OFFSET($H$3,0,0,'Données projet'!$E$9+1,1))</f>
        <v>223.38593045370783</v>
      </c>
      <c r="T149" s="60">
        <f t="shared" si="142"/>
        <v>161.68519532023998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5.1159076974727213E-13</v>
      </c>
      <c r="AJ149" s="14">
        <f>AI149*VLOOKUP('Données projet'!$B$10,Paramètres!$A$1:$I$89,3,0)*VLOOKUP('Données projet'!$B$10,Paramètres!$A$1:$I$89,5,0)</f>
        <v>3.0593128030886877E-13</v>
      </c>
      <c r="AK149" s="14">
        <f t="shared" si="143"/>
        <v>4.0350537939347394E-12</v>
      </c>
      <c r="AL149" s="22">
        <f t="shared" si="112"/>
        <v>7.5605490043076185E-12</v>
      </c>
      <c r="AM149" s="60">
        <f t="shared" si="113"/>
        <v>293.33333333334087</v>
      </c>
      <c r="AN149" s="60">
        <f ca="1">AVERAGE(OFFSET($AM$3,0,0,'Données projet'!$E$10+1,1))-AVERAGE(OFFSET($H$3,0,0,'Données projet'!$E$10+1,1))</f>
        <v>216.19747366796145</v>
      </c>
      <c r="AO149" s="60">
        <f t="shared" si="144"/>
        <v>122.08911898780889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4.3187227537636658E-17</v>
      </c>
      <c r="AX149" s="23">
        <f t="shared" si="114"/>
        <v>4.3187227537636658E-17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-6.2527760746888816E-13</v>
      </c>
      <c r="BE149" s="14">
        <f>BD149*VLOOKUP('Données projet'!$B$11,Paramètres!$A$1:$I$89,3,0)*VLOOKUP('Données projet'!$B$11,Paramètres!$A$1:$I$89,5,0)</f>
        <v>-2.9262992029543964E-13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179.52358670810645</v>
      </c>
      <c r="BJ149" s="60">
        <f t="shared" si="146"/>
        <v>89.471764801078166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1.1882548278663309E-13</v>
      </c>
      <c r="CA149" s="14">
        <f t="shared" si="147"/>
        <v>1.7496137229198366E-12</v>
      </c>
      <c r="CB149" s="22">
        <f t="shared" si="118"/>
        <v>3.2541982832721012E-12</v>
      </c>
      <c r="CC149" s="60">
        <f t="shared" si="119"/>
        <v>293.33333333333655</v>
      </c>
      <c r="CD149" s="60">
        <f ca="1">AVERAGE(OFFSET($CC$3,0,0,'Données projet'!$E$12+1,1))-AVERAGE(OFFSET($H$3,0,0,'Données projet'!$E$12+1,1))</f>
        <v>304.57411436867147</v>
      </c>
      <c r="CE149" s="60">
        <f t="shared" si="148"/>
        <v>178.19974548556962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1.0995790944434703E-13</v>
      </c>
      <c r="CV149" s="14">
        <f t="shared" si="149"/>
        <v>1.6337280948049956E-12</v>
      </c>
      <c r="CW149" s="22">
        <f t="shared" si="121"/>
        <v>3.036919790734272E-12</v>
      </c>
      <c r="CX149" s="60">
        <f t="shared" si="122"/>
        <v>293.33333333333633</v>
      </c>
      <c r="CY149" s="60">
        <f ca="1">AVERAGE(OFFSET($CX$3,0,0,'Données projet'!$E$13+1,1))-AVERAGE(OFFSET($H$3,0,0,'Données projet'!$E$13+1,1))</f>
        <v>279.37339904167601</v>
      </c>
      <c r="CZ149" s="60">
        <f t="shared" si="150"/>
        <v>163.80861186980007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0" t="e">
        <f t="shared" si="125"/>
        <v>#N/A</v>
      </c>
      <c r="DT149" s="60" t="e">
        <f ca="1">AVERAGE(OFFSET($DS$3,0,0,'Données projet'!$E$14+1,1))-AVERAGE(OFFSET($H$3,0,0,'Données projet'!$E$14+1,1))</f>
        <v>#N/A</v>
      </c>
      <c r="DU149" s="60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40.131000000000064</v>
      </c>
      <c r="D150" s="12">
        <f t="shared" si="140"/>
        <v>12.033361861076655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402.67226699778524</v>
      </c>
      <c r="H150" s="68">
        <f t="shared" si="110"/>
        <v>384.18626357470862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0">
        <f t="shared" si="109"/>
        <v>293.33333333333439</v>
      </c>
      <c r="S150" s="60">
        <f ca="1">AVERAGE(OFFSET($R$3,0,0,'Données projet'!$E$9+1,1))-AVERAGE(OFFSET($H$3,0,0,'Données projet'!$E$9+1,1))</f>
        <v>223.38593045370783</v>
      </c>
      <c r="T150" s="60">
        <f t="shared" si="142"/>
        <v>161.68519532023998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5.1159076974727213E-13</v>
      </c>
      <c r="AJ150" s="14">
        <f>AI150*VLOOKUP('Données projet'!$B$10,Paramètres!$A$1:$I$89,3,0)*VLOOKUP('Données projet'!$B$10,Paramètres!$A$1:$I$89,5,0)</f>
        <v>3.0593128030886877E-13</v>
      </c>
      <c r="AK150" s="14">
        <f t="shared" si="143"/>
        <v>4.0350537939347394E-12</v>
      </c>
      <c r="AL150" s="22">
        <f t="shared" si="112"/>
        <v>7.5605490043076185E-12</v>
      </c>
      <c r="AM150" s="60">
        <f t="shared" si="113"/>
        <v>293.33333333334087</v>
      </c>
      <c r="AN150" s="60">
        <f ca="1">AVERAGE(OFFSET($AM$3,0,0,'Données projet'!$E$10+1,1))-AVERAGE(OFFSET($H$3,0,0,'Données projet'!$E$10+1,1))</f>
        <v>216.19747366796145</v>
      </c>
      <c r="AO150" s="60">
        <f t="shared" si="144"/>
        <v>122.08911898780889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3.0537981452509283E-17</v>
      </c>
      <c r="AX150" s="23">
        <f t="shared" si="114"/>
        <v>3.0537981452509283E-17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-6.2527760746888816E-13</v>
      </c>
      <c r="BE150" s="14">
        <f>BD150*VLOOKUP('Données projet'!$B$11,Paramètres!$A$1:$I$89,3,0)*VLOOKUP('Données projet'!$B$11,Paramètres!$A$1:$I$89,5,0)</f>
        <v>-2.9262992029543964E-13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179.52358670810645</v>
      </c>
      <c r="BJ150" s="60">
        <f t="shared" si="146"/>
        <v>89.471764801078166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1.1882548278663309E-13</v>
      </c>
      <c r="CA150" s="14">
        <f t="shared" si="147"/>
        <v>1.7496137229198366E-12</v>
      </c>
      <c r="CB150" s="22">
        <f t="shared" si="118"/>
        <v>3.2541982832721012E-12</v>
      </c>
      <c r="CC150" s="60">
        <f t="shared" si="119"/>
        <v>293.33333333333655</v>
      </c>
      <c r="CD150" s="60">
        <f ca="1">AVERAGE(OFFSET($CC$3,0,0,'Données projet'!$E$12+1,1))-AVERAGE(OFFSET($H$3,0,0,'Données projet'!$E$12+1,1))</f>
        <v>304.57411436867147</v>
      </c>
      <c r="CE150" s="60">
        <f t="shared" si="148"/>
        <v>178.19974548556962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1.0995790944434703E-13</v>
      </c>
      <c r="CV150" s="14">
        <f t="shared" si="149"/>
        <v>1.6337280948049956E-12</v>
      </c>
      <c r="CW150" s="22">
        <f t="shared" si="121"/>
        <v>3.036919790734272E-12</v>
      </c>
      <c r="CX150" s="60">
        <f t="shared" si="122"/>
        <v>293.33333333333633</v>
      </c>
      <c r="CY150" s="60">
        <f ca="1">AVERAGE(OFFSET($CX$3,0,0,'Données projet'!$E$13+1,1))-AVERAGE(OFFSET($H$3,0,0,'Données projet'!$E$13+1,1))</f>
        <v>279.37339904167601</v>
      </c>
      <c r="CZ150" s="60">
        <f t="shared" si="150"/>
        <v>163.80861186980007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0" t="e">
        <f t="shared" si="125"/>
        <v>#N/A</v>
      </c>
      <c r="DT150" s="60" t="e">
        <f ca="1">AVERAGE(OFFSET($DS$3,0,0,'Données projet'!$E$14+1,1))-AVERAGE(OFFSET($H$3,0,0,'Données projet'!$E$14+1,1))</f>
        <v>#N/A</v>
      </c>
      <c r="DU150" s="60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40.404000000000067</v>
      </c>
      <c r="D151" s="12">
        <f t="shared" si="140"/>
        <v>12.105664442616728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405.33776060967352</v>
      </c>
      <c r="H151" s="68">
        <f t="shared" si="110"/>
        <v>384.78766557089091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0">
        <f t="shared" si="109"/>
        <v>293.33333333333439</v>
      </c>
      <c r="S151" s="60">
        <f ca="1">AVERAGE(OFFSET($R$3,0,0,'Données projet'!$E$9+1,1))-AVERAGE(OFFSET($H$3,0,0,'Données projet'!$E$9+1,1))</f>
        <v>223.38593045370783</v>
      </c>
      <c r="T151" s="60">
        <f t="shared" si="142"/>
        <v>161.68519532023998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5.1159076974727213E-13</v>
      </c>
      <c r="AJ151" s="14">
        <f>AI151*VLOOKUP('Données projet'!$B$10,Paramètres!$A$1:$I$89,3,0)*VLOOKUP('Données projet'!$B$10,Paramètres!$A$1:$I$89,5,0)</f>
        <v>3.0593128030886877E-13</v>
      </c>
      <c r="AK151" s="14">
        <f t="shared" si="143"/>
        <v>4.0350537939347394E-12</v>
      </c>
      <c r="AL151" s="22">
        <f t="shared" si="112"/>
        <v>7.5605490043076185E-12</v>
      </c>
      <c r="AM151" s="60">
        <f t="shared" si="113"/>
        <v>293.33333333334087</v>
      </c>
      <c r="AN151" s="60">
        <f ca="1">AVERAGE(OFFSET($AM$3,0,0,'Données projet'!$E$10+1,1))-AVERAGE(OFFSET($H$3,0,0,'Données projet'!$E$10+1,1))</f>
        <v>216.19747366796145</v>
      </c>
      <c r="AO151" s="60">
        <f t="shared" si="144"/>
        <v>122.08911898780889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2.1593613768818329E-17</v>
      </c>
      <c r="AX151" s="23">
        <f t="shared" si="114"/>
        <v>2.1593613768818329E-17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-6.2527760746888816E-13</v>
      </c>
      <c r="BE151" s="14">
        <f>BD151*VLOOKUP('Données projet'!$B$11,Paramètres!$A$1:$I$89,3,0)*VLOOKUP('Données projet'!$B$11,Paramètres!$A$1:$I$89,5,0)</f>
        <v>-2.9262992029543964E-13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179.52358670810645</v>
      </c>
      <c r="BJ151" s="60">
        <f t="shared" si="146"/>
        <v>89.471764801078166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1.1882548278663309E-13</v>
      </c>
      <c r="CA151" s="14">
        <f t="shared" si="147"/>
        <v>1.7496137229198366E-12</v>
      </c>
      <c r="CB151" s="22">
        <f t="shared" si="118"/>
        <v>3.2541982832721012E-12</v>
      </c>
      <c r="CC151" s="60">
        <f t="shared" si="119"/>
        <v>293.33333333333655</v>
      </c>
      <c r="CD151" s="60">
        <f ca="1">AVERAGE(OFFSET($CC$3,0,0,'Données projet'!$E$12+1,1))-AVERAGE(OFFSET($H$3,0,0,'Données projet'!$E$12+1,1))</f>
        <v>304.57411436867147</v>
      </c>
      <c r="CE151" s="60">
        <f t="shared" si="148"/>
        <v>178.19974548556962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1.0995790944434703E-13</v>
      </c>
      <c r="CV151" s="14">
        <f t="shared" si="149"/>
        <v>1.6337280948049956E-12</v>
      </c>
      <c r="CW151" s="22">
        <f t="shared" si="121"/>
        <v>3.036919790734272E-12</v>
      </c>
      <c r="CX151" s="60">
        <f t="shared" si="122"/>
        <v>293.33333333333633</v>
      </c>
      <c r="CY151" s="60">
        <f ca="1">AVERAGE(OFFSET($CX$3,0,0,'Données projet'!$E$13+1,1))-AVERAGE(OFFSET($H$3,0,0,'Données projet'!$E$13+1,1))</f>
        <v>279.37339904167601</v>
      </c>
      <c r="CZ151" s="60">
        <f t="shared" si="150"/>
        <v>163.80861186980007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0" t="e">
        <f t="shared" si="125"/>
        <v>#N/A</v>
      </c>
      <c r="DT151" s="60" t="e">
        <f ca="1">AVERAGE(OFFSET($DS$3,0,0,'Données projet'!$E$14+1,1))-AVERAGE(OFFSET($H$3,0,0,'Données projet'!$E$14+1,1))</f>
        <v>#N/A</v>
      </c>
      <c r="DU151" s="60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40.677000000000071</v>
      </c>
      <c r="D152" s="12">
        <f t="shared" si="140"/>
        <v>12.177910181051889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408.00281543268187</v>
      </c>
      <c r="H152" s="68">
        <f t="shared" si="110"/>
        <v>385.38896856533216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0">
        <f t="shared" si="109"/>
        <v>293.33333333333439</v>
      </c>
      <c r="S152" s="60">
        <f ca="1">AVERAGE(OFFSET($R$3,0,0,'Données projet'!$E$9+1,1))-AVERAGE(OFFSET($H$3,0,0,'Données projet'!$E$9+1,1))</f>
        <v>223.38593045370783</v>
      </c>
      <c r="T152" s="60">
        <f t="shared" si="142"/>
        <v>161.68519532023998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5.1159076974727213E-13</v>
      </c>
      <c r="AJ152" s="14">
        <f>AI152*VLOOKUP('Données projet'!$B$10,Paramètres!$A$1:$I$89,3,0)*VLOOKUP('Données projet'!$B$10,Paramètres!$A$1:$I$89,5,0)</f>
        <v>3.0593128030886877E-13</v>
      </c>
      <c r="AK152" s="14">
        <f t="shared" si="143"/>
        <v>4.0350537939347394E-12</v>
      </c>
      <c r="AL152" s="22">
        <f t="shared" si="112"/>
        <v>7.5605490043076185E-12</v>
      </c>
      <c r="AM152" s="60">
        <f t="shared" si="113"/>
        <v>293.33333333334087</v>
      </c>
      <c r="AN152" s="60">
        <f ca="1">AVERAGE(OFFSET($AM$3,0,0,'Données projet'!$E$10+1,1))-AVERAGE(OFFSET($H$3,0,0,'Données projet'!$E$10+1,1))</f>
        <v>216.19747366796145</v>
      </c>
      <c r="AO152" s="60">
        <f t="shared" si="144"/>
        <v>122.08911898780889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1.5268990726254642E-17</v>
      </c>
      <c r="AX152" s="23">
        <f t="shared" si="114"/>
        <v>1.5268990726254642E-17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-6.2527760746888816E-13</v>
      </c>
      <c r="BE152" s="14">
        <f>BD152*VLOOKUP('Données projet'!$B$11,Paramètres!$A$1:$I$89,3,0)*VLOOKUP('Données projet'!$B$11,Paramètres!$A$1:$I$89,5,0)</f>
        <v>-2.9262992029543964E-13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179.52358670810645</v>
      </c>
      <c r="BJ152" s="60">
        <f t="shared" si="146"/>
        <v>89.471764801078166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1.1882548278663309E-13</v>
      </c>
      <c r="CA152" s="14">
        <f t="shared" si="147"/>
        <v>1.7496137229198366E-12</v>
      </c>
      <c r="CB152" s="22">
        <f t="shared" si="118"/>
        <v>3.2541982832721012E-12</v>
      </c>
      <c r="CC152" s="60">
        <f t="shared" si="119"/>
        <v>293.33333333333655</v>
      </c>
      <c r="CD152" s="60">
        <f ca="1">AVERAGE(OFFSET($CC$3,0,0,'Données projet'!$E$12+1,1))-AVERAGE(OFFSET($H$3,0,0,'Données projet'!$E$12+1,1))</f>
        <v>304.57411436867147</v>
      </c>
      <c r="CE152" s="60">
        <f t="shared" si="148"/>
        <v>178.19974548556962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1.0995790944434703E-13</v>
      </c>
      <c r="CV152" s="14">
        <f t="shared" si="149"/>
        <v>1.6337280948049956E-12</v>
      </c>
      <c r="CW152" s="22">
        <f t="shared" si="121"/>
        <v>3.036919790734272E-12</v>
      </c>
      <c r="CX152" s="60">
        <f t="shared" si="122"/>
        <v>293.33333333333633</v>
      </c>
      <c r="CY152" s="60">
        <f ca="1">AVERAGE(OFFSET($CX$3,0,0,'Données projet'!$E$13+1,1))-AVERAGE(OFFSET($H$3,0,0,'Données projet'!$E$13+1,1))</f>
        <v>279.37339904167601</v>
      </c>
      <c r="CZ152" s="60">
        <f t="shared" si="150"/>
        <v>163.80861186980007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0" t="e">
        <f t="shared" si="125"/>
        <v>#N/A</v>
      </c>
      <c r="DT152" s="60" t="e">
        <f ca="1">AVERAGE(OFFSET($DS$3,0,0,'Données projet'!$E$14+1,1))-AVERAGE(OFFSET($H$3,0,0,'Données projet'!$E$14+1,1))</f>
        <v>#N/A</v>
      </c>
      <c r="DU152" s="60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40.950000000000074</v>
      </c>
      <c r="D153" s="12">
        <f t="shared" si="140"/>
        <v>12.250099502125865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410.66743475325285</v>
      </c>
      <c r="H153" s="68">
        <f t="shared" si="110"/>
        <v>385.99017329953597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0">
        <f t="shared" si="109"/>
        <v>293.33333333333439</v>
      </c>
      <c r="S153" s="60">
        <f ca="1">AVERAGE(OFFSET($R$3,0,0,'Données projet'!$E$9+1,1))-AVERAGE(OFFSET($H$3,0,0,'Données projet'!$E$9+1,1))</f>
        <v>223.38593045370783</v>
      </c>
      <c r="T153" s="60">
        <f t="shared" si="142"/>
        <v>161.68519532023998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5.1159076974727213E-13</v>
      </c>
      <c r="AJ153" s="14">
        <f>AI153*VLOOKUP('Données projet'!$B$10,Paramètres!$A$1:$I$89,3,0)*VLOOKUP('Données projet'!$B$10,Paramètres!$A$1:$I$89,5,0)</f>
        <v>3.0593128030886877E-13</v>
      </c>
      <c r="AK153" s="14">
        <f t="shared" si="143"/>
        <v>4.0350537939347394E-12</v>
      </c>
      <c r="AL153" s="22">
        <f t="shared" si="112"/>
        <v>7.5605490043076185E-12</v>
      </c>
      <c r="AM153" s="60">
        <f t="shared" si="113"/>
        <v>293.33333333334087</v>
      </c>
      <c r="AN153" s="60">
        <f ca="1">AVERAGE(OFFSET($AM$3,0,0,'Données projet'!$E$10+1,1))-AVERAGE(OFFSET($H$3,0,0,'Données projet'!$E$10+1,1))</f>
        <v>216.19747366796145</v>
      </c>
      <c r="AO153" s="60">
        <f t="shared" si="144"/>
        <v>122.08911898780889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1.0796806884409164E-17</v>
      </c>
      <c r="AX153" s="23">
        <f t="shared" si="114"/>
        <v>1.0796806884409164E-17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-6.2527760746888816E-13</v>
      </c>
      <c r="BE153" s="14">
        <f>BD153*VLOOKUP('Données projet'!$B$11,Paramètres!$A$1:$I$89,3,0)*VLOOKUP('Données projet'!$B$11,Paramètres!$A$1:$I$89,5,0)</f>
        <v>-2.9262992029543964E-13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179.52358670810645</v>
      </c>
      <c r="BJ153" s="60">
        <f t="shared" si="146"/>
        <v>89.471764801078166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1.1882548278663309E-13</v>
      </c>
      <c r="CA153" s="14">
        <f t="shared" si="147"/>
        <v>1.7496137229198366E-12</v>
      </c>
      <c r="CB153" s="22">
        <f t="shared" si="118"/>
        <v>3.2541982832721012E-12</v>
      </c>
      <c r="CC153" s="60">
        <f t="shared" si="119"/>
        <v>293.33333333333655</v>
      </c>
      <c r="CD153" s="60">
        <f ca="1">AVERAGE(OFFSET($CC$3,0,0,'Données projet'!$E$12+1,1))-AVERAGE(OFFSET($H$3,0,0,'Données projet'!$E$12+1,1))</f>
        <v>304.57411436867147</v>
      </c>
      <c r="CE153" s="60">
        <f t="shared" si="148"/>
        <v>178.19974548556962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1.0995790944434703E-13</v>
      </c>
      <c r="CV153" s="14">
        <f t="shared" si="149"/>
        <v>1.6337280948049956E-12</v>
      </c>
      <c r="CW153" s="22">
        <f t="shared" si="121"/>
        <v>3.036919790734272E-12</v>
      </c>
      <c r="CX153" s="60">
        <f t="shared" si="122"/>
        <v>293.33333333333633</v>
      </c>
      <c r="CY153" s="60">
        <f ca="1">AVERAGE(OFFSET($CX$3,0,0,'Données projet'!$E$13+1,1))-AVERAGE(OFFSET($H$3,0,0,'Données projet'!$E$13+1,1))</f>
        <v>279.37339904167601</v>
      </c>
      <c r="CZ153" s="60">
        <f t="shared" si="150"/>
        <v>163.80861186980007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0" t="e">
        <f t="shared" si="125"/>
        <v>#N/A</v>
      </c>
      <c r="DT153" s="60" t="e">
        <f ca="1">AVERAGE(OFFSET($DS$3,0,0,'Données projet'!$E$14+1,1))-AVERAGE(OFFSET($H$3,0,0,'Données projet'!$E$14+1,1))</f>
        <v>#N/A</v>
      </c>
      <c r="DU153" s="60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41.223000000000077</v>
      </c>
      <c r="D154" s="12">
        <f t="shared" si="140"/>
        <v>12.322232825577638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413.33162181147713</v>
      </c>
      <c r="H154" s="68">
        <f t="shared" si="110"/>
        <v>386.59128050454785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0">
        <f t="shared" si="109"/>
        <v>293.33333333333439</v>
      </c>
      <c r="S154" s="60">
        <f ca="1">AVERAGE(OFFSET($R$3,0,0,'Données projet'!$E$9+1,1))-AVERAGE(OFFSET($H$3,0,0,'Données projet'!$E$9+1,1))</f>
        <v>223.38593045370783</v>
      </c>
      <c r="T154" s="60">
        <f t="shared" si="142"/>
        <v>161.68519532023998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5.1159076974727213E-13</v>
      </c>
      <c r="AJ154" s="14">
        <f>AI154*VLOOKUP('Données projet'!$B$10,Paramètres!$A$1:$I$89,3,0)*VLOOKUP('Données projet'!$B$10,Paramètres!$A$1:$I$89,5,0)</f>
        <v>3.0593128030886877E-13</v>
      </c>
      <c r="AK154" s="14">
        <f t="shared" ref="AK154:AK203" si="164">EXP(-1.0587+0.8836*LN(AJ154)+0.284)</f>
        <v>4.0350537939347394E-12</v>
      </c>
      <c r="AL154" s="22">
        <f t="shared" ref="AL154:AL203" si="165">(AJ154+AK154)*0.475*44/12</f>
        <v>7.5605490043076185E-12</v>
      </c>
      <c r="AM154" s="60">
        <f t="shared" si="113"/>
        <v>293.33333333334087</v>
      </c>
      <c r="AN154" s="60">
        <f ca="1">AVERAGE(OFFSET($AM$3,0,0,'Données projet'!$E$10+1,1))-AVERAGE(OFFSET($H$3,0,0,'Données projet'!$E$10+1,1))</f>
        <v>216.19747366796145</v>
      </c>
      <c r="AO154" s="60">
        <f t="shared" si="144"/>
        <v>122.08911898780889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7.6344953631273208E-18</v>
      </c>
      <c r="AX154" s="23">
        <f t="shared" ref="AX154:AX203" si="166">SUM(AU154:AW154)</f>
        <v>7.6344953631273208E-18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-6.2527760746888816E-13</v>
      </c>
      <c r="BE154" s="14">
        <f>BD154*VLOOKUP('Données projet'!$B$11,Paramètres!$A$1:$I$89,3,0)*VLOOKUP('Données projet'!$B$11,Paramètres!$A$1:$I$89,5,0)</f>
        <v>-2.9262992029543964E-13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179.52358670810645</v>
      </c>
      <c r="BJ154" s="60">
        <f t="shared" si="146"/>
        <v>89.471764801078166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1.1882548278663309E-13</v>
      </c>
      <c r="CA154" s="14">
        <f t="shared" ref="CA154:CA203" si="170">EXP(-1.0587+0.8836*LN(BZ154)+0.284)</f>
        <v>1.7496137229198366E-12</v>
      </c>
      <c r="CB154" s="22">
        <f t="shared" ref="CB154:CB203" si="171">(BZ154+CA154)*0.475*44/12</f>
        <v>3.2541982832721012E-12</v>
      </c>
      <c r="CC154" s="60">
        <f t="shared" si="119"/>
        <v>293.33333333333655</v>
      </c>
      <c r="CD154" s="60">
        <f ca="1">AVERAGE(OFFSET($CC$3,0,0,'Données projet'!$E$12+1,1))-AVERAGE(OFFSET($H$3,0,0,'Données projet'!$E$12+1,1))</f>
        <v>304.57411436867147</v>
      </c>
      <c r="CE154" s="60">
        <f t="shared" si="148"/>
        <v>178.19974548556962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1.0995790944434703E-13</v>
      </c>
      <c r="CV154" s="14">
        <f t="shared" ref="CV154:CV203" si="173">EXP(-1.0587+0.8836*LN(CU154)+0.284)</f>
        <v>1.6337280948049956E-12</v>
      </c>
      <c r="CW154" s="22">
        <f t="shared" ref="CW154:CW203" si="174">(CU154+CV154)*0.475*44/12</f>
        <v>3.036919790734272E-12</v>
      </c>
      <c r="CX154" s="60">
        <f t="shared" si="122"/>
        <v>293.33333333333633</v>
      </c>
      <c r="CY154" s="60">
        <f ca="1">AVERAGE(OFFSET($CX$3,0,0,'Données projet'!$E$13+1,1))-AVERAGE(OFFSET($H$3,0,0,'Données projet'!$E$13+1,1))</f>
        <v>279.37339904167601</v>
      </c>
      <c r="CZ154" s="60">
        <f t="shared" si="150"/>
        <v>163.80861186980007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0" t="e">
        <f t="shared" si="125"/>
        <v>#N/A</v>
      </c>
      <c r="DT154" s="60" t="e">
        <f ca="1">AVERAGE(OFFSET($DS$3,0,0,'Données projet'!$E$14+1,1))-AVERAGE(OFFSET($H$3,0,0,'Données projet'!$E$14+1,1))</f>
        <v>#N/A</v>
      </c>
      <c r="DU154" s="60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41.49600000000008</v>
      </c>
      <c r="D155" s="12">
        <f t="shared" si="140"/>
        <v>12.394310565265293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415.99537980204849</v>
      </c>
      <c r="H155" s="68">
        <f t="shared" si="110"/>
        <v>387.19229090117051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0">
        <f t="shared" si="109"/>
        <v>293.33333333333439</v>
      </c>
      <c r="S155" s="60">
        <f ca="1">AVERAGE(OFFSET($R$3,0,0,'Données projet'!$E$9+1,1))-AVERAGE(OFFSET($H$3,0,0,'Données projet'!$E$9+1,1))</f>
        <v>223.38593045370783</v>
      </c>
      <c r="T155" s="60">
        <f t="shared" si="142"/>
        <v>161.68519532023998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5.1159076974727213E-13</v>
      </c>
      <c r="AJ155" s="14">
        <f>AI155*VLOOKUP('Données projet'!$B$10,Paramètres!$A$1:$I$89,3,0)*VLOOKUP('Données projet'!$B$10,Paramètres!$A$1:$I$89,5,0)</f>
        <v>3.0593128030886877E-13</v>
      </c>
      <c r="AK155" s="14">
        <f t="shared" si="164"/>
        <v>4.0350537939347394E-12</v>
      </c>
      <c r="AL155" s="22">
        <f t="shared" si="165"/>
        <v>7.5605490043076185E-12</v>
      </c>
      <c r="AM155" s="60">
        <f t="shared" si="113"/>
        <v>293.33333333334087</v>
      </c>
      <c r="AN155" s="60">
        <f ca="1">AVERAGE(OFFSET($AM$3,0,0,'Données projet'!$E$10+1,1))-AVERAGE(OFFSET($H$3,0,0,'Données projet'!$E$10+1,1))</f>
        <v>216.19747366796145</v>
      </c>
      <c r="AO155" s="60">
        <f t="shared" si="144"/>
        <v>122.08911898780889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5.3984034422045822E-18</v>
      </c>
      <c r="AX155" s="23">
        <f t="shared" si="166"/>
        <v>5.3984034422045822E-18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-6.2527760746888816E-13</v>
      </c>
      <c r="BE155" s="14">
        <f>BD155*VLOOKUP('Données projet'!$B$11,Paramètres!$A$1:$I$89,3,0)*VLOOKUP('Données projet'!$B$11,Paramètres!$A$1:$I$89,5,0)</f>
        <v>-2.9262992029543964E-13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179.52358670810645</v>
      </c>
      <c r="BJ155" s="60">
        <f t="shared" si="146"/>
        <v>89.471764801078166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1.1882548278663309E-13</v>
      </c>
      <c r="CA155" s="14">
        <f t="shared" si="170"/>
        <v>1.7496137229198366E-12</v>
      </c>
      <c r="CB155" s="22">
        <f t="shared" si="171"/>
        <v>3.2541982832721012E-12</v>
      </c>
      <c r="CC155" s="60">
        <f t="shared" si="119"/>
        <v>293.33333333333655</v>
      </c>
      <c r="CD155" s="60">
        <f ca="1">AVERAGE(OFFSET($CC$3,0,0,'Données projet'!$E$12+1,1))-AVERAGE(OFFSET($H$3,0,0,'Données projet'!$E$12+1,1))</f>
        <v>304.57411436867147</v>
      </c>
      <c r="CE155" s="60">
        <f t="shared" si="148"/>
        <v>178.19974548556962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1.0995790944434703E-13</v>
      </c>
      <c r="CV155" s="14">
        <f t="shared" si="173"/>
        <v>1.6337280948049956E-12</v>
      </c>
      <c r="CW155" s="22">
        <f t="shared" si="174"/>
        <v>3.036919790734272E-12</v>
      </c>
      <c r="CX155" s="60">
        <f t="shared" si="122"/>
        <v>293.33333333333633</v>
      </c>
      <c r="CY155" s="60">
        <f ca="1">AVERAGE(OFFSET($CX$3,0,0,'Données projet'!$E$13+1,1))-AVERAGE(OFFSET($H$3,0,0,'Données projet'!$E$13+1,1))</f>
        <v>279.37339904167601</v>
      </c>
      <c r="CZ155" s="60">
        <f t="shared" si="150"/>
        <v>163.80861186980007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0" t="e">
        <f t="shared" si="125"/>
        <v>#N/A</v>
      </c>
      <c r="DT155" s="60" t="e">
        <f ca="1">AVERAGE(OFFSET($DS$3,0,0,'Données projet'!$E$14+1,1))-AVERAGE(OFFSET($H$3,0,0,'Données projet'!$E$14+1,1))</f>
        <v>#N/A</v>
      </c>
      <c r="DU155" s="60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41.769000000000084</v>
      </c>
      <c r="D156" s="12">
        <f t="shared" si="140"/>
        <v>12.46633312928658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418.65871187519537</v>
      </c>
      <c r="H156" s="68">
        <f t="shared" si="110"/>
        <v>387.79320520017427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0">
        <f t="shared" si="109"/>
        <v>293.33333333333439</v>
      </c>
      <c r="S156" s="60">
        <f ca="1">AVERAGE(OFFSET($R$3,0,0,'Données projet'!$E$9+1,1))-AVERAGE(OFFSET($H$3,0,0,'Données projet'!$E$9+1,1))</f>
        <v>223.38593045370783</v>
      </c>
      <c r="T156" s="60">
        <f t="shared" si="142"/>
        <v>161.68519532023998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5.1159076974727213E-13</v>
      </c>
      <c r="AJ156" s="14">
        <f>AI156*VLOOKUP('Données projet'!$B$10,Paramètres!$A$1:$I$89,3,0)*VLOOKUP('Données projet'!$B$10,Paramètres!$A$1:$I$89,5,0)</f>
        <v>3.0593128030886877E-13</v>
      </c>
      <c r="AK156" s="14">
        <f t="shared" si="164"/>
        <v>4.0350537939347394E-12</v>
      </c>
      <c r="AL156" s="22">
        <f t="shared" si="165"/>
        <v>7.5605490043076185E-12</v>
      </c>
      <c r="AM156" s="60">
        <f t="shared" si="113"/>
        <v>293.33333333334087</v>
      </c>
      <c r="AN156" s="60">
        <f ca="1">AVERAGE(OFFSET($AM$3,0,0,'Données projet'!$E$10+1,1))-AVERAGE(OFFSET($H$3,0,0,'Données projet'!$E$10+1,1))</f>
        <v>216.19747366796145</v>
      </c>
      <c r="AO156" s="60">
        <f t="shared" si="144"/>
        <v>122.08911898780889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3.8172476815636604E-18</v>
      </c>
      <c r="AX156" s="23">
        <f t="shared" si="166"/>
        <v>3.8172476815636604E-18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-6.2527760746888816E-13</v>
      </c>
      <c r="BE156" s="14">
        <f>BD156*VLOOKUP('Données projet'!$B$11,Paramètres!$A$1:$I$89,3,0)*VLOOKUP('Données projet'!$B$11,Paramètres!$A$1:$I$89,5,0)</f>
        <v>-2.9262992029543964E-13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179.52358670810645</v>
      </c>
      <c r="BJ156" s="60">
        <f t="shared" si="146"/>
        <v>89.471764801078166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1.1882548278663309E-13</v>
      </c>
      <c r="CA156" s="14">
        <f t="shared" si="170"/>
        <v>1.7496137229198366E-12</v>
      </c>
      <c r="CB156" s="22">
        <f t="shared" si="171"/>
        <v>3.2541982832721012E-12</v>
      </c>
      <c r="CC156" s="60">
        <f t="shared" si="119"/>
        <v>293.33333333333655</v>
      </c>
      <c r="CD156" s="60">
        <f ca="1">AVERAGE(OFFSET($CC$3,0,0,'Données projet'!$E$12+1,1))-AVERAGE(OFFSET($H$3,0,0,'Données projet'!$E$12+1,1))</f>
        <v>304.57411436867147</v>
      </c>
      <c r="CE156" s="60">
        <f t="shared" si="148"/>
        <v>178.19974548556962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1.0995790944434703E-13</v>
      </c>
      <c r="CV156" s="14">
        <f t="shared" si="173"/>
        <v>1.6337280948049956E-12</v>
      </c>
      <c r="CW156" s="22">
        <f t="shared" si="174"/>
        <v>3.036919790734272E-12</v>
      </c>
      <c r="CX156" s="60">
        <f t="shared" si="122"/>
        <v>293.33333333333633</v>
      </c>
      <c r="CY156" s="60">
        <f ca="1">AVERAGE(OFFSET($CX$3,0,0,'Données projet'!$E$13+1,1))-AVERAGE(OFFSET($H$3,0,0,'Données projet'!$E$13+1,1))</f>
        <v>279.37339904167601</v>
      </c>
      <c r="CZ156" s="60">
        <f t="shared" si="150"/>
        <v>163.80861186980007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0" t="e">
        <f t="shared" si="125"/>
        <v>#N/A</v>
      </c>
      <c r="DT156" s="60" t="e">
        <f ca="1">AVERAGE(OFFSET($DS$3,0,0,'Données projet'!$E$14+1,1))-AVERAGE(OFFSET($H$3,0,0,'Données projet'!$E$14+1,1))</f>
        <v>#N/A</v>
      </c>
      <c r="DU156" s="60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42.042000000000087</v>
      </c>
      <c r="D157" s="12">
        <f t="shared" si="140"/>
        <v>12.538300920096198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421.3216211375854</v>
      </c>
      <c r="H157" s="68">
        <f t="shared" si="110"/>
        <v>388.39402410250102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0">
        <f t="shared" si="109"/>
        <v>293.33333333333439</v>
      </c>
      <c r="S157" s="60">
        <f ca="1">AVERAGE(OFFSET($R$3,0,0,'Données projet'!$E$9+1,1))-AVERAGE(OFFSET($H$3,0,0,'Données projet'!$E$9+1,1))</f>
        <v>223.38593045370783</v>
      </c>
      <c r="T157" s="60">
        <f t="shared" si="142"/>
        <v>161.68519532023998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5.1159076974727213E-13</v>
      </c>
      <c r="AJ157" s="14">
        <f>AI157*VLOOKUP('Données projet'!$B$10,Paramètres!$A$1:$I$89,3,0)*VLOOKUP('Données projet'!$B$10,Paramètres!$A$1:$I$89,5,0)</f>
        <v>3.0593128030886877E-13</v>
      </c>
      <c r="AK157" s="14">
        <f t="shared" si="164"/>
        <v>4.0350537939347394E-12</v>
      </c>
      <c r="AL157" s="22">
        <f t="shared" si="165"/>
        <v>7.5605490043076185E-12</v>
      </c>
      <c r="AM157" s="60">
        <f t="shared" si="113"/>
        <v>293.33333333334087</v>
      </c>
      <c r="AN157" s="60">
        <f ca="1">AVERAGE(OFFSET($AM$3,0,0,'Données projet'!$E$10+1,1))-AVERAGE(OFFSET($H$3,0,0,'Données projet'!$E$10+1,1))</f>
        <v>216.19747366796145</v>
      </c>
      <c r="AO157" s="60">
        <f t="shared" si="144"/>
        <v>122.08911898780889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2.6992017211022911E-18</v>
      </c>
      <c r="AX157" s="23">
        <f t="shared" si="166"/>
        <v>2.6992017211022911E-18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-6.2527760746888816E-13</v>
      </c>
      <c r="BE157" s="14">
        <f>BD157*VLOOKUP('Données projet'!$B$11,Paramètres!$A$1:$I$89,3,0)*VLOOKUP('Données projet'!$B$11,Paramètres!$A$1:$I$89,5,0)</f>
        <v>-2.9262992029543964E-13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179.52358670810645</v>
      </c>
      <c r="BJ157" s="60">
        <f t="shared" si="146"/>
        <v>89.471764801078166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1.1882548278663309E-13</v>
      </c>
      <c r="CA157" s="14">
        <f t="shared" si="170"/>
        <v>1.7496137229198366E-12</v>
      </c>
      <c r="CB157" s="22">
        <f t="shared" si="171"/>
        <v>3.2541982832721012E-12</v>
      </c>
      <c r="CC157" s="60">
        <f t="shared" si="119"/>
        <v>293.33333333333655</v>
      </c>
      <c r="CD157" s="60">
        <f ca="1">AVERAGE(OFFSET($CC$3,0,0,'Données projet'!$E$12+1,1))-AVERAGE(OFFSET($H$3,0,0,'Données projet'!$E$12+1,1))</f>
        <v>304.57411436867147</v>
      </c>
      <c r="CE157" s="60">
        <f t="shared" si="148"/>
        <v>178.19974548556962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1.0995790944434703E-13</v>
      </c>
      <c r="CV157" s="14">
        <f t="shared" si="173"/>
        <v>1.6337280948049956E-12</v>
      </c>
      <c r="CW157" s="22">
        <f t="shared" si="174"/>
        <v>3.036919790734272E-12</v>
      </c>
      <c r="CX157" s="60">
        <f t="shared" si="122"/>
        <v>293.33333333333633</v>
      </c>
      <c r="CY157" s="60">
        <f ca="1">AVERAGE(OFFSET($CX$3,0,0,'Données projet'!$E$13+1,1))-AVERAGE(OFFSET($H$3,0,0,'Données projet'!$E$13+1,1))</f>
        <v>279.37339904167601</v>
      </c>
      <c r="CZ157" s="60">
        <f t="shared" si="150"/>
        <v>163.80861186980007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0" t="e">
        <f t="shared" si="125"/>
        <v>#N/A</v>
      </c>
      <c r="DT157" s="60" t="e">
        <f ca="1">AVERAGE(OFFSET($DS$3,0,0,'Données projet'!$E$14+1,1))-AVERAGE(OFFSET($H$3,0,0,'Données projet'!$E$14+1,1))</f>
        <v>#N/A</v>
      </c>
      <c r="DU157" s="60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42.31500000000009</v>
      </c>
      <c r="D158" s="12">
        <f t="shared" si="140"/>
        <v>12.610214334619933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423.98411065320721</v>
      </c>
      <c r="H158" s="68">
        <f t="shared" si="110"/>
        <v>388.9947482994632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0">
        <f t="shared" si="109"/>
        <v>293.33333333333439</v>
      </c>
      <c r="S158" s="60">
        <f ca="1">AVERAGE(OFFSET($R$3,0,0,'Données projet'!$E$9+1,1))-AVERAGE(OFFSET($H$3,0,0,'Données projet'!$E$9+1,1))</f>
        <v>223.38593045370783</v>
      </c>
      <c r="T158" s="60">
        <f t="shared" si="142"/>
        <v>161.68519532023998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5.1159076974727213E-13</v>
      </c>
      <c r="AJ158" s="14">
        <f>AI158*VLOOKUP('Données projet'!$B$10,Paramètres!$A$1:$I$89,3,0)*VLOOKUP('Données projet'!$B$10,Paramètres!$A$1:$I$89,5,0)</f>
        <v>3.0593128030886877E-13</v>
      </c>
      <c r="AK158" s="14">
        <f t="shared" si="164"/>
        <v>4.0350537939347394E-12</v>
      </c>
      <c r="AL158" s="22">
        <f t="shared" si="165"/>
        <v>7.5605490043076185E-12</v>
      </c>
      <c r="AM158" s="60">
        <f t="shared" si="113"/>
        <v>293.33333333334087</v>
      </c>
      <c r="AN158" s="60">
        <f ca="1">AVERAGE(OFFSET($AM$3,0,0,'Données projet'!$E$10+1,1))-AVERAGE(OFFSET($H$3,0,0,'Données projet'!$E$10+1,1))</f>
        <v>216.19747366796145</v>
      </c>
      <c r="AO158" s="60">
        <f t="shared" si="144"/>
        <v>122.08911898780889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1.9086238407818302E-18</v>
      </c>
      <c r="AX158" s="23">
        <f t="shared" si="166"/>
        <v>1.9086238407818302E-18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-6.2527760746888816E-13</v>
      </c>
      <c r="BE158" s="14">
        <f>BD158*VLOOKUP('Données projet'!$B$11,Paramètres!$A$1:$I$89,3,0)*VLOOKUP('Données projet'!$B$11,Paramètres!$A$1:$I$89,5,0)</f>
        <v>-2.9262992029543964E-13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179.52358670810645</v>
      </c>
      <c r="BJ158" s="60">
        <f t="shared" si="146"/>
        <v>89.471764801078166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1.1882548278663309E-13</v>
      </c>
      <c r="CA158" s="14">
        <f t="shared" si="170"/>
        <v>1.7496137229198366E-12</v>
      </c>
      <c r="CB158" s="22">
        <f t="shared" si="171"/>
        <v>3.2541982832721012E-12</v>
      </c>
      <c r="CC158" s="60">
        <f t="shared" si="119"/>
        <v>293.33333333333655</v>
      </c>
      <c r="CD158" s="60">
        <f ca="1">AVERAGE(OFFSET($CC$3,0,0,'Données projet'!$E$12+1,1))-AVERAGE(OFFSET($H$3,0,0,'Données projet'!$E$12+1,1))</f>
        <v>304.57411436867147</v>
      </c>
      <c r="CE158" s="60">
        <f t="shared" si="148"/>
        <v>178.19974548556962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1.0995790944434703E-13</v>
      </c>
      <c r="CV158" s="14">
        <f t="shared" si="173"/>
        <v>1.6337280948049956E-12</v>
      </c>
      <c r="CW158" s="22">
        <f t="shared" si="174"/>
        <v>3.036919790734272E-12</v>
      </c>
      <c r="CX158" s="60">
        <f t="shared" si="122"/>
        <v>293.33333333333633</v>
      </c>
      <c r="CY158" s="60">
        <f ca="1">AVERAGE(OFFSET($CX$3,0,0,'Données projet'!$E$13+1,1))-AVERAGE(OFFSET($H$3,0,0,'Données projet'!$E$13+1,1))</f>
        <v>279.37339904167601</v>
      </c>
      <c r="CZ158" s="60">
        <f t="shared" si="150"/>
        <v>163.80861186980007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0" t="e">
        <f t="shared" si="125"/>
        <v>#N/A</v>
      </c>
      <c r="DT158" s="60" t="e">
        <f ca="1">AVERAGE(OFFSET($DS$3,0,0,'Données projet'!$E$14+1,1))-AVERAGE(OFFSET($H$3,0,0,'Données projet'!$E$14+1,1))</f>
        <v>#N/A</v>
      </c>
      <c r="DU158" s="60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42.588000000000093</v>
      </c>
      <c r="D159" s="12">
        <f t="shared" si="140"/>
        <v>12.682073764365791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426.64618344422792</v>
      </c>
      <c r="H159" s="68">
        <f t="shared" si="110"/>
        <v>389.59537847293723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0">
        <f t="shared" si="109"/>
        <v>293.33333333333439</v>
      </c>
      <c r="S159" s="60">
        <f ca="1">AVERAGE(OFFSET($R$3,0,0,'Données projet'!$E$9+1,1))-AVERAGE(OFFSET($H$3,0,0,'Données projet'!$E$9+1,1))</f>
        <v>223.38593045370783</v>
      </c>
      <c r="T159" s="60">
        <f t="shared" si="142"/>
        <v>161.68519532023998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5.1159076974727213E-13</v>
      </c>
      <c r="AJ159" s="14">
        <f>AI159*VLOOKUP('Données projet'!$B$10,Paramètres!$A$1:$I$89,3,0)*VLOOKUP('Données projet'!$B$10,Paramètres!$A$1:$I$89,5,0)</f>
        <v>3.0593128030886877E-13</v>
      </c>
      <c r="AK159" s="14">
        <f t="shared" si="164"/>
        <v>4.0350537939347394E-12</v>
      </c>
      <c r="AL159" s="22">
        <f t="shared" si="165"/>
        <v>7.5605490043076185E-12</v>
      </c>
      <c r="AM159" s="60">
        <f t="shared" si="113"/>
        <v>293.33333333334087</v>
      </c>
      <c r="AN159" s="60">
        <f ca="1">AVERAGE(OFFSET($AM$3,0,0,'Données projet'!$E$10+1,1))-AVERAGE(OFFSET($H$3,0,0,'Données projet'!$E$10+1,1))</f>
        <v>216.19747366796145</v>
      </c>
      <c r="AO159" s="60">
        <f t="shared" si="144"/>
        <v>122.08911898780889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1.3496008605511455E-18</v>
      </c>
      <c r="AX159" s="23">
        <f t="shared" si="166"/>
        <v>1.3496008605511455E-18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-6.2527760746888816E-13</v>
      </c>
      <c r="BE159" s="14">
        <f>BD159*VLOOKUP('Données projet'!$B$11,Paramètres!$A$1:$I$89,3,0)*VLOOKUP('Données projet'!$B$11,Paramètres!$A$1:$I$89,5,0)</f>
        <v>-2.9262992029543964E-13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179.52358670810645</v>
      </c>
      <c r="BJ159" s="60">
        <f t="shared" si="146"/>
        <v>89.471764801078166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1.1882548278663309E-13</v>
      </c>
      <c r="CA159" s="14">
        <f t="shared" si="170"/>
        <v>1.7496137229198366E-12</v>
      </c>
      <c r="CB159" s="22">
        <f t="shared" si="171"/>
        <v>3.2541982832721012E-12</v>
      </c>
      <c r="CC159" s="60">
        <f t="shared" si="119"/>
        <v>293.33333333333655</v>
      </c>
      <c r="CD159" s="60">
        <f ca="1">AVERAGE(OFFSET($CC$3,0,0,'Données projet'!$E$12+1,1))-AVERAGE(OFFSET($H$3,0,0,'Données projet'!$E$12+1,1))</f>
        <v>304.57411436867147</v>
      </c>
      <c r="CE159" s="60">
        <f t="shared" si="148"/>
        <v>178.19974548556962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1.0995790944434703E-13</v>
      </c>
      <c r="CV159" s="14">
        <f t="shared" si="173"/>
        <v>1.6337280948049956E-12</v>
      </c>
      <c r="CW159" s="22">
        <f t="shared" si="174"/>
        <v>3.036919790734272E-12</v>
      </c>
      <c r="CX159" s="60">
        <f t="shared" si="122"/>
        <v>293.33333333333633</v>
      </c>
      <c r="CY159" s="60">
        <f ca="1">AVERAGE(OFFSET($CX$3,0,0,'Données projet'!$E$13+1,1))-AVERAGE(OFFSET($H$3,0,0,'Données projet'!$E$13+1,1))</f>
        <v>279.37339904167601</v>
      </c>
      <c r="CZ159" s="60">
        <f t="shared" si="150"/>
        <v>163.80861186980007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0" t="e">
        <f t="shared" si="125"/>
        <v>#N/A</v>
      </c>
      <c r="DT159" s="60" t="e">
        <f ca="1">AVERAGE(OFFSET($DS$3,0,0,'Données projet'!$E$14+1,1))-AVERAGE(OFFSET($H$3,0,0,'Données projet'!$E$14+1,1))</f>
        <v>#N/A</v>
      </c>
      <c r="DU159" s="60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42.861000000000097</v>
      </c>
      <c r="D160" s="12">
        <f t="shared" si="140"/>
        <v>12.753879595532203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429.3078424918283</v>
      </c>
      <c r="H160" s="68">
        <f t="shared" si="110"/>
        <v>390.19591529555208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0">
        <f t="shared" si="109"/>
        <v>293.33333333333439</v>
      </c>
      <c r="S160" s="60">
        <f ca="1">AVERAGE(OFFSET($R$3,0,0,'Données projet'!$E$9+1,1))-AVERAGE(OFFSET($H$3,0,0,'Données projet'!$E$9+1,1))</f>
        <v>223.38593045370783</v>
      </c>
      <c r="T160" s="60">
        <f t="shared" si="142"/>
        <v>161.68519532023998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5.1159076974727213E-13</v>
      </c>
      <c r="AJ160" s="14">
        <f>AI160*VLOOKUP('Données projet'!$B$10,Paramètres!$A$1:$I$89,3,0)*VLOOKUP('Données projet'!$B$10,Paramètres!$A$1:$I$89,5,0)</f>
        <v>3.0593128030886877E-13</v>
      </c>
      <c r="AK160" s="14">
        <f t="shared" si="164"/>
        <v>4.0350537939347394E-12</v>
      </c>
      <c r="AL160" s="22">
        <f t="shared" si="165"/>
        <v>7.5605490043076185E-12</v>
      </c>
      <c r="AM160" s="60">
        <f t="shared" si="113"/>
        <v>293.33333333334087</v>
      </c>
      <c r="AN160" s="60">
        <f ca="1">AVERAGE(OFFSET($AM$3,0,0,'Données projet'!$E$10+1,1))-AVERAGE(OFFSET($H$3,0,0,'Données projet'!$E$10+1,1))</f>
        <v>216.19747366796145</v>
      </c>
      <c r="AO160" s="60">
        <f t="shared" si="144"/>
        <v>122.08911898780889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9.543119203909151E-19</v>
      </c>
      <c r="AX160" s="23">
        <f t="shared" si="166"/>
        <v>9.543119203909151E-19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-6.2527760746888816E-13</v>
      </c>
      <c r="BE160" s="14">
        <f>BD160*VLOOKUP('Données projet'!$B$11,Paramètres!$A$1:$I$89,3,0)*VLOOKUP('Données projet'!$B$11,Paramètres!$A$1:$I$89,5,0)</f>
        <v>-2.9262992029543964E-13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179.52358670810645</v>
      </c>
      <c r="BJ160" s="60">
        <f t="shared" si="146"/>
        <v>89.471764801078166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1.1882548278663309E-13</v>
      </c>
      <c r="CA160" s="14">
        <f t="shared" si="170"/>
        <v>1.7496137229198366E-12</v>
      </c>
      <c r="CB160" s="22">
        <f t="shared" si="171"/>
        <v>3.2541982832721012E-12</v>
      </c>
      <c r="CC160" s="60">
        <f t="shared" si="119"/>
        <v>293.33333333333655</v>
      </c>
      <c r="CD160" s="60">
        <f ca="1">AVERAGE(OFFSET($CC$3,0,0,'Données projet'!$E$12+1,1))-AVERAGE(OFFSET($H$3,0,0,'Données projet'!$E$12+1,1))</f>
        <v>304.57411436867147</v>
      </c>
      <c r="CE160" s="60">
        <f t="shared" si="148"/>
        <v>178.19974548556962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1.0995790944434703E-13</v>
      </c>
      <c r="CV160" s="14">
        <f t="shared" si="173"/>
        <v>1.6337280948049956E-12</v>
      </c>
      <c r="CW160" s="22">
        <f t="shared" si="174"/>
        <v>3.036919790734272E-12</v>
      </c>
      <c r="CX160" s="60">
        <f t="shared" si="122"/>
        <v>293.33333333333633</v>
      </c>
      <c r="CY160" s="60">
        <f ca="1">AVERAGE(OFFSET($CX$3,0,0,'Données projet'!$E$13+1,1))-AVERAGE(OFFSET($H$3,0,0,'Données projet'!$E$13+1,1))</f>
        <v>279.37339904167601</v>
      </c>
      <c r="CZ160" s="60">
        <f t="shared" si="150"/>
        <v>163.80861186980007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0" t="e">
        <f t="shared" si="125"/>
        <v>#N/A</v>
      </c>
      <c r="DT160" s="60" t="e">
        <f ca="1">AVERAGE(OFFSET($DS$3,0,0,'Données projet'!$E$14+1,1))-AVERAGE(OFFSET($H$3,0,0,'Données projet'!$E$14+1,1))</f>
        <v>#N/A</v>
      </c>
      <c r="DU160" s="60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43.1340000000001</v>
      </c>
      <c r="D161" s="12">
        <f t="shared" si="140"/>
        <v>12.825632209113364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431.96909073701619</v>
      </c>
      <c r="H161" s="68">
        <f t="shared" si="110"/>
        <v>390.7963594308726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0">
        <f t="shared" si="109"/>
        <v>293.33333333333439</v>
      </c>
      <c r="S161" s="60">
        <f ca="1">AVERAGE(OFFSET($R$3,0,0,'Données projet'!$E$9+1,1))-AVERAGE(OFFSET($H$3,0,0,'Données projet'!$E$9+1,1))</f>
        <v>223.38593045370783</v>
      </c>
      <c r="T161" s="60">
        <f t="shared" si="142"/>
        <v>161.68519532023998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5.1159076974727213E-13</v>
      </c>
      <c r="AJ161" s="14">
        <f>AI161*VLOOKUP('Données projet'!$B$10,Paramètres!$A$1:$I$89,3,0)*VLOOKUP('Données projet'!$B$10,Paramètres!$A$1:$I$89,5,0)</f>
        <v>3.0593128030886877E-13</v>
      </c>
      <c r="AK161" s="14">
        <f t="shared" si="164"/>
        <v>4.0350537939347394E-12</v>
      </c>
      <c r="AL161" s="22">
        <f t="shared" si="165"/>
        <v>7.5605490043076185E-12</v>
      </c>
      <c r="AM161" s="60">
        <f t="shared" si="113"/>
        <v>293.33333333334087</v>
      </c>
      <c r="AN161" s="60">
        <f ca="1">AVERAGE(OFFSET($AM$3,0,0,'Données projet'!$E$10+1,1))-AVERAGE(OFFSET($H$3,0,0,'Données projet'!$E$10+1,1))</f>
        <v>216.19747366796145</v>
      </c>
      <c r="AO161" s="60">
        <f t="shared" si="144"/>
        <v>122.08911898780889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6.7480043027557277E-19</v>
      </c>
      <c r="AX161" s="23">
        <f t="shared" si="166"/>
        <v>6.7480043027557277E-19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-6.2527760746888816E-13</v>
      </c>
      <c r="BE161" s="14">
        <f>BD161*VLOOKUP('Données projet'!$B$11,Paramètres!$A$1:$I$89,3,0)*VLOOKUP('Données projet'!$B$11,Paramètres!$A$1:$I$89,5,0)</f>
        <v>-2.9262992029543964E-13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179.52358670810645</v>
      </c>
      <c r="BJ161" s="60">
        <f t="shared" si="146"/>
        <v>89.471764801078166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1.1882548278663309E-13</v>
      </c>
      <c r="CA161" s="14">
        <f t="shared" si="170"/>
        <v>1.7496137229198366E-12</v>
      </c>
      <c r="CB161" s="22">
        <f t="shared" si="171"/>
        <v>3.2541982832721012E-12</v>
      </c>
      <c r="CC161" s="60">
        <f t="shared" si="119"/>
        <v>293.33333333333655</v>
      </c>
      <c r="CD161" s="60">
        <f ca="1">AVERAGE(OFFSET($CC$3,0,0,'Données projet'!$E$12+1,1))-AVERAGE(OFFSET($H$3,0,0,'Données projet'!$E$12+1,1))</f>
        <v>304.57411436867147</v>
      </c>
      <c r="CE161" s="60">
        <f t="shared" si="148"/>
        <v>178.19974548556962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1.0995790944434703E-13</v>
      </c>
      <c r="CV161" s="14">
        <f t="shared" si="173"/>
        <v>1.6337280948049956E-12</v>
      </c>
      <c r="CW161" s="22">
        <f t="shared" si="174"/>
        <v>3.036919790734272E-12</v>
      </c>
      <c r="CX161" s="60">
        <f t="shared" si="122"/>
        <v>293.33333333333633</v>
      </c>
      <c r="CY161" s="60">
        <f ca="1">AVERAGE(OFFSET($CX$3,0,0,'Données projet'!$E$13+1,1))-AVERAGE(OFFSET($H$3,0,0,'Données projet'!$E$13+1,1))</f>
        <v>279.37339904167601</v>
      </c>
      <c r="CZ161" s="60">
        <f t="shared" si="150"/>
        <v>163.80861186980007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0" t="e">
        <f t="shared" si="125"/>
        <v>#N/A</v>
      </c>
      <c r="DT161" s="60" t="e">
        <f ca="1">AVERAGE(OFFSET($DS$3,0,0,'Données projet'!$E$14+1,1))-AVERAGE(OFFSET($H$3,0,0,'Données projet'!$E$14+1,1))</f>
        <v>#N/A</v>
      </c>
      <c r="DU161" s="60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43.407000000000103</v>
      </c>
      <c r="D162" s="12">
        <f t="shared" si="140"/>
        <v>12.897331981001855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434.62993108141865</v>
      </c>
      <c r="H162" s="68">
        <f t="shared" si="110"/>
        <v>391.39671153357835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0">
        <f t="shared" si="109"/>
        <v>293.33333333333439</v>
      </c>
      <c r="S162" s="60">
        <f ca="1">AVERAGE(OFFSET($R$3,0,0,'Données projet'!$E$9+1,1))-AVERAGE(OFFSET($H$3,0,0,'Données projet'!$E$9+1,1))</f>
        <v>223.38593045370783</v>
      </c>
      <c r="T162" s="60">
        <f t="shared" si="142"/>
        <v>161.68519532023998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5.1159076974727213E-13</v>
      </c>
      <c r="AJ162" s="14">
        <f>AI162*VLOOKUP('Données projet'!$B$10,Paramètres!$A$1:$I$89,3,0)*VLOOKUP('Données projet'!$B$10,Paramètres!$A$1:$I$89,5,0)</f>
        <v>3.0593128030886877E-13</v>
      </c>
      <c r="AK162" s="14">
        <f t="shared" si="164"/>
        <v>4.0350537939347394E-12</v>
      </c>
      <c r="AL162" s="22">
        <f t="shared" si="165"/>
        <v>7.5605490043076185E-12</v>
      </c>
      <c r="AM162" s="60">
        <f t="shared" si="113"/>
        <v>293.33333333334087</v>
      </c>
      <c r="AN162" s="60">
        <f ca="1">AVERAGE(OFFSET($AM$3,0,0,'Données projet'!$E$10+1,1))-AVERAGE(OFFSET($H$3,0,0,'Données projet'!$E$10+1,1))</f>
        <v>216.19747366796145</v>
      </c>
      <c r="AO162" s="60">
        <f t="shared" si="144"/>
        <v>122.08911898780889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4.7715596019545755E-19</v>
      </c>
      <c r="AX162" s="23">
        <f t="shared" si="166"/>
        <v>4.7715596019545755E-19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-6.2527760746888816E-13</v>
      </c>
      <c r="BE162" s="14">
        <f>BD162*VLOOKUP('Données projet'!$B$11,Paramètres!$A$1:$I$89,3,0)*VLOOKUP('Données projet'!$B$11,Paramètres!$A$1:$I$89,5,0)</f>
        <v>-2.9262992029543964E-13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179.52358670810645</v>
      </c>
      <c r="BJ162" s="60">
        <f t="shared" si="146"/>
        <v>89.471764801078166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1.1882548278663309E-13</v>
      </c>
      <c r="CA162" s="14">
        <f t="shared" si="170"/>
        <v>1.7496137229198366E-12</v>
      </c>
      <c r="CB162" s="22">
        <f t="shared" si="171"/>
        <v>3.2541982832721012E-12</v>
      </c>
      <c r="CC162" s="60">
        <f t="shared" si="119"/>
        <v>293.33333333333655</v>
      </c>
      <c r="CD162" s="60">
        <f ca="1">AVERAGE(OFFSET($CC$3,0,0,'Données projet'!$E$12+1,1))-AVERAGE(OFFSET($H$3,0,0,'Données projet'!$E$12+1,1))</f>
        <v>304.57411436867147</v>
      </c>
      <c r="CE162" s="60">
        <f t="shared" si="148"/>
        <v>178.19974548556962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1.0995790944434703E-13</v>
      </c>
      <c r="CV162" s="14">
        <f t="shared" si="173"/>
        <v>1.6337280948049956E-12</v>
      </c>
      <c r="CW162" s="22">
        <f t="shared" si="174"/>
        <v>3.036919790734272E-12</v>
      </c>
      <c r="CX162" s="60">
        <f t="shared" si="122"/>
        <v>293.33333333333633</v>
      </c>
      <c r="CY162" s="60">
        <f ca="1">AVERAGE(OFFSET($CX$3,0,0,'Données projet'!$E$13+1,1))-AVERAGE(OFFSET($H$3,0,0,'Données projet'!$E$13+1,1))</f>
        <v>279.37339904167601</v>
      </c>
      <c r="CZ162" s="60">
        <f t="shared" si="150"/>
        <v>163.80861186980007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0" t="e">
        <f t="shared" si="125"/>
        <v>#N/A</v>
      </c>
      <c r="DT162" s="60" t="e">
        <f ca="1">AVERAGE(OFFSET($DS$3,0,0,'Données projet'!$E$14+1,1))-AVERAGE(OFFSET($H$3,0,0,'Données projet'!$E$14+1,1))</f>
        <v>#N/A</v>
      </c>
      <c r="DU162" s="60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43.680000000000106</v>
      </c>
      <c r="D163" s="12">
        <f t="shared" si="140"/>
        <v>12.968979282088606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437.2903663880532</v>
      </c>
      <c r="H163" s="68">
        <f t="shared" si="110"/>
        <v>391.99697224963779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0">
        <f t="shared" si="109"/>
        <v>293.33333333333439</v>
      </c>
      <c r="S163" s="60">
        <f ca="1">AVERAGE(OFFSET($R$3,0,0,'Données projet'!$E$9+1,1))-AVERAGE(OFFSET($H$3,0,0,'Données projet'!$E$9+1,1))</f>
        <v>223.38593045370783</v>
      </c>
      <c r="T163" s="60">
        <f t="shared" si="142"/>
        <v>161.68519532023998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5.1159076974727213E-13</v>
      </c>
      <c r="AJ163" s="14">
        <f>AI163*VLOOKUP('Données projet'!$B$10,Paramètres!$A$1:$I$89,3,0)*VLOOKUP('Données projet'!$B$10,Paramètres!$A$1:$I$89,5,0)</f>
        <v>3.0593128030886877E-13</v>
      </c>
      <c r="AK163" s="14">
        <f t="shared" si="164"/>
        <v>4.0350537939347394E-12</v>
      </c>
      <c r="AL163" s="22">
        <f t="shared" si="165"/>
        <v>7.5605490043076185E-12</v>
      </c>
      <c r="AM163" s="60">
        <f t="shared" si="113"/>
        <v>293.33333333334087</v>
      </c>
      <c r="AN163" s="60">
        <f ca="1">AVERAGE(OFFSET($AM$3,0,0,'Données projet'!$E$10+1,1))-AVERAGE(OFFSET($H$3,0,0,'Données projet'!$E$10+1,1))</f>
        <v>216.19747366796145</v>
      </c>
      <c r="AO163" s="60">
        <f t="shared" si="144"/>
        <v>122.08911898780889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3.3740021513778639E-19</v>
      </c>
      <c r="AX163" s="23">
        <f t="shared" si="166"/>
        <v>3.3740021513778639E-19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-6.2527760746888816E-13</v>
      </c>
      <c r="BE163" s="14">
        <f>BD163*VLOOKUP('Données projet'!$B$11,Paramètres!$A$1:$I$89,3,0)*VLOOKUP('Données projet'!$B$11,Paramètres!$A$1:$I$89,5,0)</f>
        <v>-2.9262992029543964E-13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179.52358670810645</v>
      </c>
      <c r="BJ163" s="60">
        <f t="shared" si="146"/>
        <v>89.471764801078166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1.1882548278663309E-13</v>
      </c>
      <c r="CA163" s="14">
        <f t="shared" si="170"/>
        <v>1.7496137229198366E-12</v>
      </c>
      <c r="CB163" s="22">
        <f t="shared" si="171"/>
        <v>3.2541982832721012E-12</v>
      </c>
      <c r="CC163" s="60">
        <f t="shared" si="119"/>
        <v>293.33333333333655</v>
      </c>
      <c r="CD163" s="60">
        <f ca="1">AVERAGE(OFFSET($CC$3,0,0,'Données projet'!$E$12+1,1))-AVERAGE(OFFSET($H$3,0,0,'Données projet'!$E$12+1,1))</f>
        <v>304.57411436867147</v>
      </c>
      <c r="CE163" s="60">
        <f t="shared" si="148"/>
        <v>178.19974548556962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1.0995790944434703E-13</v>
      </c>
      <c r="CV163" s="14">
        <f t="shared" si="173"/>
        <v>1.6337280948049956E-12</v>
      </c>
      <c r="CW163" s="22">
        <f t="shared" si="174"/>
        <v>3.036919790734272E-12</v>
      </c>
      <c r="CX163" s="60">
        <f t="shared" si="122"/>
        <v>293.33333333333633</v>
      </c>
      <c r="CY163" s="60">
        <f ca="1">AVERAGE(OFFSET($CX$3,0,0,'Données projet'!$E$13+1,1))-AVERAGE(OFFSET($H$3,0,0,'Données projet'!$E$13+1,1))</f>
        <v>279.37339904167601</v>
      </c>
      <c r="CZ163" s="60">
        <f t="shared" si="150"/>
        <v>163.80861186980007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0" t="e">
        <f t="shared" si="125"/>
        <v>#N/A</v>
      </c>
      <c r="DT163" s="60" t="e">
        <f ca="1">AVERAGE(OFFSET($DS$3,0,0,'Données projet'!$E$14+1,1))-AVERAGE(OFFSET($H$3,0,0,'Données projet'!$E$14+1,1))</f>
        <v>#N/A</v>
      </c>
      <c r="DU163" s="60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43.95300000000011</v>
      </c>
      <c r="D164" s="12">
        <f t="shared" si="140"/>
        <v>13.040574478360272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439.95039948208017</v>
      </c>
      <c r="H164" s="68">
        <f t="shared" si="110"/>
        <v>392.59714221647761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0">
        <f t="shared" si="109"/>
        <v>293.33333333333439</v>
      </c>
      <c r="S164" s="60">
        <f ca="1">AVERAGE(OFFSET($R$3,0,0,'Données projet'!$E$9+1,1))-AVERAGE(OFFSET($H$3,0,0,'Données projet'!$E$9+1,1))</f>
        <v>223.38593045370783</v>
      </c>
      <c r="T164" s="60">
        <f t="shared" si="142"/>
        <v>161.68519532023998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5.1159076974727213E-13</v>
      </c>
      <c r="AJ164" s="14">
        <f>AI164*VLOOKUP('Données projet'!$B$10,Paramètres!$A$1:$I$89,3,0)*VLOOKUP('Données projet'!$B$10,Paramètres!$A$1:$I$89,5,0)</f>
        <v>3.0593128030886877E-13</v>
      </c>
      <c r="AK164" s="14">
        <f t="shared" si="164"/>
        <v>4.0350537939347394E-12</v>
      </c>
      <c r="AL164" s="22">
        <f t="shared" si="165"/>
        <v>7.5605490043076185E-12</v>
      </c>
      <c r="AM164" s="60">
        <f t="shared" si="113"/>
        <v>293.33333333334087</v>
      </c>
      <c r="AN164" s="60">
        <f ca="1">AVERAGE(OFFSET($AM$3,0,0,'Données projet'!$E$10+1,1))-AVERAGE(OFFSET($H$3,0,0,'Données projet'!$E$10+1,1))</f>
        <v>216.19747366796145</v>
      </c>
      <c r="AO164" s="60">
        <f t="shared" si="144"/>
        <v>122.08911898780889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2.3857798009772878E-19</v>
      </c>
      <c r="AX164" s="23">
        <f t="shared" si="166"/>
        <v>2.3857798009772878E-19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-6.2527760746888816E-13</v>
      </c>
      <c r="BE164" s="14">
        <f>BD164*VLOOKUP('Données projet'!$B$11,Paramètres!$A$1:$I$89,3,0)*VLOOKUP('Données projet'!$B$11,Paramètres!$A$1:$I$89,5,0)</f>
        <v>-2.9262992029543964E-13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179.52358670810645</v>
      </c>
      <c r="BJ164" s="60">
        <f t="shared" si="146"/>
        <v>89.471764801078166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1.1882548278663309E-13</v>
      </c>
      <c r="CA164" s="14">
        <f t="shared" si="170"/>
        <v>1.7496137229198366E-12</v>
      </c>
      <c r="CB164" s="22">
        <f t="shared" si="171"/>
        <v>3.2541982832721012E-12</v>
      </c>
      <c r="CC164" s="60">
        <f t="shared" si="119"/>
        <v>293.33333333333655</v>
      </c>
      <c r="CD164" s="60">
        <f ca="1">AVERAGE(OFFSET($CC$3,0,0,'Données projet'!$E$12+1,1))-AVERAGE(OFFSET($H$3,0,0,'Données projet'!$E$12+1,1))</f>
        <v>304.57411436867147</v>
      </c>
      <c r="CE164" s="60">
        <f t="shared" si="148"/>
        <v>178.19974548556962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1.0995790944434703E-13</v>
      </c>
      <c r="CV164" s="14">
        <f t="shared" si="173"/>
        <v>1.6337280948049956E-12</v>
      </c>
      <c r="CW164" s="22">
        <f t="shared" si="174"/>
        <v>3.036919790734272E-12</v>
      </c>
      <c r="CX164" s="60">
        <f t="shared" si="122"/>
        <v>293.33333333333633</v>
      </c>
      <c r="CY164" s="60">
        <f ca="1">AVERAGE(OFFSET($CX$3,0,0,'Données projet'!$E$13+1,1))-AVERAGE(OFFSET($H$3,0,0,'Données projet'!$E$13+1,1))</f>
        <v>279.37339904167601</v>
      </c>
      <c r="CZ164" s="60">
        <f t="shared" si="150"/>
        <v>163.80861186980007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0" t="e">
        <f t="shared" si="125"/>
        <v>#N/A</v>
      </c>
      <c r="DT164" s="60" t="e">
        <f ca="1">AVERAGE(OFFSET($DS$3,0,0,'Données projet'!$E$14+1,1))-AVERAGE(OFFSET($H$3,0,0,'Données projet'!$E$14+1,1))</f>
        <v>#N/A</v>
      </c>
      <c r="DU164" s="60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44.226000000000113</v>
      </c>
      <c r="D165" s="12">
        <f t="shared" si="140"/>
        <v>13.112117930994133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442.61003315153454</v>
      </c>
      <c r="H165" s="68">
        <f t="shared" si="110"/>
        <v>393.19722206314827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0">
        <f t="shared" si="109"/>
        <v>293.33333333333439</v>
      </c>
      <c r="S165" s="60">
        <f ca="1">AVERAGE(OFFSET($R$3,0,0,'Données projet'!$E$9+1,1))-AVERAGE(OFFSET($H$3,0,0,'Données projet'!$E$9+1,1))</f>
        <v>223.38593045370783</v>
      </c>
      <c r="T165" s="60">
        <f t="shared" si="142"/>
        <v>161.68519532023998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5.1159076974727213E-13</v>
      </c>
      <c r="AJ165" s="14">
        <f>AI165*VLOOKUP('Données projet'!$B$10,Paramètres!$A$1:$I$89,3,0)*VLOOKUP('Données projet'!$B$10,Paramètres!$A$1:$I$89,5,0)</f>
        <v>3.0593128030886877E-13</v>
      </c>
      <c r="AK165" s="14">
        <f t="shared" si="164"/>
        <v>4.0350537939347394E-12</v>
      </c>
      <c r="AL165" s="22">
        <f t="shared" si="165"/>
        <v>7.5605490043076185E-12</v>
      </c>
      <c r="AM165" s="60">
        <f t="shared" si="113"/>
        <v>293.33333333334087</v>
      </c>
      <c r="AN165" s="60">
        <f ca="1">AVERAGE(OFFSET($AM$3,0,0,'Données projet'!$E$10+1,1))-AVERAGE(OFFSET($H$3,0,0,'Données projet'!$E$10+1,1))</f>
        <v>216.19747366796145</v>
      </c>
      <c r="AO165" s="60">
        <f t="shared" si="144"/>
        <v>122.08911898780889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1.6870010756889319E-19</v>
      </c>
      <c r="AX165" s="23">
        <f t="shared" si="166"/>
        <v>1.6870010756889319E-19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-6.2527760746888816E-13</v>
      </c>
      <c r="BE165" s="14">
        <f>BD165*VLOOKUP('Données projet'!$B$11,Paramètres!$A$1:$I$89,3,0)*VLOOKUP('Données projet'!$B$11,Paramètres!$A$1:$I$89,5,0)</f>
        <v>-2.9262992029543964E-13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179.52358670810645</v>
      </c>
      <c r="BJ165" s="60">
        <f t="shared" si="146"/>
        <v>89.471764801078166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1.1882548278663309E-13</v>
      </c>
      <c r="CA165" s="14">
        <f t="shared" si="170"/>
        <v>1.7496137229198366E-12</v>
      </c>
      <c r="CB165" s="22">
        <f t="shared" si="171"/>
        <v>3.2541982832721012E-12</v>
      </c>
      <c r="CC165" s="60">
        <f t="shared" si="119"/>
        <v>293.33333333333655</v>
      </c>
      <c r="CD165" s="60">
        <f ca="1">AVERAGE(OFFSET($CC$3,0,0,'Données projet'!$E$12+1,1))-AVERAGE(OFFSET($H$3,0,0,'Données projet'!$E$12+1,1))</f>
        <v>304.57411436867147</v>
      </c>
      <c r="CE165" s="60">
        <f t="shared" si="148"/>
        <v>178.19974548556962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1.0995790944434703E-13</v>
      </c>
      <c r="CV165" s="14">
        <f t="shared" si="173"/>
        <v>1.6337280948049956E-12</v>
      </c>
      <c r="CW165" s="22">
        <f t="shared" si="174"/>
        <v>3.036919790734272E-12</v>
      </c>
      <c r="CX165" s="60">
        <f t="shared" si="122"/>
        <v>293.33333333333633</v>
      </c>
      <c r="CY165" s="60">
        <f ca="1">AVERAGE(OFFSET($CX$3,0,0,'Données projet'!$E$13+1,1))-AVERAGE(OFFSET($H$3,0,0,'Données projet'!$E$13+1,1))</f>
        <v>279.37339904167601</v>
      </c>
      <c r="CZ165" s="60">
        <f t="shared" si="150"/>
        <v>163.80861186980007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0" t="e">
        <f t="shared" si="125"/>
        <v>#N/A</v>
      </c>
      <c r="DT165" s="60" t="e">
        <f ca="1">AVERAGE(OFFSET($DS$3,0,0,'Données projet'!$E$14+1,1))-AVERAGE(OFFSET($H$3,0,0,'Données projet'!$E$14+1,1))</f>
        <v>#N/A</v>
      </c>
      <c r="DU165" s="60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44.499000000000116</v>
      </c>
      <c r="D166" s="12">
        <f t="shared" si="140"/>
        <v>13.183609996450587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445.2692701480405</v>
      </c>
      <c r="H166" s="68">
        <f t="shared" si="110"/>
        <v>393.79721241048492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0">
        <f t="shared" si="109"/>
        <v>293.33333333333439</v>
      </c>
      <c r="S166" s="60">
        <f ca="1">AVERAGE(OFFSET($R$3,0,0,'Données projet'!$E$9+1,1))-AVERAGE(OFFSET($H$3,0,0,'Données projet'!$E$9+1,1))</f>
        <v>223.38593045370783</v>
      </c>
      <c r="T166" s="60">
        <f t="shared" si="142"/>
        <v>161.68519532023998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5.1159076974727213E-13</v>
      </c>
      <c r="AJ166" s="14">
        <f>AI166*VLOOKUP('Données projet'!$B$10,Paramètres!$A$1:$I$89,3,0)*VLOOKUP('Données projet'!$B$10,Paramètres!$A$1:$I$89,5,0)</f>
        <v>3.0593128030886877E-13</v>
      </c>
      <c r="AK166" s="14">
        <f t="shared" si="164"/>
        <v>4.0350537939347394E-12</v>
      </c>
      <c r="AL166" s="22">
        <f t="shared" si="165"/>
        <v>7.5605490043076185E-12</v>
      </c>
      <c r="AM166" s="60">
        <f t="shared" si="113"/>
        <v>293.33333333334087</v>
      </c>
      <c r="AN166" s="60">
        <f ca="1">AVERAGE(OFFSET($AM$3,0,0,'Données projet'!$E$10+1,1))-AVERAGE(OFFSET($H$3,0,0,'Données projet'!$E$10+1,1))</f>
        <v>216.19747366796145</v>
      </c>
      <c r="AO166" s="60">
        <f t="shared" si="144"/>
        <v>122.08911898780889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1.1928899004886439E-19</v>
      </c>
      <c r="AX166" s="23">
        <f t="shared" si="166"/>
        <v>1.1928899004886439E-19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-6.2527760746888816E-13</v>
      </c>
      <c r="BE166" s="14">
        <f>BD166*VLOOKUP('Données projet'!$B$11,Paramètres!$A$1:$I$89,3,0)*VLOOKUP('Données projet'!$B$11,Paramètres!$A$1:$I$89,5,0)</f>
        <v>-2.9262992029543964E-13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179.52358670810645</v>
      </c>
      <c r="BJ166" s="60">
        <f t="shared" si="146"/>
        <v>89.471764801078166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1.1882548278663309E-13</v>
      </c>
      <c r="CA166" s="14">
        <f t="shared" si="170"/>
        <v>1.7496137229198366E-12</v>
      </c>
      <c r="CB166" s="22">
        <f t="shared" si="171"/>
        <v>3.2541982832721012E-12</v>
      </c>
      <c r="CC166" s="60">
        <f t="shared" si="119"/>
        <v>293.33333333333655</v>
      </c>
      <c r="CD166" s="60">
        <f ca="1">AVERAGE(OFFSET($CC$3,0,0,'Données projet'!$E$12+1,1))-AVERAGE(OFFSET($H$3,0,0,'Données projet'!$E$12+1,1))</f>
        <v>304.57411436867147</v>
      </c>
      <c r="CE166" s="60">
        <f t="shared" si="148"/>
        <v>178.19974548556962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1.0995790944434703E-13</v>
      </c>
      <c r="CV166" s="14">
        <f t="shared" si="173"/>
        <v>1.6337280948049956E-12</v>
      </c>
      <c r="CW166" s="22">
        <f t="shared" si="174"/>
        <v>3.036919790734272E-12</v>
      </c>
      <c r="CX166" s="60">
        <f t="shared" si="122"/>
        <v>293.33333333333633</v>
      </c>
      <c r="CY166" s="60">
        <f ca="1">AVERAGE(OFFSET($CX$3,0,0,'Données projet'!$E$13+1,1))-AVERAGE(OFFSET($H$3,0,0,'Données projet'!$E$13+1,1))</f>
        <v>279.37339904167601</v>
      </c>
      <c r="CZ166" s="60">
        <f t="shared" si="150"/>
        <v>163.80861186980007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0" t="e">
        <f t="shared" si="125"/>
        <v>#N/A</v>
      </c>
      <c r="DT166" s="60" t="e">
        <f ca="1">AVERAGE(OFFSET($DS$3,0,0,'Données projet'!$E$14+1,1))-AVERAGE(OFFSET($H$3,0,0,'Données projet'!$E$14+1,1))</f>
        <v>#N/A</v>
      </c>
      <c r="DU166" s="60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44.772000000000119</v>
      </c>
      <c r="D167" s="12">
        <f t="shared" si="140"/>
        <v>13.25505102656331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447.92811318750722</v>
      </c>
      <c r="H167" s="68">
        <f t="shared" si="110"/>
        <v>394.39711387126459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0">
        <f t="shared" si="109"/>
        <v>293.33333333333439</v>
      </c>
      <c r="S167" s="60">
        <f ca="1">AVERAGE(OFFSET($R$3,0,0,'Données projet'!$E$9+1,1))-AVERAGE(OFFSET($H$3,0,0,'Données projet'!$E$9+1,1))</f>
        <v>223.38593045370783</v>
      </c>
      <c r="T167" s="60">
        <f t="shared" si="142"/>
        <v>161.68519532023998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5.1159076974727213E-13</v>
      </c>
      <c r="AJ167" s="14">
        <f>AI167*VLOOKUP('Données projet'!$B$10,Paramètres!$A$1:$I$89,3,0)*VLOOKUP('Données projet'!$B$10,Paramètres!$A$1:$I$89,5,0)</f>
        <v>3.0593128030886877E-13</v>
      </c>
      <c r="AK167" s="14">
        <f t="shared" si="164"/>
        <v>4.0350537939347394E-12</v>
      </c>
      <c r="AL167" s="22">
        <f t="shared" si="165"/>
        <v>7.5605490043076185E-12</v>
      </c>
      <c r="AM167" s="60">
        <f t="shared" si="113"/>
        <v>293.33333333334087</v>
      </c>
      <c r="AN167" s="60">
        <f ca="1">AVERAGE(OFFSET($AM$3,0,0,'Données projet'!$E$10+1,1))-AVERAGE(OFFSET($H$3,0,0,'Données projet'!$E$10+1,1))</f>
        <v>216.19747366796145</v>
      </c>
      <c r="AO167" s="60">
        <f t="shared" si="144"/>
        <v>122.08911898780889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8.4350053784446597E-20</v>
      </c>
      <c r="AX167" s="23">
        <f t="shared" si="166"/>
        <v>8.4350053784446597E-20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-6.2527760746888816E-13</v>
      </c>
      <c r="BE167" s="14">
        <f>BD167*VLOOKUP('Données projet'!$B$11,Paramètres!$A$1:$I$89,3,0)*VLOOKUP('Données projet'!$B$11,Paramètres!$A$1:$I$89,5,0)</f>
        <v>-2.9262992029543964E-13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179.52358670810645</v>
      </c>
      <c r="BJ167" s="60">
        <f t="shared" si="146"/>
        <v>89.471764801078166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1.1882548278663309E-13</v>
      </c>
      <c r="CA167" s="14">
        <f t="shared" si="170"/>
        <v>1.7496137229198366E-12</v>
      </c>
      <c r="CB167" s="22">
        <f t="shared" si="171"/>
        <v>3.2541982832721012E-12</v>
      </c>
      <c r="CC167" s="60">
        <f t="shared" si="119"/>
        <v>293.33333333333655</v>
      </c>
      <c r="CD167" s="60">
        <f ca="1">AVERAGE(OFFSET($CC$3,0,0,'Données projet'!$E$12+1,1))-AVERAGE(OFFSET($H$3,0,0,'Données projet'!$E$12+1,1))</f>
        <v>304.57411436867147</v>
      </c>
      <c r="CE167" s="60">
        <f t="shared" si="148"/>
        <v>178.19974548556962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1.0995790944434703E-13</v>
      </c>
      <c r="CV167" s="14">
        <f t="shared" si="173"/>
        <v>1.6337280948049956E-12</v>
      </c>
      <c r="CW167" s="22">
        <f t="shared" si="174"/>
        <v>3.036919790734272E-12</v>
      </c>
      <c r="CX167" s="60">
        <f t="shared" si="122"/>
        <v>293.33333333333633</v>
      </c>
      <c r="CY167" s="60">
        <f ca="1">AVERAGE(OFFSET($CX$3,0,0,'Données projet'!$E$13+1,1))-AVERAGE(OFFSET($H$3,0,0,'Données projet'!$E$13+1,1))</f>
        <v>279.37339904167601</v>
      </c>
      <c r="CZ167" s="60">
        <f t="shared" si="150"/>
        <v>163.80861186980007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0" t="e">
        <f t="shared" si="125"/>
        <v>#N/A</v>
      </c>
      <c r="DT167" s="60" t="e">
        <f ca="1">AVERAGE(OFFSET($DS$3,0,0,'Données projet'!$E$14+1,1))-AVERAGE(OFFSET($H$3,0,0,'Données projet'!$E$14+1,1))</f>
        <v>#N/A</v>
      </c>
      <c r="DU167" s="60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45.045000000000122</v>
      </c>
      <c r="D168" s="12">
        <f t="shared" si="140"/>
        <v>13.326441368627105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450.58656495080669</v>
      </c>
      <c r="H168" s="68">
        <f t="shared" si="110"/>
        <v>394.99692705035909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0">
        <f t="shared" si="109"/>
        <v>293.33333333333439</v>
      </c>
      <c r="S168" s="60">
        <f ca="1">AVERAGE(OFFSET($R$3,0,0,'Données projet'!$E$9+1,1))-AVERAGE(OFFSET($H$3,0,0,'Données projet'!$E$9+1,1))</f>
        <v>223.38593045370783</v>
      </c>
      <c r="T168" s="60">
        <f t="shared" si="142"/>
        <v>161.68519532023998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5.1159076974727213E-13</v>
      </c>
      <c r="AJ168" s="14">
        <f>AI168*VLOOKUP('Données projet'!$B$10,Paramètres!$A$1:$I$89,3,0)*VLOOKUP('Données projet'!$B$10,Paramètres!$A$1:$I$89,5,0)</f>
        <v>3.0593128030886877E-13</v>
      </c>
      <c r="AK168" s="14">
        <f t="shared" si="164"/>
        <v>4.0350537939347394E-12</v>
      </c>
      <c r="AL168" s="22">
        <f t="shared" si="165"/>
        <v>7.5605490043076185E-12</v>
      </c>
      <c r="AM168" s="60">
        <f t="shared" si="113"/>
        <v>293.33333333334087</v>
      </c>
      <c r="AN168" s="60">
        <f ca="1">AVERAGE(OFFSET($AM$3,0,0,'Données projet'!$E$10+1,1))-AVERAGE(OFFSET($H$3,0,0,'Données projet'!$E$10+1,1))</f>
        <v>216.19747366796145</v>
      </c>
      <c r="AO168" s="60">
        <f t="shared" si="144"/>
        <v>122.08911898780889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5.9644495024432194E-20</v>
      </c>
      <c r="AX168" s="23">
        <f t="shared" si="166"/>
        <v>5.9644495024432194E-20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-6.2527760746888816E-13</v>
      </c>
      <c r="BE168" s="14">
        <f>BD168*VLOOKUP('Données projet'!$B$11,Paramètres!$A$1:$I$89,3,0)*VLOOKUP('Données projet'!$B$11,Paramètres!$A$1:$I$89,5,0)</f>
        <v>-2.9262992029543964E-13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179.52358670810645</v>
      </c>
      <c r="BJ168" s="60">
        <f t="shared" si="146"/>
        <v>89.471764801078166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1.1882548278663309E-13</v>
      </c>
      <c r="CA168" s="14">
        <f t="shared" si="170"/>
        <v>1.7496137229198366E-12</v>
      </c>
      <c r="CB168" s="22">
        <f t="shared" si="171"/>
        <v>3.2541982832721012E-12</v>
      </c>
      <c r="CC168" s="60">
        <f t="shared" si="119"/>
        <v>293.33333333333655</v>
      </c>
      <c r="CD168" s="60">
        <f ca="1">AVERAGE(OFFSET($CC$3,0,0,'Données projet'!$E$12+1,1))-AVERAGE(OFFSET($H$3,0,0,'Données projet'!$E$12+1,1))</f>
        <v>304.57411436867147</v>
      </c>
      <c r="CE168" s="60">
        <f t="shared" si="148"/>
        <v>178.19974548556962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1.0995790944434703E-13</v>
      </c>
      <c r="CV168" s="14">
        <f t="shared" si="173"/>
        <v>1.6337280948049956E-12</v>
      </c>
      <c r="CW168" s="22">
        <f t="shared" si="174"/>
        <v>3.036919790734272E-12</v>
      </c>
      <c r="CX168" s="60">
        <f t="shared" si="122"/>
        <v>293.33333333333633</v>
      </c>
      <c r="CY168" s="60">
        <f ca="1">AVERAGE(OFFSET($CX$3,0,0,'Données projet'!$E$13+1,1))-AVERAGE(OFFSET($H$3,0,0,'Données projet'!$E$13+1,1))</f>
        <v>279.37339904167601</v>
      </c>
      <c r="CZ168" s="60">
        <f t="shared" si="150"/>
        <v>163.80861186980007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0" t="e">
        <f t="shared" si="125"/>
        <v>#N/A</v>
      </c>
      <c r="DT168" s="60" t="e">
        <f ca="1">AVERAGE(OFFSET($DS$3,0,0,'Données projet'!$E$14+1,1))-AVERAGE(OFFSET($H$3,0,0,'Données projet'!$E$14+1,1))</f>
        <v>#N/A</v>
      </c>
      <c r="DU168" s="60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45.318000000000126</v>
      </c>
      <c r="D169" s="12">
        <f t="shared" si="140"/>
        <v>13.397781365483665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453.24462808443633</v>
      </c>
      <c r="H169" s="68">
        <f t="shared" si="110"/>
        <v>395.59665254488425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0">
        <f t="shared" si="109"/>
        <v>293.33333333333439</v>
      </c>
      <c r="S169" s="60">
        <f ca="1">AVERAGE(OFFSET($R$3,0,0,'Données projet'!$E$9+1,1))-AVERAGE(OFFSET($H$3,0,0,'Données projet'!$E$9+1,1))</f>
        <v>223.38593045370783</v>
      </c>
      <c r="T169" s="60">
        <f t="shared" si="142"/>
        <v>161.68519532023998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5.1159076974727213E-13</v>
      </c>
      <c r="AJ169" s="14">
        <f>AI169*VLOOKUP('Données projet'!$B$10,Paramètres!$A$1:$I$89,3,0)*VLOOKUP('Données projet'!$B$10,Paramètres!$A$1:$I$89,5,0)</f>
        <v>3.0593128030886877E-13</v>
      </c>
      <c r="AK169" s="14">
        <f t="shared" si="164"/>
        <v>4.0350537939347394E-12</v>
      </c>
      <c r="AL169" s="22">
        <f t="shared" si="165"/>
        <v>7.5605490043076185E-12</v>
      </c>
      <c r="AM169" s="60">
        <f t="shared" si="113"/>
        <v>293.33333333334087</v>
      </c>
      <c r="AN169" s="60">
        <f ca="1">AVERAGE(OFFSET($AM$3,0,0,'Données projet'!$E$10+1,1))-AVERAGE(OFFSET($H$3,0,0,'Données projet'!$E$10+1,1))</f>
        <v>216.19747366796145</v>
      </c>
      <c r="AO169" s="60">
        <f t="shared" si="144"/>
        <v>122.08911898780889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4.2175026892223298E-20</v>
      </c>
      <c r="AX169" s="23">
        <f t="shared" si="166"/>
        <v>4.2175026892223298E-20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-6.2527760746888816E-13</v>
      </c>
      <c r="BE169" s="14">
        <f>BD169*VLOOKUP('Données projet'!$B$11,Paramètres!$A$1:$I$89,3,0)*VLOOKUP('Données projet'!$B$11,Paramètres!$A$1:$I$89,5,0)</f>
        <v>-2.9262992029543964E-13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179.52358670810645</v>
      </c>
      <c r="BJ169" s="60">
        <f t="shared" si="146"/>
        <v>89.471764801078166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1.1882548278663309E-13</v>
      </c>
      <c r="CA169" s="14">
        <f t="shared" si="170"/>
        <v>1.7496137229198366E-12</v>
      </c>
      <c r="CB169" s="22">
        <f t="shared" si="171"/>
        <v>3.2541982832721012E-12</v>
      </c>
      <c r="CC169" s="60">
        <f t="shared" si="119"/>
        <v>293.33333333333655</v>
      </c>
      <c r="CD169" s="60">
        <f ca="1">AVERAGE(OFFSET($CC$3,0,0,'Données projet'!$E$12+1,1))-AVERAGE(OFFSET($H$3,0,0,'Données projet'!$E$12+1,1))</f>
        <v>304.57411436867147</v>
      </c>
      <c r="CE169" s="60">
        <f t="shared" si="148"/>
        <v>178.19974548556962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1.0995790944434703E-13</v>
      </c>
      <c r="CV169" s="14">
        <f t="shared" si="173"/>
        <v>1.6337280948049956E-12</v>
      </c>
      <c r="CW169" s="22">
        <f t="shared" si="174"/>
        <v>3.036919790734272E-12</v>
      </c>
      <c r="CX169" s="60">
        <f t="shared" si="122"/>
        <v>293.33333333333633</v>
      </c>
      <c r="CY169" s="60">
        <f ca="1">AVERAGE(OFFSET($CX$3,0,0,'Données projet'!$E$13+1,1))-AVERAGE(OFFSET($H$3,0,0,'Données projet'!$E$13+1,1))</f>
        <v>279.37339904167601</v>
      </c>
      <c r="CZ169" s="60">
        <f t="shared" si="150"/>
        <v>163.80861186980007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0" t="e">
        <f t="shared" si="125"/>
        <v>#N/A</v>
      </c>
      <c r="DT169" s="60" t="e">
        <f ca="1">AVERAGE(OFFSET($DS$3,0,0,'Données projet'!$E$14+1,1))-AVERAGE(OFFSET($H$3,0,0,'Données projet'!$E$14+1,1))</f>
        <v>#N/A</v>
      </c>
      <c r="DU169" s="60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45.591000000000129</v>
      </c>
      <c r="D170" s="12">
        <f t="shared" si="140"/>
        <v>13.469071355605093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455.90230520116319</v>
      </c>
      <c r="H170" s="68">
        <f t="shared" si="110"/>
        <v>396.19629094434572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0">
        <f t="shared" si="109"/>
        <v>293.33333333333439</v>
      </c>
      <c r="S170" s="60">
        <f ca="1">AVERAGE(OFFSET($R$3,0,0,'Données projet'!$E$9+1,1))-AVERAGE(OFFSET($H$3,0,0,'Données projet'!$E$9+1,1))</f>
        <v>223.38593045370783</v>
      </c>
      <c r="T170" s="60">
        <f t="shared" si="142"/>
        <v>161.68519532023998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5.1159076974727213E-13</v>
      </c>
      <c r="AJ170" s="14">
        <f>AI170*VLOOKUP('Données projet'!$B$10,Paramètres!$A$1:$I$89,3,0)*VLOOKUP('Données projet'!$B$10,Paramètres!$A$1:$I$89,5,0)</f>
        <v>3.0593128030886877E-13</v>
      </c>
      <c r="AK170" s="14">
        <f t="shared" si="164"/>
        <v>4.0350537939347394E-12</v>
      </c>
      <c r="AL170" s="22">
        <f t="shared" si="165"/>
        <v>7.5605490043076185E-12</v>
      </c>
      <c r="AM170" s="60">
        <f t="shared" si="113"/>
        <v>293.33333333334087</v>
      </c>
      <c r="AN170" s="60">
        <f ca="1">AVERAGE(OFFSET($AM$3,0,0,'Données projet'!$E$10+1,1))-AVERAGE(OFFSET($H$3,0,0,'Données projet'!$E$10+1,1))</f>
        <v>216.19747366796145</v>
      </c>
      <c r="AO170" s="60">
        <f t="shared" si="144"/>
        <v>122.08911898780889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2.9822247512216097E-20</v>
      </c>
      <c r="AX170" s="23">
        <f t="shared" si="166"/>
        <v>2.9822247512216097E-20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-6.2527760746888816E-13</v>
      </c>
      <c r="BE170" s="14">
        <f>BD170*VLOOKUP('Données projet'!$B$11,Paramètres!$A$1:$I$89,3,0)*VLOOKUP('Données projet'!$B$11,Paramètres!$A$1:$I$89,5,0)</f>
        <v>-2.9262992029543964E-13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179.52358670810645</v>
      </c>
      <c r="BJ170" s="60">
        <f t="shared" si="146"/>
        <v>89.471764801078166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1.1882548278663309E-13</v>
      </c>
      <c r="CA170" s="14">
        <f t="shared" si="170"/>
        <v>1.7496137229198366E-12</v>
      </c>
      <c r="CB170" s="22">
        <f t="shared" si="171"/>
        <v>3.2541982832721012E-12</v>
      </c>
      <c r="CC170" s="60">
        <f t="shared" si="119"/>
        <v>293.33333333333655</v>
      </c>
      <c r="CD170" s="60">
        <f ca="1">AVERAGE(OFFSET($CC$3,0,0,'Données projet'!$E$12+1,1))-AVERAGE(OFFSET($H$3,0,0,'Données projet'!$E$12+1,1))</f>
        <v>304.57411436867147</v>
      </c>
      <c r="CE170" s="60">
        <f t="shared" si="148"/>
        <v>178.19974548556962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1.0995790944434703E-13</v>
      </c>
      <c r="CV170" s="14">
        <f t="shared" si="173"/>
        <v>1.6337280948049956E-12</v>
      </c>
      <c r="CW170" s="22">
        <f t="shared" si="174"/>
        <v>3.036919790734272E-12</v>
      </c>
      <c r="CX170" s="60">
        <f t="shared" si="122"/>
        <v>293.33333333333633</v>
      </c>
      <c r="CY170" s="60">
        <f ca="1">AVERAGE(OFFSET($CX$3,0,0,'Données projet'!$E$13+1,1))-AVERAGE(OFFSET($H$3,0,0,'Données projet'!$E$13+1,1))</f>
        <v>279.37339904167601</v>
      </c>
      <c r="CZ170" s="60">
        <f t="shared" si="150"/>
        <v>163.80861186980007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0" t="e">
        <f t="shared" si="125"/>
        <v>#N/A</v>
      </c>
      <c r="DT170" s="60" t="e">
        <f ca="1">AVERAGE(OFFSET($DS$3,0,0,'Données projet'!$E$14+1,1))-AVERAGE(OFFSET($H$3,0,0,'Données projet'!$E$14+1,1))</f>
        <v>#N/A</v>
      </c>
      <c r="DU170" s="60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45.864000000000132</v>
      </c>
      <c r="D171" s="12">
        <f t="shared" si="140"/>
        <v>13.540311673175438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458.55959888065354</v>
      </c>
      <c r="H171" s="68">
        <f t="shared" si="110"/>
        <v>396.79584283078077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0">
        <f t="shared" si="109"/>
        <v>293.33333333333439</v>
      </c>
      <c r="S171" s="60">
        <f ca="1">AVERAGE(OFFSET($R$3,0,0,'Données projet'!$E$9+1,1))-AVERAGE(OFFSET($H$3,0,0,'Données projet'!$E$9+1,1))</f>
        <v>223.38593045370783</v>
      </c>
      <c r="T171" s="60">
        <f t="shared" si="142"/>
        <v>161.68519532023998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5.1159076974727213E-13</v>
      </c>
      <c r="AJ171" s="14">
        <f>AI171*VLOOKUP('Données projet'!$B$10,Paramètres!$A$1:$I$89,3,0)*VLOOKUP('Données projet'!$B$10,Paramètres!$A$1:$I$89,5,0)</f>
        <v>3.0593128030886877E-13</v>
      </c>
      <c r="AK171" s="14">
        <f t="shared" si="164"/>
        <v>4.0350537939347394E-12</v>
      </c>
      <c r="AL171" s="22">
        <f t="shared" si="165"/>
        <v>7.5605490043076185E-12</v>
      </c>
      <c r="AM171" s="60">
        <f t="shared" si="113"/>
        <v>293.33333333334087</v>
      </c>
      <c r="AN171" s="60">
        <f ca="1">AVERAGE(OFFSET($AM$3,0,0,'Données projet'!$E$10+1,1))-AVERAGE(OFFSET($H$3,0,0,'Données projet'!$E$10+1,1))</f>
        <v>216.19747366796145</v>
      </c>
      <c r="AO171" s="60">
        <f t="shared" si="144"/>
        <v>122.08911898780889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2.1087513446111649E-20</v>
      </c>
      <c r="AX171" s="23">
        <f t="shared" si="166"/>
        <v>2.1087513446111649E-20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-6.2527760746888816E-13</v>
      </c>
      <c r="BE171" s="14">
        <f>BD171*VLOOKUP('Données projet'!$B$11,Paramètres!$A$1:$I$89,3,0)*VLOOKUP('Données projet'!$B$11,Paramètres!$A$1:$I$89,5,0)</f>
        <v>-2.9262992029543964E-13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179.52358670810645</v>
      </c>
      <c r="BJ171" s="60">
        <f t="shared" si="146"/>
        <v>89.471764801078166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1.1882548278663309E-13</v>
      </c>
      <c r="CA171" s="14">
        <f t="shared" si="170"/>
        <v>1.7496137229198366E-12</v>
      </c>
      <c r="CB171" s="22">
        <f t="shared" si="171"/>
        <v>3.2541982832721012E-12</v>
      </c>
      <c r="CC171" s="60">
        <f t="shared" si="119"/>
        <v>293.33333333333655</v>
      </c>
      <c r="CD171" s="60">
        <f ca="1">AVERAGE(OFFSET($CC$3,0,0,'Données projet'!$E$12+1,1))-AVERAGE(OFFSET($H$3,0,0,'Données projet'!$E$12+1,1))</f>
        <v>304.57411436867147</v>
      </c>
      <c r="CE171" s="60">
        <f t="shared" si="148"/>
        <v>178.19974548556962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1.0995790944434703E-13</v>
      </c>
      <c r="CV171" s="14">
        <f t="shared" si="173"/>
        <v>1.6337280948049956E-12</v>
      </c>
      <c r="CW171" s="22">
        <f t="shared" si="174"/>
        <v>3.036919790734272E-12</v>
      </c>
      <c r="CX171" s="60">
        <f t="shared" si="122"/>
        <v>293.33333333333633</v>
      </c>
      <c r="CY171" s="60">
        <f ca="1">AVERAGE(OFFSET($CX$3,0,0,'Données projet'!$E$13+1,1))-AVERAGE(OFFSET($H$3,0,0,'Données projet'!$E$13+1,1))</f>
        <v>279.37339904167601</v>
      </c>
      <c r="CZ171" s="60">
        <f t="shared" si="150"/>
        <v>163.80861186980007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0" t="e">
        <f t="shared" si="125"/>
        <v>#N/A</v>
      </c>
      <c r="DT171" s="60" t="e">
        <f ca="1">AVERAGE(OFFSET($DS$3,0,0,'Données projet'!$E$14+1,1))-AVERAGE(OFFSET($H$3,0,0,'Données projet'!$E$14+1,1))</f>
        <v>#N/A</v>
      </c>
      <c r="DU171" s="60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46.137000000000135</v>
      </c>
      <c r="D172" s="12">
        <f t="shared" si="140"/>
        <v>13.611502648170209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461.2165116700869</v>
      </c>
      <c r="H172" s="68">
        <f t="shared" si="110"/>
        <v>397.39530877889666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0">
        <f t="shared" si="109"/>
        <v>293.33333333333439</v>
      </c>
      <c r="S172" s="60">
        <f ca="1">AVERAGE(OFFSET($R$3,0,0,'Données projet'!$E$9+1,1))-AVERAGE(OFFSET($H$3,0,0,'Données projet'!$E$9+1,1))</f>
        <v>223.38593045370783</v>
      </c>
      <c r="T172" s="60">
        <f t="shared" si="142"/>
        <v>161.68519532023998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5.1159076974727213E-13</v>
      </c>
      <c r="AJ172" s="14">
        <f>AI172*VLOOKUP('Données projet'!$B$10,Paramètres!$A$1:$I$89,3,0)*VLOOKUP('Données projet'!$B$10,Paramètres!$A$1:$I$89,5,0)</f>
        <v>3.0593128030886877E-13</v>
      </c>
      <c r="AK172" s="14">
        <f t="shared" si="164"/>
        <v>4.0350537939347394E-12</v>
      </c>
      <c r="AL172" s="22">
        <f t="shared" si="165"/>
        <v>7.5605490043076185E-12</v>
      </c>
      <c r="AM172" s="60">
        <f t="shared" si="113"/>
        <v>293.33333333334087</v>
      </c>
      <c r="AN172" s="60">
        <f ca="1">AVERAGE(OFFSET($AM$3,0,0,'Données projet'!$E$10+1,1))-AVERAGE(OFFSET($H$3,0,0,'Données projet'!$E$10+1,1))</f>
        <v>216.19747366796145</v>
      </c>
      <c r="AO172" s="60">
        <f t="shared" si="144"/>
        <v>122.08911898780889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1.4911123756108048E-20</v>
      </c>
      <c r="AX172" s="23">
        <f t="shared" si="166"/>
        <v>1.4911123756108048E-20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-6.2527760746888816E-13</v>
      </c>
      <c r="BE172" s="14">
        <f>BD172*VLOOKUP('Données projet'!$B$11,Paramètres!$A$1:$I$89,3,0)*VLOOKUP('Données projet'!$B$11,Paramètres!$A$1:$I$89,5,0)</f>
        <v>-2.9262992029543964E-13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179.52358670810645</v>
      </c>
      <c r="BJ172" s="60">
        <f t="shared" si="146"/>
        <v>89.471764801078166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1.1882548278663309E-13</v>
      </c>
      <c r="CA172" s="14">
        <f t="shared" si="170"/>
        <v>1.7496137229198366E-12</v>
      </c>
      <c r="CB172" s="22">
        <f t="shared" si="171"/>
        <v>3.2541982832721012E-12</v>
      </c>
      <c r="CC172" s="60">
        <f t="shared" si="119"/>
        <v>293.33333333333655</v>
      </c>
      <c r="CD172" s="60">
        <f ca="1">AVERAGE(OFFSET($CC$3,0,0,'Données projet'!$E$12+1,1))-AVERAGE(OFFSET($H$3,0,0,'Données projet'!$E$12+1,1))</f>
        <v>304.57411436867147</v>
      </c>
      <c r="CE172" s="60">
        <f t="shared" si="148"/>
        <v>178.19974548556962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1.0995790944434703E-13</v>
      </c>
      <c r="CV172" s="14">
        <f t="shared" si="173"/>
        <v>1.6337280948049956E-12</v>
      </c>
      <c r="CW172" s="22">
        <f t="shared" si="174"/>
        <v>3.036919790734272E-12</v>
      </c>
      <c r="CX172" s="60">
        <f t="shared" si="122"/>
        <v>293.33333333333633</v>
      </c>
      <c r="CY172" s="60">
        <f ca="1">AVERAGE(OFFSET($CX$3,0,0,'Données projet'!$E$13+1,1))-AVERAGE(OFFSET($H$3,0,0,'Données projet'!$E$13+1,1))</f>
        <v>279.37339904167601</v>
      </c>
      <c r="CZ172" s="60">
        <f t="shared" si="150"/>
        <v>163.80861186980007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0" t="e">
        <f t="shared" si="125"/>
        <v>#N/A</v>
      </c>
      <c r="DT172" s="60" t="e">
        <f ca="1">AVERAGE(OFFSET($DS$3,0,0,'Données projet'!$E$14+1,1))-AVERAGE(OFFSET($H$3,0,0,'Données projet'!$E$14+1,1))</f>
        <v>#N/A</v>
      </c>
      <c r="DU172" s="60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46.410000000000139</v>
      </c>
      <c r="D173" s="12">
        <f t="shared" si="140"/>
        <v>13.682644606433962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463.87304608475444</v>
      </c>
      <c r="H173" s="68">
        <f t="shared" si="110"/>
        <v>397.99468935620604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0">
        <f t="shared" si="109"/>
        <v>293.33333333333439</v>
      </c>
      <c r="S173" s="60">
        <f ca="1">AVERAGE(OFFSET($R$3,0,0,'Données projet'!$E$9+1,1))-AVERAGE(OFFSET($H$3,0,0,'Données projet'!$E$9+1,1))</f>
        <v>223.38593045370783</v>
      </c>
      <c r="T173" s="60">
        <f t="shared" si="142"/>
        <v>161.68519532023998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5.1159076974727213E-13</v>
      </c>
      <c r="AJ173" s="14">
        <f>AI173*VLOOKUP('Données projet'!$B$10,Paramètres!$A$1:$I$89,3,0)*VLOOKUP('Données projet'!$B$10,Paramètres!$A$1:$I$89,5,0)</f>
        <v>3.0593128030886877E-13</v>
      </c>
      <c r="AK173" s="14">
        <f t="shared" si="164"/>
        <v>4.0350537939347394E-12</v>
      </c>
      <c r="AL173" s="22">
        <f t="shared" si="165"/>
        <v>7.5605490043076185E-12</v>
      </c>
      <c r="AM173" s="60">
        <f t="shared" si="113"/>
        <v>293.33333333334087</v>
      </c>
      <c r="AN173" s="60">
        <f ca="1">AVERAGE(OFFSET($AM$3,0,0,'Données projet'!$E$10+1,1))-AVERAGE(OFFSET($H$3,0,0,'Données projet'!$E$10+1,1))</f>
        <v>216.19747366796145</v>
      </c>
      <c r="AO173" s="60">
        <f t="shared" si="144"/>
        <v>122.08911898780889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1.0543756723055825E-20</v>
      </c>
      <c r="AX173" s="23">
        <f t="shared" si="166"/>
        <v>1.0543756723055825E-20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-6.2527760746888816E-13</v>
      </c>
      <c r="BE173" s="14">
        <f>BD173*VLOOKUP('Données projet'!$B$11,Paramètres!$A$1:$I$89,3,0)*VLOOKUP('Données projet'!$B$11,Paramètres!$A$1:$I$89,5,0)</f>
        <v>-2.9262992029543964E-13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179.52358670810645</v>
      </c>
      <c r="BJ173" s="60">
        <f t="shared" si="146"/>
        <v>89.471764801078166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1.1882548278663309E-13</v>
      </c>
      <c r="CA173" s="14">
        <f t="shared" si="170"/>
        <v>1.7496137229198366E-12</v>
      </c>
      <c r="CB173" s="22">
        <f t="shared" si="171"/>
        <v>3.2541982832721012E-12</v>
      </c>
      <c r="CC173" s="60">
        <f t="shared" si="119"/>
        <v>293.33333333333655</v>
      </c>
      <c r="CD173" s="60">
        <f ca="1">AVERAGE(OFFSET($CC$3,0,0,'Données projet'!$E$12+1,1))-AVERAGE(OFFSET($H$3,0,0,'Données projet'!$E$12+1,1))</f>
        <v>304.57411436867147</v>
      </c>
      <c r="CE173" s="60">
        <f t="shared" si="148"/>
        <v>178.19974548556962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1.0995790944434703E-13</v>
      </c>
      <c r="CV173" s="14">
        <f t="shared" si="173"/>
        <v>1.6337280948049956E-12</v>
      </c>
      <c r="CW173" s="22">
        <f t="shared" si="174"/>
        <v>3.036919790734272E-12</v>
      </c>
      <c r="CX173" s="60">
        <f t="shared" si="122"/>
        <v>293.33333333333633</v>
      </c>
      <c r="CY173" s="60">
        <f ca="1">AVERAGE(OFFSET($CX$3,0,0,'Données projet'!$E$13+1,1))-AVERAGE(OFFSET($H$3,0,0,'Données projet'!$E$13+1,1))</f>
        <v>279.37339904167601</v>
      </c>
      <c r="CZ173" s="60">
        <f t="shared" si="150"/>
        <v>163.80861186980007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0" t="e">
        <f t="shared" si="125"/>
        <v>#N/A</v>
      </c>
      <c r="DT173" s="60" t="e">
        <f ca="1">AVERAGE(OFFSET($DS$3,0,0,'Données projet'!$E$14+1,1))-AVERAGE(OFFSET($H$3,0,0,'Données projet'!$E$14+1,1))</f>
        <v>#N/A</v>
      </c>
      <c r="DU173" s="60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46.683000000000142</v>
      </c>
      <c r="D174" s="12">
        <f t="shared" si="140"/>
        <v>13.753737869755998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466.52920460864397</v>
      </c>
      <c r="H174" s="68">
        <f t="shared" si="110"/>
        <v>398.59398512315857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0">
        <f t="shared" si="109"/>
        <v>293.33333333333439</v>
      </c>
      <c r="S174" s="60">
        <f ca="1">AVERAGE(OFFSET($R$3,0,0,'Données projet'!$E$9+1,1))-AVERAGE(OFFSET($H$3,0,0,'Données projet'!$E$9+1,1))</f>
        <v>223.38593045370783</v>
      </c>
      <c r="T174" s="60">
        <f t="shared" si="142"/>
        <v>161.68519532023998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5.1159076974727213E-13</v>
      </c>
      <c r="AJ174" s="14">
        <f>AI174*VLOOKUP('Données projet'!$B$10,Paramètres!$A$1:$I$89,3,0)*VLOOKUP('Données projet'!$B$10,Paramètres!$A$1:$I$89,5,0)</f>
        <v>3.0593128030886877E-13</v>
      </c>
      <c r="AK174" s="14">
        <f t="shared" si="164"/>
        <v>4.0350537939347394E-12</v>
      </c>
      <c r="AL174" s="22">
        <f t="shared" si="165"/>
        <v>7.5605490043076185E-12</v>
      </c>
      <c r="AM174" s="60">
        <f t="shared" si="113"/>
        <v>293.33333333334087</v>
      </c>
      <c r="AN174" s="60">
        <f ca="1">AVERAGE(OFFSET($AM$3,0,0,'Données projet'!$E$10+1,1))-AVERAGE(OFFSET($H$3,0,0,'Données projet'!$E$10+1,1))</f>
        <v>216.19747366796145</v>
      </c>
      <c r="AO174" s="60">
        <f t="shared" si="144"/>
        <v>122.08911898780889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7.4555618780540242E-21</v>
      </c>
      <c r="AX174" s="23">
        <f t="shared" si="166"/>
        <v>7.4555618780540242E-21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-6.2527760746888816E-13</v>
      </c>
      <c r="BE174" s="14">
        <f>BD174*VLOOKUP('Données projet'!$B$11,Paramètres!$A$1:$I$89,3,0)*VLOOKUP('Données projet'!$B$11,Paramètres!$A$1:$I$89,5,0)</f>
        <v>-2.9262992029543964E-13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179.52358670810645</v>
      </c>
      <c r="BJ174" s="60">
        <f t="shared" si="146"/>
        <v>89.471764801078166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1.1882548278663309E-13</v>
      </c>
      <c r="CA174" s="14">
        <f t="shared" si="170"/>
        <v>1.7496137229198366E-12</v>
      </c>
      <c r="CB174" s="22">
        <f t="shared" si="171"/>
        <v>3.2541982832721012E-12</v>
      </c>
      <c r="CC174" s="60">
        <f t="shared" si="119"/>
        <v>293.33333333333655</v>
      </c>
      <c r="CD174" s="60">
        <f ca="1">AVERAGE(OFFSET($CC$3,0,0,'Données projet'!$E$12+1,1))-AVERAGE(OFFSET($H$3,0,0,'Données projet'!$E$12+1,1))</f>
        <v>304.57411436867147</v>
      </c>
      <c r="CE174" s="60">
        <f t="shared" si="148"/>
        <v>178.19974548556962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1.0995790944434703E-13</v>
      </c>
      <c r="CV174" s="14">
        <f t="shared" si="173"/>
        <v>1.6337280948049956E-12</v>
      </c>
      <c r="CW174" s="22">
        <f t="shared" si="174"/>
        <v>3.036919790734272E-12</v>
      </c>
      <c r="CX174" s="60">
        <f t="shared" si="122"/>
        <v>293.33333333333633</v>
      </c>
      <c r="CY174" s="60">
        <f ca="1">AVERAGE(OFFSET($CX$3,0,0,'Données projet'!$E$13+1,1))-AVERAGE(OFFSET($H$3,0,0,'Données projet'!$E$13+1,1))</f>
        <v>279.37339904167601</v>
      </c>
      <c r="CZ174" s="60">
        <f t="shared" si="150"/>
        <v>163.80861186980007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0" t="e">
        <f t="shared" si="125"/>
        <v>#N/A</v>
      </c>
      <c r="DT174" s="60" t="e">
        <f ca="1">AVERAGE(OFFSET($DS$3,0,0,'Données projet'!$E$14+1,1))-AVERAGE(OFFSET($H$3,0,0,'Données projet'!$E$14+1,1))</f>
        <v>#N/A</v>
      </c>
      <c r="DU174" s="60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46.956000000000145</v>
      </c>
      <c r="D175" s="12">
        <f t="shared" si="140"/>
        <v>13.824782755944248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469.18498969500934</v>
      </c>
      <c r="H175" s="68">
        <f t="shared" si="110"/>
        <v>399.19319663326979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0">
        <f t="shared" si="109"/>
        <v>293.33333333333439</v>
      </c>
      <c r="S175" s="60">
        <f ca="1">AVERAGE(OFFSET($R$3,0,0,'Données projet'!$E$9+1,1))-AVERAGE(OFFSET($H$3,0,0,'Données projet'!$E$9+1,1))</f>
        <v>223.38593045370783</v>
      </c>
      <c r="T175" s="60">
        <f t="shared" si="142"/>
        <v>161.68519532023998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5.1159076974727213E-13</v>
      </c>
      <c r="AJ175" s="14">
        <f>AI175*VLOOKUP('Données projet'!$B$10,Paramètres!$A$1:$I$89,3,0)*VLOOKUP('Données projet'!$B$10,Paramètres!$A$1:$I$89,5,0)</f>
        <v>3.0593128030886877E-13</v>
      </c>
      <c r="AK175" s="14">
        <f t="shared" si="164"/>
        <v>4.0350537939347394E-12</v>
      </c>
      <c r="AL175" s="22">
        <f t="shared" si="165"/>
        <v>7.5605490043076185E-12</v>
      </c>
      <c r="AM175" s="60">
        <f t="shared" si="113"/>
        <v>293.33333333334087</v>
      </c>
      <c r="AN175" s="60">
        <f ca="1">AVERAGE(OFFSET($AM$3,0,0,'Données projet'!$E$10+1,1))-AVERAGE(OFFSET($H$3,0,0,'Données projet'!$E$10+1,1))</f>
        <v>216.19747366796145</v>
      </c>
      <c r="AO175" s="60">
        <f t="shared" si="144"/>
        <v>122.08911898780889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5.2718783615279123E-21</v>
      </c>
      <c r="AX175" s="23">
        <f t="shared" si="166"/>
        <v>5.2718783615279123E-21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-6.2527760746888816E-13</v>
      </c>
      <c r="BE175" s="14">
        <f>BD175*VLOOKUP('Données projet'!$B$11,Paramètres!$A$1:$I$89,3,0)*VLOOKUP('Données projet'!$B$11,Paramètres!$A$1:$I$89,5,0)</f>
        <v>-2.9262992029543964E-13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179.52358670810645</v>
      </c>
      <c r="BJ175" s="60">
        <f t="shared" si="146"/>
        <v>89.471764801078166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1.1882548278663309E-13</v>
      </c>
      <c r="CA175" s="14">
        <f t="shared" si="170"/>
        <v>1.7496137229198366E-12</v>
      </c>
      <c r="CB175" s="22">
        <f t="shared" si="171"/>
        <v>3.2541982832721012E-12</v>
      </c>
      <c r="CC175" s="60">
        <f t="shared" si="119"/>
        <v>293.33333333333655</v>
      </c>
      <c r="CD175" s="60">
        <f ca="1">AVERAGE(OFFSET($CC$3,0,0,'Données projet'!$E$12+1,1))-AVERAGE(OFFSET($H$3,0,0,'Données projet'!$E$12+1,1))</f>
        <v>304.57411436867147</v>
      </c>
      <c r="CE175" s="60">
        <f t="shared" si="148"/>
        <v>178.19974548556962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1.0995790944434703E-13</v>
      </c>
      <c r="CV175" s="14">
        <f t="shared" si="173"/>
        <v>1.6337280948049956E-12</v>
      </c>
      <c r="CW175" s="22">
        <f t="shared" si="174"/>
        <v>3.036919790734272E-12</v>
      </c>
      <c r="CX175" s="60">
        <f t="shared" si="122"/>
        <v>293.33333333333633</v>
      </c>
      <c r="CY175" s="60">
        <f ca="1">AVERAGE(OFFSET($CX$3,0,0,'Données projet'!$E$13+1,1))-AVERAGE(OFFSET($H$3,0,0,'Données projet'!$E$13+1,1))</f>
        <v>279.37339904167601</v>
      </c>
      <c r="CZ175" s="60">
        <f t="shared" si="150"/>
        <v>163.80861186980007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0" t="e">
        <f t="shared" si="125"/>
        <v>#N/A</v>
      </c>
      <c r="DT175" s="60" t="e">
        <f ca="1">AVERAGE(OFFSET($DS$3,0,0,'Données projet'!$E$14+1,1))-AVERAGE(OFFSET($H$3,0,0,'Données projet'!$E$14+1,1))</f>
        <v>#N/A</v>
      </c>
      <c r="DU175" s="60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47.229000000000148</v>
      </c>
      <c r="D176" s="12">
        <f t="shared" si="140"/>
        <v>13.895779578897379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471.84040376692838</v>
      </c>
      <c r="H176" s="68">
        <f t="shared" si="110"/>
        <v>399.79232443324651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0">
        <f t="shared" si="109"/>
        <v>293.33333333333439</v>
      </c>
      <c r="S176" s="60">
        <f ca="1">AVERAGE(OFFSET($R$3,0,0,'Données projet'!$E$9+1,1))-AVERAGE(OFFSET($H$3,0,0,'Données projet'!$E$9+1,1))</f>
        <v>223.38593045370783</v>
      </c>
      <c r="T176" s="60">
        <f t="shared" si="142"/>
        <v>161.68519532023998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5.1159076974727213E-13</v>
      </c>
      <c r="AJ176" s="14">
        <f>AI176*VLOOKUP('Données projet'!$B$10,Paramètres!$A$1:$I$89,3,0)*VLOOKUP('Données projet'!$B$10,Paramètres!$A$1:$I$89,5,0)</f>
        <v>3.0593128030886877E-13</v>
      </c>
      <c r="AK176" s="14">
        <f t="shared" si="164"/>
        <v>4.0350537939347394E-12</v>
      </c>
      <c r="AL176" s="22">
        <f t="shared" si="165"/>
        <v>7.5605490043076185E-12</v>
      </c>
      <c r="AM176" s="60">
        <f t="shared" si="113"/>
        <v>293.33333333334087</v>
      </c>
      <c r="AN176" s="60">
        <f ca="1">AVERAGE(OFFSET($AM$3,0,0,'Données projet'!$E$10+1,1))-AVERAGE(OFFSET($H$3,0,0,'Données projet'!$E$10+1,1))</f>
        <v>216.19747366796145</v>
      </c>
      <c r="AO176" s="60">
        <f t="shared" si="144"/>
        <v>122.08911898780889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3.7277809390270121E-21</v>
      </c>
      <c r="AX176" s="23">
        <f t="shared" si="166"/>
        <v>3.7277809390270121E-21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-6.2527760746888816E-13</v>
      </c>
      <c r="BE176" s="14">
        <f>BD176*VLOOKUP('Données projet'!$B$11,Paramètres!$A$1:$I$89,3,0)*VLOOKUP('Données projet'!$B$11,Paramètres!$A$1:$I$89,5,0)</f>
        <v>-2.9262992029543964E-13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179.52358670810645</v>
      </c>
      <c r="BJ176" s="60">
        <f t="shared" si="146"/>
        <v>89.471764801078166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1.1882548278663309E-13</v>
      </c>
      <c r="CA176" s="14">
        <f t="shared" si="170"/>
        <v>1.7496137229198366E-12</v>
      </c>
      <c r="CB176" s="22">
        <f t="shared" si="171"/>
        <v>3.2541982832721012E-12</v>
      </c>
      <c r="CC176" s="60">
        <f t="shared" si="119"/>
        <v>293.33333333333655</v>
      </c>
      <c r="CD176" s="60">
        <f ca="1">AVERAGE(OFFSET($CC$3,0,0,'Données projet'!$E$12+1,1))-AVERAGE(OFFSET($H$3,0,0,'Données projet'!$E$12+1,1))</f>
        <v>304.57411436867147</v>
      </c>
      <c r="CE176" s="60">
        <f t="shared" si="148"/>
        <v>178.19974548556962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1.0995790944434703E-13</v>
      </c>
      <c r="CV176" s="14">
        <f t="shared" si="173"/>
        <v>1.6337280948049956E-12</v>
      </c>
      <c r="CW176" s="22">
        <f t="shared" si="174"/>
        <v>3.036919790734272E-12</v>
      </c>
      <c r="CX176" s="60">
        <f t="shared" si="122"/>
        <v>293.33333333333633</v>
      </c>
      <c r="CY176" s="60">
        <f ca="1">AVERAGE(OFFSET($CX$3,0,0,'Données projet'!$E$13+1,1))-AVERAGE(OFFSET($H$3,0,0,'Données projet'!$E$13+1,1))</f>
        <v>279.37339904167601</v>
      </c>
      <c r="CZ176" s="60">
        <f t="shared" si="150"/>
        <v>163.80861186980007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0" t="e">
        <f t="shared" si="125"/>
        <v>#N/A</v>
      </c>
      <c r="DT176" s="60" t="e">
        <f ca="1">AVERAGE(OFFSET($DS$3,0,0,'Données projet'!$E$14+1,1))-AVERAGE(OFFSET($H$3,0,0,'Données projet'!$E$14+1,1))</f>
        <v>#N/A</v>
      </c>
      <c r="DU176" s="60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47.502000000000152</v>
      </c>
      <c r="D177" s="12">
        <f t="shared" si="140"/>
        <v>13.9667286486752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474.49544921784485</v>
      </c>
      <c r="H177" s="68">
        <f t="shared" si="110"/>
        <v>400.39136906310955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0">
        <f t="shared" si="109"/>
        <v>293.33333333333439</v>
      </c>
      <c r="S177" s="60">
        <f ca="1">AVERAGE(OFFSET($R$3,0,0,'Données projet'!$E$9+1,1))-AVERAGE(OFFSET($H$3,0,0,'Données projet'!$E$9+1,1))</f>
        <v>223.38593045370783</v>
      </c>
      <c r="T177" s="60">
        <f t="shared" si="142"/>
        <v>161.68519532023998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5.1159076974727213E-13</v>
      </c>
      <c r="AJ177" s="14">
        <f>AI177*VLOOKUP('Données projet'!$B$10,Paramètres!$A$1:$I$89,3,0)*VLOOKUP('Données projet'!$B$10,Paramètres!$A$1:$I$89,5,0)</f>
        <v>3.0593128030886877E-13</v>
      </c>
      <c r="AK177" s="14">
        <f t="shared" si="164"/>
        <v>4.0350537939347394E-12</v>
      </c>
      <c r="AL177" s="22">
        <f t="shared" si="165"/>
        <v>7.5605490043076185E-12</v>
      </c>
      <c r="AM177" s="60">
        <f t="shared" si="113"/>
        <v>293.33333333334087</v>
      </c>
      <c r="AN177" s="60">
        <f ca="1">AVERAGE(OFFSET($AM$3,0,0,'Données projet'!$E$10+1,1))-AVERAGE(OFFSET($H$3,0,0,'Données projet'!$E$10+1,1))</f>
        <v>216.19747366796145</v>
      </c>
      <c r="AO177" s="60">
        <f t="shared" si="144"/>
        <v>122.08911898780889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2.6359391807639561E-21</v>
      </c>
      <c r="AX177" s="23">
        <f t="shared" si="166"/>
        <v>2.6359391807639561E-21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-6.2527760746888816E-13</v>
      </c>
      <c r="BE177" s="14">
        <f>BD177*VLOOKUP('Données projet'!$B$11,Paramètres!$A$1:$I$89,3,0)*VLOOKUP('Données projet'!$B$11,Paramètres!$A$1:$I$89,5,0)</f>
        <v>-2.9262992029543964E-13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179.52358670810645</v>
      </c>
      <c r="BJ177" s="60">
        <f t="shared" si="146"/>
        <v>89.471764801078166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1.1882548278663309E-13</v>
      </c>
      <c r="CA177" s="14">
        <f t="shared" si="170"/>
        <v>1.7496137229198366E-12</v>
      </c>
      <c r="CB177" s="22">
        <f t="shared" si="171"/>
        <v>3.2541982832721012E-12</v>
      </c>
      <c r="CC177" s="60">
        <f t="shared" si="119"/>
        <v>293.33333333333655</v>
      </c>
      <c r="CD177" s="60">
        <f ca="1">AVERAGE(OFFSET($CC$3,0,0,'Données projet'!$E$12+1,1))-AVERAGE(OFFSET($H$3,0,0,'Données projet'!$E$12+1,1))</f>
        <v>304.57411436867147</v>
      </c>
      <c r="CE177" s="60">
        <f t="shared" si="148"/>
        <v>178.19974548556962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1.0995790944434703E-13</v>
      </c>
      <c r="CV177" s="14">
        <f t="shared" si="173"/>
        <v>1.6337280948049956E-12</v>
      </c>
      <c r="CW177" s="22">
        <f t="shared" si="174"/>
        <v>3.036919790734272E-12</v>
      </c>
      <c r="CX177" s="60">
        <f t="shared" si="122"/>
        <v>293.33333333333633</v>
      </c>
      <c r="CY177" s="60">
        <f ca="1">AVERAGE(OFFSET($CX$3,0,0,'Données projet'!$E$13+1,1))-AVERAGE(OFFSET($H$3,0,0,'Données projet'!$E$13+1,1))</f>
        <v>279.37339904167601</v>
      </c>
      <c r="CZ177" s="60">
        <f t="shared" si="150"/>
        <v>163.80861186980007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0" t="e">
        <f t="shared" si="125"/>
        <v>#N/A</v>
      </c>
      <c r="DT177" s="60" t="e">
        <f ca="1">AVERAGE(OFFSET($DS$3,0,0,'Données projet'!$E$14+1,1))-AVERAGE(OFFSET($H$3,0,0,'Données projet'!$E$14+1,1))</f>
        <v>#N/A</v>
      </c>
      <c r="DU177" s="60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47.775000000000155</v>
      </c>
      <c r="D178" s="12">
        <f t="shared" si="140"/>
        <v>14.037630271567405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477.15012841210046</v>
      </c>
      <c r="H178" s="68">
        <f t="shared" si="110"/>
        <v>400.99033105631349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0">
        <f t="shared" si="109"/>
        <v>293.33333333333439</v>
      </c>
      <c r="S178" s="60">
        <f ca="1">AVERAGE(OFFSET($R$3,0,0,'Données projet'!$E$9+1,1))-AVERAGE(OFFSET($H$3,0,0,'Données projet'!$E$9+1,1))</f>
        <v>223.38593045370783</v>
      </c>
      <c r="T178" s="60">
        <f t="shared" si="142"/>
        <v>161.68519532023998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5.1159076974727213E-13</v>
      </c>
      <c r="AJ178" s="14">
        <f>AI178*VLOOKUP('Données projet'!$B$10,Paramètres!$A$1:$I$89,3,0)*VLOOKUP('Données projet'!$B$10,Paramètres!$A$1:$I$89,5,0)</f>
        <v>3.0593128030886877E-13</v>
      </c>
      <c r="AK178" s="14">
        <f t="shared" si="164"/>
        <v>4.0350537939347394E-12</v>
      </c>
      <c r="AL178" s="22">
        <f t="shared" si="165"/>
        <v>7.5605490043076185E-12</v>
      </c>
      <c r="AM178" s="60">
        <f t="shared" si="113"/>
        <v>293.33333333334087</v>
      </c>
      <c r="AN178" s="60">
        <f ca="1">AVERAGE(OFFSET($AM$3,0,0,'Données projet'!$E$10+1,1))-AVERAGE(OFFSET($H$3,0,0,'Données projet'!$E$10+1,1))</f>
        <v>216.19747366796145</v>
      </c>
      <c r="AO178" s="60">
        <f t="shared" si="144"/>
        <v>122.08911898780889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1.8638904695135061E-21</v>
      </c>
      <c r="AX178" s="23">
        <f t="shared" si="166"/>
        <v>1.8638904695135061E-21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-6.2527760746888816E-13</v>
      </c>
      <c r="BE178" s="14">
        <f>BD178*VLOOKUP('Données projet'!$B$11,Paramètres!$A$1:$I$89,3,0)*VLOOKUP('Données projet'!$B$11,Paramètres!$A$1:$I$89,5,0)</f>
        <v>-2.9262992029543964E-13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179.52358670810645</v>
      </c>
      <c r="BJ178" s="60">
        <f t="shared" si="146"/>
        <v>89.471764801078166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1.1882548278663309E-13</v>
      </c>
      <c r="CA178" s="14">
        <f t="shared" si="170"/>
        <v>1.7496137229198366E-12</v>
      </c>
      <c r="CB178" s="22">
        <f t="shared" si="171"/>
        <v>3.2541982832721012E-12</v>
      </c>
      <c r="CC178" s="60">
        <f t="shared" si="119"/>
        <v>293.33333333333655</v>
      </c>
      <c r="CD178" s="60">
        <f ca="1">AVERAGE(OFFSET($CC$3,0,0,'Données projet'!$E$12+1,1))-AVERAGE(OFFSET($H$3,0,0,'Données projet'!$E$12+1,1))</f>
        <v>304.57411436867147</v>
      </c>
      <c r="CE178" s="60">
        <f t="shared" si="148"/>
        <v>178.19974548556962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1.0995790944434703E-13</v>
      </c>
      <c r="CV178" s="14">
        <f t="shared" si="173"/>
        <v>1.6337280948049956E-12</v>
      </c>
      <c r="CW178" s="22">
        <f t="shared" si="174"/>
        <v>3.036919790734272E-12</v>
      </c>
      <c r="CX178" s="60">
        <f t="shared" si="122"/>
        <v>293.33333333333633</v>
      </c>
      <c r="CY178" s="60">
        <f ca="1">AVERAGE(OFFSET($CX$3,0,0,'Données projet'!$E$13+1,1))-AVERAGE(OFFSET($H$3,0,0,'Données projet'!$E$13+1,1))</f>
        <v>279.37339904167601</v>
      </c>
      <c r="CZ178" s="60">
        <f t="shared" si="150"/>
        <v>163.80861186980007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0" t="e">
        <f t="shared" si="125"/>
        <v>#N/A</v>
      </c>
      <c r="DT178" s="60" t="e">
        <f ca="1">AVERAGE(OFFSET($DS$3,0,0,'Données projet'!$E$14+1,1))-AVERAGE(OFFSET($H$3,0,0,'Données projet'!$E$14+1,1))</f>
        <v>#N/A</v>
      </c>
      <c r="DU178" s="60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48.048000000000158</v>
      </c>
      <c r="D179" s="12">
        <f t="shared" si="140"/>
        <v>14.10848475016066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479.80444368545187</v>
      </c>
      <c r="H179" s="68">
        <f t="shared" si="110"/>
        <v>401.58921093986339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0">
        <f t="shared" si="109"/>
        <v>293.33333333333439</v>
      </c>
      <c r="S179" s="60">
        <f ca="1">AVERAGE(OFFSET($R$3,0,0,'Données projet'!$E$9+1,1))-AVERAGE(OFFSET($H$3,0,0,'Données projet'!$E$9+1,1))</f>
        <v>223.38593045370783</v>
      </c>
      <c r="T179" s="60">
        <f t="shared" si="142"/>
        <v>161.68519532023998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5.1159076974727213E-13</v>
      </c>
      <c r="AJ179" s="14">
        <f>AI179*VLOOKUP('Données projet'!$B$10,Paramètres!$A$1:$I$89,3,0)*VLOOKUP('Données projet'!$B$10,Paramètres!$A$1:$I$89,5,0)</f>
        <v>3.0593128030886877E-13</v>
      </c>
      <c r="AK179" s="14">
        <f t="shared" si="164"/>
        <v>4.0350537939347394E-12</v>
      </c>
      <c r="AL179" s="22">
        <f t="shared" si="165"/>
        <v>7.5605490043076185E-12</v>
      </c>
      <c r="AM179" s="60">
        <f t="shared" si="113"/>
        <v>293.33333333334087</v>
      </c>
      <c r="AN179" s="60">
        <f ca="1">AVERAGE(OFFSET($AM$3,0,0,'Données projet'!$E$10+1,1))-AVERAGE(OFFSET($H$3,0,0,'Données projet'!$E$10+1,1))</f>
        <v>216.19747366796145</v>
      </c>
      <c r="AO179" s="60">
        <f t="shared" si="144"/>
        <v>122.08911898780889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1.3179695903819781E-21</v>
      </c>
      <c r="AX179" s="23">
        <f t="shared" si="166"/>
        <v>1.3179695903819781E-21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-6.2527760746888816E-13</v>
      </c>
      <c r="BE179" s="14">
        <f>BD179*VLOOKUP('Données projet'!$B$11,Paramètres!$A$1:$I$89,3,0)*VLOOKUP('Données projet'!$B$11,Paramètres!$A$1:$I$89,5,0)</f>
        <v>-2.9262992029543964E-13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179.52358670810645</v>
      </c>
      <c r="BJ179" s="60">
        <f t="shared" si="146"/>
        <v>89.471764801078166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1.1882548278663309E-13</v>
      </c>
      <c r="CA179" s="14">
        <f t="shared" si="170"/>
        <v>1.7496137229198366E-12</v>
      </c>
      <c r="CB179" s="22">
        <f t="shared" si="171"/>
        <v>3.2541982832721012E-12</v>
      </c>
      <c r="CC179" s="60">
        <f t="shared" si="119"/>
        <v>293.33333333333655</v>
      </c>
      <c r="CD179" s="60">
        <f ca="1">AVERAGE(OFFSET($CC$3,0,0,'Données projet'!$E$12+1,1))-AVERAGE(OFFSET($H$3,0,0,'Données projet'!$E$12+1,1))</f>
        <v>304.57411436867147</v>
      </c>
      <c r="CE179" s="60">
        <f t="shared" si="148"/>
        <v>178.19974548556962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1.0995790944434703E-13</v>
      </c>
      <c r="CV179" s="14">
        <f t="shared" si="173"/>
        <v>1.6337280948049956E-12</v>
      </c>
      <c r="CW179" s="22">
        <f t="shared" si="174"/>
        <v>3.036919790734272E-12</v>
      </c>
      <c r="CX179" s="60">
        <f t="shared" si="122"/>
        <v>293.33333333333633</v>
      </c>
      <c r="CY179" s="60">
        <f ca="1">AVERAGE(OFFSET($CX$3,0,0,'Données projet'!$E$13+1,1))-AVERAGE(OFFSET($H$3,0,0,'Données projet'!$E$13+1,1))</f>
        <v>279.37339904167601</v>
      </c>
      <c r="CZ179" s="60">
        <f t="shared" si="150"/>
        <v>163.80861186980007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0" t="e">
        <f t="shared" si="125"/>
        <v>#N/A</v>
      </c>
      <c r="DT179" s="60" t="e">
        <f ca="1">AVERAGE(OFFSET($DS$3,0,0,'Données projet'!$E$14+1,1))-AVERAGE(OFFSET($H$3,0,0,'Données projet'!$E$14+1,1))</f>
        <v>#N/A</v>
      </c>
      <c r="DU179" s="60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48.321000000000161</v>
      </c>
      <c r="D180" s="12">
        <f t="shared" si="140"/>
        <v>14.179292383404194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482.45839734557745</v>
      </c>
      <c r="H180" s="68">
        <f t="shared" si="110"/>
        <v>402.18800923442922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0">
        <f t="shared" si="109"/>
        <v>293.33333333333439</v>
      </c>
      <c r="S180" s="60">
        <f ca="1">AVERAGE(OFFSET($R$3,0,0,'Données projet'!$E$9+1,1))-AVERAGE(OFFSET($H$3,0,0,'Données projet'!$E$9+1,1))</f>
        <v>223.38593045370783</v>
      </c>
      <c r="T180" s="60">
        <f t="shared" si="142"/>
        <v>161.68519532023998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5.1159076974727213E-13</v>
      </c>
      <c r="AJ180" s="14">
        <f>AI180*VLOOKUP('Données projet'!$B$10,Paramètres!$A$1:$I$89,3,0)*VLOOKUP('Données projet'!$B$10,Paramètres!$A$1:$I$89,5,0)</f>
        <v>3.0593128030886877E-13</v>
      </c>
      <c r="AK180" s="14">
        <f t="shared" si="164"/>
        <v>4.0350537939347394E-12</v>
      </c>
      <c r="AL180" s="22">
        <f t="shared" si="165"/>
        <v>7.5605490043076185E-12</v>
      </c>
      <c r="AM180" s="60">
        <f t="shared" si="113"/>
        <v>293.33333333334087</v>
      </c>
      <c r="AN180" s="60">
        <f ca="1">AVERAGE(OFFSET($AM$3,0,0,'Données projet'!$E$10+1,1))-AVERAGE(OFFSET($H$3,0,0,'Données projet'!$E$10+1,1))</f>
        <v>216.19747366796145</v>
      </c>
      <c r="AO180" s="60">
        <f t="shared" si="144"/>
        <v>122.08911898780889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9.3194523475675303E-22</v>
      </c>
      <c r="AX180" s="23">
        <f t="shared" si="166"/>
        <v>9.3194523475675303E-22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-6.2527760746888816E-13</v>
      </c>
      <c r="BE180" s="14">
        <f>BD180*VLOOKUP('Données projet'!$B$11,Paramètres!$A$1:$I$89,3,0)*VLOOKUP('Données projet'!$B$11,Paramètres!$A$1:$I$89,5,0)</f>
        <v>-2.9262992029543964E-13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179.52358670810645</v>
      </c>
      <c r="BJ180" s="60">
        <f t="shared" si="146"/>
        <v>89.471764801078166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1.1882548278663309E-13</v>
      </c>
      <c r="CA180" s="14">
        <f t="shared" si="170"/>
        <v>1.7496137229198366E-12</v>
      </c>
      <c r="CB180" s="22">
        <f t="shared" si="171"/>
        <v>3.2541982832721012E-12</v>
      </c>
      <c r="CC180" s="60">
        <f t="shared" si="119"/>
        <v>293.33333333333655</v>
      </c>
      <c r="CD180" s="60">
        <f ca="1">AVERAGE(OFFSET($CC$3,0,0,'Données projet'!$E$12+1,1))-AVERAGE(OFFSET($H$3,0,0,'Données projet'!$E$12+1,1))</f>
        <v>304.57411436867147</v>
      </c>
      <c r="CE180" s="60">
        <f t="shared" si="148"/>
        <v>178.19974548556962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1.0995790944434703E-13</v>
      </c>
      <c r="CV180" s="14">
        <f t="shared" si="173"/>
        <v>1.6337280948049956E-12</v>
      </c>
      <c r="CW180" s="22">
        <f t="shared" si="174"/>
        <v>3.036919790734272E-12</v>
      </c>
      <c r="CX180" s="60">
        <f t="shared" si="122"/>
        <v>293.33333333333633</v>
      </c>
      <c r="CY180" s="60">
        <f ca="1">AVERAGE(OFFSET($CX$3,0,0,'Données projet'!$E$13+1,1))-AVERAGE(OFFSET($H$3,0,0,'Données projet'!$E$13+1,1))</f>
        <v>279.37339904167601</v>
      </c>
      <c r="CZ180" s="60">
        <f t="shared" si="150"/>
        <v>163.80861186980007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0" t="e">
        <f t="shared" si="125"/>
        <v>#N/A</v>
      </c>
      <c r="DT180" s="60" t="e">
        <f ca="1">AVERAGE(OFFSET($DS$3,0,0,'Données projet'!$E$14+1,1))-AVERAGE(OFFSET($H$3,0,0,'Données projet'!$E$14+1,1))</f>
        <v>#N/A</v>
      </c>
      <c r="DU180" s="60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48.594000000000165</v>
      </c>
      <c r="D181" s="12">
        <f t="shared" si="140"/>
        <v>14.250053466673778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485.11199167257081</v>
      </c>
      <c r="H181" s="68">
        <f t="shared" si="110"/>
        <v>402.7867264544571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0">
        <f t="shared" si="109"/>
        <v>293.33333333333439</v>
      </c>
      <c r="S181" s="60">
        <f ca="1">AVERAGE(OFFSET($R$3,0,0,'Données projet'!$E$9+1,1))-AVERAGE(OFFSET($H$3,0,0,'Données projet'!$E$9+1,1))</f>
        <v>223.38593045370783</v>
      </c>
      <c r="T181" s="60">
        <f t="shared" si="142"/>
        <v>161.68519532023998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5.1159076974727213E-13</v>
      </c>
      <c r="AJ181" s="14">
        <f>AI181*VLOOKUP('Données projet'!$B$10,Paramètres!$A$1:$I$89,3,0)*VLOOKUP('Données projet'!$B$10,Paramètres!$A$1:$I$89,5,0)</f>
        <v>3.0593128030886877E-13</v>
      </c>
      <c r="AK181" s="14">
        <f t="shared" si="164"/>
        <v>4.0350537939347394E-12</v>
      </c>
      <c r="AL181" s="22">
        <f t="shared" si="165"/>
        <v>7.5605490043076185E-12</v>
      </c>
      <c r="AM181" s="60">
        <f t="shared" si="113"/>
        <v>293.33333333334087</v>
      </c>
      <c r="AN181" s="60">
        <f ca="1">AVERAGE(OFFSET($AM$3,0,0,'Données projet'!$E$10+1,1))-AVERAGE(OFFSET($H$3,0,0,'Données projet'!$E$10+1,1))</f>
        <v>216.19747366796145</v>
      </c>
      <c r="AO181" s="60">
        <f t="shared" si="144"/>
        <v>122.08911898780889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6.5898479519098904E-22</v>
      </c>
      <c r="AX181" s="23">
        <f t="shared" si="166"/>
        <v>6.5898479519098904E-22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-6.2527760746888816E-13</v>
      </c>
      <c r="BE181" s="14">
        <f>BD181*VLOOKUP('Données projet'!$B$11,Paramètres!$A$1:$I$89,3,0)*VLOOKUP('Données projet'!$B$11,Paramètres!$A$1:$I$89,5,0)</f>
        <v>-2.9262992029543964E-13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179.52358670810645</v>
      </c>
      <c r="BJ181" s="60">
        <f t="shared" si="146"/>
        <v>89.471764801078166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1.1882548278663309E-13</v>
      </c>
      <c r="CA181" s="14">
        <f t="shared" si="170"/>
        <v>1.7496137229198366E-12</v>
      </c>
      <c r="CB181" s="22">
        <f t="shared" si="171"/>
        <v>3.2541982832721012E-12</v>
      </c>
      <c r="CC181" s="60">
        <f t="shared" si="119"/>
        <v>293.33333333333655</v>
      </c>
      <c r="CD181" s="60">
        <f ca="1">AVERAGE(OFFSET($CC$3,0,0,'Données projet'!$E$12+1,1))-AVERAGE(OFFSET($H$3,0,0,'Données projet'!$E$12+1,1))</f>
        <v>304.57411436867147</v>
      </c>
      <c r="CE181" s="60">
        <f t="shared" si="148"/>
        <v>178.19974548556962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1.0995790944434703E-13</v>
      </c>
      <c r="CV181" s="14">
        <f t="shared" si="173"/>
        <v>1.6337280948049956E-12</v>
      </c>
      <c r="CW181" s="22">
        <f t="shared" si="174"/>
        <v>3.036919790734272E-12</v>
      </c>
      <c r="CX181" s="60">
        <f t="shared" si="122"/>
        <v>293.33333333333633</v>
      </c>
      <c r="CY181" s="60">
        <f ca="1">AVERAGE(OFFSET($CX$3,0,0,'Données projet'!$E$13+1,1))-AVERAGE(OFFSET($H$3,0,0,'Données projet'!$E$13+1,1))</f>
        <v>279.37339904167601</v>
      </c>
      <c r="CZ181" s="60">
        <f t="shared" si="150"/>
        <v>163.80861186980007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0" t="e">
        <f t="shared" si="125"/>
        <v>#N/A</v>
      </c>
      <c r="DT181" s="60" t="e">
        <f ca="1">AVERAGE(OFFSET($DS$3,0,0,'Données projet'!$E$14+1,1))-AVERAGE(OFFSET($H$3,0,0,'Données projet'!$E$14+1,1))</f>
        <v>#N/A</v>
      </c>
      <c r="DU181" s="60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48.867000000000168</v>
      </c>
      <c r="D182" s="12">
        <f t="shared" si="140"/>
        <v>14.320768291834314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487.76522891942403</v>
      </c>
      <c r="H182" s="68">
        <f t="shared" si="110"/>
        <v>403.38536310827834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0">
        <f t="shared" si="109"/>
        <v>293.33333333333439</v>
      </c>
      <c r="S182" s="60">
        <f ca="1">AVERAGE(OFFSET($R$3,0,0,'Données projet'!$E$9+1,1))-AVERAGE(OFFSET($H$3,0,0,'Données projet'!$E$9+1,1))</f>
        <v>223.38593045370783</v>
      </c>
      <c r="T182" s="60">
        <f t="shared" si="142"/>
        <v>161.68519532023998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5.1159076974727213E-13</v>
      </c>
      <c r="AJ182" s="14">
        <f>AI182*VLOOKUP('Données projet'!$B$10,Paramètres!$A$1:$I$89,3,0)*VLOOKUP('Données projet'!$B$10,Paramètres!$A$1:$I$89,5,0)</f>
        <v>3.0593128030886877E-13</v>
      </c>
      <c r="AK182" s="14">
        <f t="shared" si="164"/>
        <v>4.0350537939347394E-12</v>
      </c>
      <c r="AL182" s="22">
        <f t="shared" si="165"/>
        <v>7.5605490043076185E-12</v>
      </c>
      <c r="AM182" s="60">
        <f t="shared" si="113"/>
        <v>293.33333333334087</v>
      </c>
      <c r="AN182" s="60">
        <f ca="1">AVERAGE(OFFSET($AM$3,0,0,'Données projet'!$E$10+1,1))-AVERAGE(OFFSET($H$3,0,0,'Données projet'!$E$10+1,1))</f>
        <v>216.19747366796145</v>
      </c>
      <c r="AO182" s="60">
        <f t="shared" si="144"/>
        <v>122.08911898780889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4.6597261737837651E-22</v>
      </c>
      <c r="AX182" s="23">
        <f t="shared" si="166"/>
        <v>4.6597261737837651E-22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-6.2527760746888816E-13</v>
      </c>
      <c r="BE182" s="14">
        <f>BD182*VLOOKUP('Données projet'!$B$11,Paramètres!$A$1:$I$89,3,0)*VLOOKUP('Données projet'!$B$11,Paramètres!$A$1:$I$89,5,0)</f>
        <v>-2.9262992029543964E-13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179.52358670810645</v>
      </c>
      <c r="BJ182" s="60">
        <f t="shared" si="146"/>
        <v>89.471764801078166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1.1882548278663309E-13</v>
      </c>
      <c r="CA182" s="14">
        <f t="shared" si="170"/>
        <v>1.7496137229198366E-12</v>
      </c>
      <c r="CB182" s="22">
        <f t="shared" si="171"/>
        <v>3.2541982832721012E-12</v>
      </c>
      <c r="CC182" s="60">
        <f t="shared" si="119"/>
        <v>293.33333333333655</v>
      </c>
      <c r="CD182" s="60">
        <f ca="1">AVERAGE(OFFSET($CC$3,0,0,'Données projet'!$E$12+1,1))-AVERAGE(OFFSET($H$3,0,0,'Données projet'!$E$12+1,1))</f>
        <v>304.57411436867147</v>
      </c>
      <c r="CE182" s="60">
        <f t="shared" si="148"/>
        <v>178.19974548556962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1.0995790944434703E-13</v>
      </c>
      <c r="CV182" s="14">
        <f t="shared" si="173"/>
        <v>1.6337280948049956E-12</v>
      </c>
      <c r="CW182" s="22">
        <f t="shared" si="174"/>
        <v>3.036919790734272E-12</v>
      </c>
      <c r="CX182" s="60">
        <f t="shared" si="122"/>
        <v>293.33333333333633</v>
      </c>
      <c r="CY182" s="60">
        <f ca="1">AVERAGE(OFFSET($CX$3,0,0,'Données projet'!$E$13+1,1))-AVERAGE(OFFSET($H$3,0,0,'Données projet'!$E$13+1,1))</f>
        <v>279.37339904167601</v>
      </c>
      <c r="CZ182" s="60">
        <f t="shared" si="150"/>
        <v>163.80861186980007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0" t="e">
        <f t="shared" si="125"/>
        <v>#N/A</v>
      </c>
      <c r="DT182" s="60" t="e">
        <f ca="1">AVERAGE(OFFSET($DS$3,0,0,'Données projet'!$E$14+1,1))-AVERAGE(OFFSET($H$3,0,0,'Données projet'!$E$14+1,1))</f>
        <v>#N/A</v>
      </c>
      <c r="DU182" s="60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49.140000000000171</v>
      </c>
      <c r="D183" s="12">
        <f t="shared" si="140"/>
        <v>14.391437147300913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490.4181113124996</v>
      </c>
      <c r="H183" s="68">
        <f t="shared" si="110"/>
        <v>403.98391969821603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0">
        <f t="shared" si="109"/>
        <v>293.33333333333439</v>
      </c>
      <c r="S183" s="60">
        <f ca="1">AVERAGE(OFFSET($R$3,0,0,'Données projet'!$E$9+1,1))-AVERAGE(OFFSET($H$3,0,0,'Données projet'!$E$9+1,1))</f>
        <v>223.38593045370783</v>
      </c>
      <c r="T183" s="60">
        <f t="shared" si="142"/>
        <v>161.68519532023998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5.1159076974727213E-13</v>
      </c>
      <c r="AJ183" s="14">
        <f>AI183*VLOOKUP('Données projet'!$B$10,Paramètres!$A$1:$I$89,3,0)*VLOOKUP('Données projet'!$B$10,Paramètres!$A$1:$I$89,5,0)</f>
        <v>3.0593128030886877E-13</v>
      </c>
      <c r="AK183" s="14">
        <f t="shared" si="164"/>
        <v>4.0350537939347394E-12</v>
      </c>
      <c r="AL183" s="22">
        <f t="shared" si="165"/>
        <v>7.5605490043076185E-12</v>
      </c>
      <c r="AM183" s="60">
        <f t="shared" si="113"/>
        <v>293.33333333334087</v>
      </c>
      <c r="AN183" s="60">
        <f ca="1">AVERAGE(OFFSET($AM$3,0,0,'Données projet'!$E$10+1,1))-AVERAGE(OFFSET($H$3,0,0,'Données projet'!$E$10+1,1))</f>
        <v>216.19747366796145</v>
      </c>
      <c r="AO183" s="60">
        <f t="shared" si="144"/>
        <v>122.08911898780889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3.2949239759549452E-22</v>
      </c>
      <c r="AX183" s="23">
        <f t="shared" si="166"/>
        <v>3.2949239759549452E-22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-6.2527760746888816E-13</v>
      </c>
      <c r="BE183" s="14">
        <f>BD183*VLOOKUP('Données projet'!$B$11,Paramètres!$A$1:$I$89,3,0)*VLOOKUP('Données projet'!$B$11,Paramètres!$A$1:$I$89,5,0)</f>
        <v>-2.9262992029543964E-13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179.52358670810645</v>
      </c>
      <c r="BJ183" s="60">
        <f t="shared" si="146"/>
        <v>89.471764801078166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1.1882548278663309E-13</v>
      </c>
      <c r="CA183" s="14">
        <f t="shared" si="170"/>
        <v>1.7496137229198366E-12</v>
      </c>
      <c r="CB183" s="22">
        <f t="shared" si="171"/>
        <v>3.2541982832721012E-12</v>
      </c>
      <c r="CC183" s="60">
        <f t="shared" si="119"/>
        <v>293.33333333333655</v>
      </c>
      <c r="CD183" s="60">
        <f ca="1">AVERAGE(OFFSET($CC$3,0,0,'Données projet'!$E$12+1,1))-AVERAGE(OFFSET($H$3,0,0,'Données projet'!$E$12+1,1))</f>
        <v>304.57411436867147</v>
      </c>
      <c r="CE183" s="60">
        <f t="shared" si="148"/>
        <v>178.19974548556962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1.0995790944434703E-13</v>
      </c>
      <c r="CV183" s="14">
        <f t="shared" si="173"/>
        <v>1.6337280948049956E-12</v>
      </c>
      <c r="CW183" s="22">
        <f t="shared" si="174"/>
        <v>3.036919790734272E-12</v>
      </c>
      <c r="CX183" s="60">
        <f t="shared" si="122"/>
        <v>293.33333333333633</v>
      </c>
      <c r="CY183" s="60">
        <f ca="1">AVERAGE(OFFSET($CX$3,0,0,'Données projet'!$E$13+1,1))-AVERAGE(OFFSET($H$3,0,0,'Données projet'!$E$13+1,1))</f>
        <v>279.37339904167601</v>
      </c>
      <c r="CZ183" s="60">
        <f t="shared" si="150"/>
        <v>163.80861186980007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0" t="e">
        <f t="shared" si="125"/>
        <v>#N/A</v>
      </c>
      <c r="DT183" s="60" t="e">
        <f ca="1">AVERAGE(OFFSET($DS$3,0,0,'Données projet'!$E$14+1,1))-AVERAGE(OFFSET($H$3,0,0,'Données projet'!$E$14+1,1))</f>
        <v>#N/A</v>
      </c>
      <c r="DU183" s="60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49.413000000000174</v>
      </c>
      <c r="D184" s="12">
        <f t="shared" si="140"/>
        <v>14.46206031809859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493.07064105199044</v>
      </c>
      <c r="H184" s="68">
        <f t="shared" si="110"/>
        <v>404.58239672068868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0">
        <f t="shared" si="109"/>
        <v>293.33333333333439</v>
      </c>
      <c r="S184" s="60">
        <f ca="1">AVERAGE(OFFSET($R$3,0,0,'Données projet'!$E$9+1,1))-AVERAGE(OFFSET($H$3,0,0,'Données projet'!$E$9+1,1))</f>
        <v>223.38593045370783</v>
      </c>
      <c r="T184" s="60">
        <f t="shared" si="142"/>
        <v>161.68519532023998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5.1159076974727213E-13</v>
      </c>
      <c r="AJ184" s="14">
        <f>AI184*VLOOKUP('Données projet'!$B$10,Paramètres!$A$1:$I$89,3,0)*VLOOKUP('Données projet'!$B$10,Paramètres!$A$1:$I$89,5,0)</f>
        <v>3.0593128030886877E-13</v>
      </c>
      <c r="AK184" s="14">
        <f t="shared" si="164"/>
        <v>4.0350537939347394E-12</v>
      </c>
      <c r="AL184" s="22">
        <f t="shared" si="165"/>
        <v>7.5605490043076185E-12</v>
      </c>
      <c r="AM184" s="60">
        <f t="shared" si="113"/>
        <v>293.33333333334087</v>
      </c>
      <c r="AN184" s="60">
        <f ca="1">AVERAGE(OFFSET($AM$3,0,0,'Données projet'!$E$10+1,1))-AVERAGE(OFFSET($H$3,0,0,'Données projet'!$E$10+1,1))</f>
        <v>216.19747366796145</v>
      </c>
      <c r="AO184" s="60">
        <f t="shared" si="144"/>
        <v>122.08911898780889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2.3298630868918826E-22</v>
      </c>
      <c r="AX184" s="23">
        <f t="shared" si="166"/>
        <v>2.3298630868918826E-22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-6.2527760746888816E-13</v>
      </c>
      <c r="BE184" s="14">
        <f>BD184*VLOOKUP('Données projet'!$B$11,Paramètres!$A$1:$I$89,3,0)*VLOOKUP('Données projet'!$B$11,Paramètres!$A$1:$I$89,5,0)</f>
        <v>-2.9262992029543964E-13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179.52358670810645</v>
      </c>
      <c r="BJ184" s="60">
        <f t="shared" si="146"/>
        <v>89.471764801078166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1.1882548278663309E-13</v>
      </c>
      <c r="CA184" s="14">
        <f t="shared" si="170"/>
        <v>1.7496137229198366E-12</v>
      </c>
      <c r="CB184" s="22">
        <f t="shared" si="171"/>
        <v>3.2541982832721012E-12</v>
      </c>
      <c r="CC184" s="60">
        <f t="shared" si="119"/>
        <v>293.33333333333655</v>
      </c>
      <c r="CD184" s="60">
        <f ca="1">AVERAGE(OFFSET($CC$3,0,0,'Données projet'!$E$12+1,1))-AVERAGE(OFFSET($H$3,0,0,'Données projet'!$E$12+1,1))</f>
        <v>304.57411436867147</v>
      </c>
      <c r="CE184" s="60">
        <f t="shared" si="148"/>
        <v>178.19974548556962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1.0995790944434703E-13</v>
      </c>
      <c r="CV184" s="14">
        <f t="shared" si="173"/>
        <v>1.6337280948049956E-12</v>
      </c>
      <c r="CW184" s="22">
        <f t="shared" si="174"/>
        <v>3.036919790734272E-12</v>
      </c>
      <c r="CX184" s="60">
        <f t="shared" si="122"/>
        <v>293.33333333333633</v>
      </c>
      <c r="CY184" s="60">
        <f ca="1">AVERAGE(OFFSET($CX$3,0,0,'Données projet'!$E$13+1,1))-AVERAGE(OFFSET($H$3,0,0,'Données projet'!$E$13+1,1))</f>
        <v>279.37339904167601</v>
      </c>
      <c r="CZ184" s="60">
        <f t="shared" si="150"/>
        <v>163.80861186980007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0" t="e">
        <f t="shared" si="125"/>
        <v>#N/A</v>
      </c>
      <c r="DT184" s="60" t="e">
        <f ca="1">AVERAGE(OFFSET($DS$3,0,0,'Données projet'!$E$14+1,1))-AVERAGE(OFFSET($H$3,0,0,'Données projet'!$E$14+1,1))</f>
        <v>#N/A</v>
      </c>
      <c r="DU184" s="60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49.686000000000178</v>
      </c>
      <c r="D185" s="12">
        <f t="shared" si="140"/>
        <v>14.532638085920658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495.72282031237131</v>
      </c>
      <c r="H185" s="68">
        <f t="shared" si="110"/>
        <v>405.18079466631207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0">
        <f t="shared" si="109"/>
        <v>293.33333333333439</v>
      </c>
      <c r="S185" s="60">
        <f ca="1">AVERAGE(OFFSET($R$3,0,0,'Données projet'!$E$9+1,1))-AVERAGE(OFFSET($H$3,0,0,'Données projet'!$E$9+1,1))</f>
        <v>223.38593045370783</v>
      </c>
      <c r="T185" s="60">
        <f t="shared" si="142"/>
        <v>161.68519532023998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5.1159076974727213E-13</v>
      </c>
      <c r="AJ185" s="14">
        <f>AI185*VLOOKUP('Données projet'!$B$10,Paramètres!$A$1:$I$89,3,0)*VLOOKUP('Données projet'!$B$10,Paramètres!$A$1:$I$89,5,0)</f>
        <v>3.0593128030886877E-13</v>
      </c>
      <c r="AK185" s="14">
        <f t="shared" si="164"/>
        <v>4.0350537939347394E-12</v>
      </c>
      <c r="AL185" s="22">
        <f t="shared" si="165"/>
        <v>7.5605490043076185E-12</v>
      </c>
      <c r="AM185" s="60">
        <f t="shared" si="113"/>
        <v>293.33333333334087</v>
      </c>
      <c r="AN185" s="60">
        <f ca="1">AVERAGE(OFFSET($AM$3,0,0,'Données projet'!$E$10+1,1))-AVERAGE(OFFSET($H$3,0,0,'Données projet'!$E$10+1,1))</f>
        <v>216.19747366796145</v>
      </c>
      <c r="AO185" s="60">
        <f t="shared" si="144"/>
        <v>122.08911898780889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1.6474619879774726E-22</v>
      </c>
      <c r="AX185" s="23">
        <f t="shared" si="166"/>
        <v>1.6474619879774726E-22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-6.2527760746888816E-13</v>
      </c>
      <c r="BE185" s="14">
        <f>BD185*VLOOKUP('Données projet'!$B$11,Paramètres!$A$1:$I$89,3,0)*VLOOKUP('Données projet'!$B$11,Paramètres!$A$1:$I$89,5,0)</f>
        <v>-2.9262992029543964E-13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179.52358670810645</v>
      </c>
      <c r="BJ185" s="60">
        <f t="shared" si="146"/>
        <v>89.471764801078166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1.1882548278663309E-13</v>
      </c>
      <c r="CA185" s="14">
        <f t="shared" si="170"/>
        <v>1.7496137229198366E-12</v>
      </c>
      <c r="CB185" s="22">
        <f t="shared" si="171"/>
        <v>3.2541982832721012E-12</v>
      </c>
      <c r="CC185" s="60">
        <f t="shared" si="119"/>
        <v>293.33333333333655</v>
      </c>
      <c r="CD185" s="60">
        <f ca="1">AVERAGE(OFFSET($CC$3,0,0,'Données projet'!$E$12+1,1))-AVERAGE(OFFSET($H$3,0,0,'Données projet'!$E$12+1,1))</f>
        <v>304.57411436867147</v>
      </c>
      <c r="CE185" s="60">
        <f t="shared" si="148"/>
        <v>178.19974548556962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1.0995790944434703E-13</v>
      </c>
      <c r="CV185" s="14">
        <f t="shared" si="173"/>
        <v>1.6337280948049956E-12</v>
      </c>
      <c r="CW185" s="22">
        <f t="shared" si="174"/>
        <v>3.036919790734272E-12</v>
      </c>
      <c r="CX185" s="60">
        <f t="shared" si="122"/>
        <v>293.33333333333633</v>
      </c>
      <c r="CY185" s="60">
        <f ca="1">AVERAGE(OFFSET($CX$3,0,0,'Données projet'!$E$13+1,1))-AVERAGE(OFFSET($H$3,0,0,'Données projet'!$E$13+1,1))</f>
        <v>279.37339904167601</v>
      </c>
      <c r="CZ185" s="60">
        <f t="shared" si="150"/>
        <v>163.80861186980007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0" t="e">
        <f t="shared" si="125"/>
        <v>#N/A</v>
      </c>
      <c r="DT185" s="60" t="e">
        <f ca="1">AVERAGE(OFFSET($DS$3,0,0,'Données projet'!$E$14+1,1))-AVERAGE(OFFSET($H$3,0,0,'Données projet'!$E$14+1,1))</f>
        <v>#N/A</v>
      </c>
      <c r="DU185" s="60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49.959000000000181</v>
      </c>
      <c r="D186" s="12">
        <f t="shared" si="140"/>
        <v>14.603170729185722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498.37465124283858</v>
      </c>
      <c r="H186" s="68">
        <f t="shared" si="110"/>
        <v>405.77911401999876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0">
        <f t="shared" si="109"/>
        <v>293.33333333333439</v>
      </c>
      <c r="S186" s="60">
        <f ca="1">AVERAGE(OFFSET($R$3,0,0,'Données projet'!$E$9+1,1))-AVERAGE(OFFSET($H$3,0,0,'Données projet'!$E$9+1,1))</f>
        <v>223.38593045370783</v>
      </c>
      <c r="T186" s="60">
        <f t="shared" si="142"/>
        <v>161.68519532023998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5.1159076974727213E-13</v>
      </c>
      <c r="AJ186" s="14">
        <f>AI186*VLOOKUP('Données projet'!$B$10,Paramètres!$A$1:$I$89,3,0)*VLOOKUP('Données projet'!$B$10,Paramètres!$A$1:$I$89,5,0)</f>
        <v>3.0593128030886877E-13</v>
      </c>
      <c r="AK186" s="14">
        <f t="shared" si="164"/>
        <v>4.0350537939347394E-12</v>
      </c>
      <c r="AL186" s="22">
        <f t="shared" si="165"/>
        <v>7.5605490043076185E-12</v>
      </c>
      <c r="AM186" s="60">
        <f t="shared" si="113"/>
        <v>293.33333333334087</v>
      </c>
      <c r="AN186" s="60">
        <f ca="1">AVERAGE(OFFSET($AM$3,0,0,'Données projet'!$E$10+1,1))-AVERAGE(OFFSET($H$3,0,0,'Données projet'!$E$10+1,1))</f>
        <v>216.19747366796145</v>
      </c>
      <c r="AO186" s="60">
        <f t="shared" si="144"/>
        <v>122.08911898780889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1.1649315434459413E-22</v>
      </c>
      <c r="AX186" s="23">
        <f t="shared" si="166"/>
        <v>1.1649315434459413E-22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-6.2527760746888816E-13</v>
      </c>
      <c r="BE186" s="14">
        <f>BD186*VLOOKUP('Données projet'!$B$11,Paramètres!$A$1:$I$89,3,0)*VLOOKUP('Données projet'!$B$11,Paramètres!$A$1:$I$89,5,0)</f>
        <v>-2.9262992029543964E-13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179.52358670810645</v>
      </c>
      <c r="BJ186" s="60">
        <f t="shared" si="146"/>
        <v>89.471764801078166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1.1882548278663309E-13</v>
      </c>
      <c r="CA186" s="14">
        <f t="shared" si="170"/>
        <v>1.7496137229198366E-12</v>
      </c>
      <c r="CB186" s="22">
        <f t="shared" si="171"/>
        <v>3.2541982832721012E-12</v>
      </c>
      <c r="CC186" s="60">
        <f t="shared" si="119"/>
        <v>293.33333333333655</v>
      </c>
      <c r="CD186" s="60">
        <f ca="1">AVERAGE(OFFSET($CC$3,0,0,'Données projet'!$E$12+1,1))-AVERAGE(OFFSET($H$3,0,0,'Données projet'!$E$12+1,1))</f>
        <v>304.57411436867147</v>
      </c>
      <c r="CE186" s="60">
        <f t="shared" si="148"/>
        <v>178.19974548556962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1.0995790944434703E-13</v>
      </c>
      <c r="CV186" s="14">
        <f t="shared" si="173"/>
        <v>1.6337280948049956E-12</v>
      </c>
      <c r="CW186" s="22">
        <f t="shared" si="174"/>
        <v>3.036919790734272E-12</v>
      </c>
      <c r="CX186" s="60">
        <f t="shared" si="122"/>
        <v>293.33333333333633</v>
      </c>
      <c r="CY186" s="60">
        <f ca="1">AVERAGE(OFFSET($CX$3,0,0,'Données projet'!$E$13+1,1))-AVERAGE(OFFSET($H$3,0,0,'Données projet'!$E$13+1,1))</f>
        <v>279.37339904167601</v>
      </c>
      <c r="CZ186" s="60">
        <f t="shared" si="150"/>
        <v>163.80861186980007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0" t="e">
        <f t="shared" si="125"/>
        <v>#N/A</v>
      </c>
      <c r="DT186" s="60" t="e">
        <f ca="1">AVERAGE(OFFSET($DS$3,0,0,'Données projet'!$E$14+1,1))-AVERAGE(OFFSET($H$3,0,0,'Données projet'!$E$14+1,1))</f>
        <v>#N/A</v>
      </c>
      <c r="DU186" s="60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50.232000000000184</v>
      </c>
      <c r="D187" s="12">
        <f t="shared" si="140"/>
        <v>14.673658523093462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501.02613596774046</v>
      </c>
      <c r="H187" s="68">
        <f t="shared" si="110"/>
        <v>406.37735526105473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0">
        <f t="shared" si="109"/>
        <v>293.33333333333439</v>
      </c>
      <c r="S187" s="60">
        <f ca="1">AVERAGE(OFFSET($R$3,0,0,'Données projet'!$E$9+1,1))-AVERAGE(OFFSET($H$3,0,0,'Données projet'!$E$9+1,1))</f>
        <v>223.38593045370783</v>
      </c>
      <c r="T187" s="60">
        <f t="shared" si="142"/>
        <v>161.68519532023998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5.1159076974727213E-13</v>
      </c>
      <c r="AJ187" s="14">
        <f>AI187*VLOOKUP('Données projet'!$B$10,Paramètres!$A$1:$I$89,3,0)*VLOOKUP('Données projet'!$B$10,Paramètres!$A$1:$I$89,5,0)</f>
        <v>3.0593128030886877E-13</v>
      </c>
      <c r="AK187" s="14">
        <f t="shared" si="164"/>
        <v>4.0350537939347394E-12</v>
      </c>
      <c r="AL187" s="22">
        <f t="shared" si="165"/>
        <v>7.5605490043076185E-12</v>
      </c>
      <c r="AM187" s="60">
        <f t="shared" si="113"/>
        <v>293.33333333334087</v>
      </c>
      <c r="AN187" s="60">
        <f ca="1">AVERAGE(OFFSET($AM$3,0,0,'Données projet'!$E$10+1,1))-AVERAGE(OFFSET($H$3,0,0,'Données projet'!$E$10+1,1))</f>
        <v>216.19747366796145</v>
      </c>
      <c r="AO187" s="60">
        <f t="shared" si="144"/>
        <v>122.08911898780889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8.237309939887363E-23</v>
      </c>
      <c r="AX187" s="23">
        <f t="shared" si="166"/>
        <v>8.237309939887363E-23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-6.2527760746888816E-13</v>
      </c>
      <c r="BE187" s="14">
        <f>BD187*VLOOKUP('Données projet'!$B$11,Paramètres!$A$1:$I$89,3,0)*VLOOKUP('Données projet'!$B$11,Paramètres!$A$1:$I$89,5,0)</f>
        <v>-2.9262992029543964E-13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179.52358670810645</v>
      </c>
      <c r="BJ187" s="60">
        <f t="shared" si="146"/>
        <v>89.471764801078166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1.1882548278663309E-13</v>
      </c>
      <c r="CA187" s="14">
        <f t="shared" si="170"/>
        <v>1.7496137229198366E-12</v>
      </c>
      <c r="CB187" s="22">
        <f t="shared" si="171"/>
        <v>3.2541982832721012E-12</v>
      </c>
      <c r="CC187" s="60">
        <f t="shared" si="119"/>
        <v>293.33333333333655</v>
      </c>
      <c r="CD187" s="60">
        <f ca="1">AVERAGE(OFFSET($CC$3,0,0,'Données projet'!$E$12+1,1))-AVERAGE(OFFSET($H$3,0,0,'Données projet'!$E$12+1,1))</f>
        <v>304.57411436867147</v>
      </c>
      <c r="CE187" s="60">
        <f t="shared" si="148"/>
        <v>178.19974548556962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1.0995790944434703E-13</v>
      </c>
      <c r="CV187" s="14">
        <f t="shared" si="173"/>
        <v>1.6337280948049956E-12</v>
      </c>
      <c r="CW187" s="22">
        <f t="shared" si="174"/>
        <v>3.036919790734272E-12</v>
      </c>
      <c r="CX187" s="60">
        <f t="shared" si="122"/>
        <v>293.33333333333633</v>
      </c>
      <c r="CY187" s="60">
        <f ca="1">AVERAGE(OFFSET($CX$3,0,0,'Données projet'!$E$13+1,1))-AVERAGE(OFFSET($H$3,0,0,'Données projet'!$E$13+1,1))</f>
        <v>279.37339904167601</v>
      </c>
      <c r="CZ187" s="60">
        <f t="shared" si="150"/>
        <v>163.80861186980007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0" t="e">
        <f t="shared" si="125"/>
        <v>#N/A</v>
      </c>
      <c r="DT187" s="60" t="e">
        <f ca="1">AVERAGE(OFFSET($DS$3,0,0,'Données projet'!$E$14+1,1))-AVERAGE(OFFSET($H$3,0,0,'Données projet'!$E$14+1,1))</f>
        <v>#N/A</v>
      </c>
      <c r="DU187" s="60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50.505000000000187</v>
      </c>
      <c r="D188" s="12">
        <f t="shared" si="140"/>
        <v>14.744101739679111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503.67727658699806</v>
      </c>
      <c r="H188" s="68">
        <f t="shared" si="110"/>
        <v>406.97551886327477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0">
        <f t="shared" si="109"/>
        <v>293.33333333333439</v>
      </c>
      <c r="S188" s="60">
        <f ca="1">AVERAGE(OFFSET($R$3,0,0,'Données projet'!$E$9+1,1))-AVERAGE(OFFSET($H$3,0,0,'Données projet'!$E$9+1,1))</f>
        <v>223.38593045370783</v>
      </c>
      <c r="T188" s="60">
        <f t="shared" si="142"/>
        <v>161.68519532023998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5.1159076974727213E-13</v>
      </c>
      <c r="AJ188" s="14">
        <f>AI188*VLOOKUP('Données projet'!$B$10,Paramètres!$A$1:$I$89,3,0)*VLOOKUP('Données projet'!$B$10,Paramètres!$A$1:$I$89,5,0)</f>
        <v>3.0593128030886877E-13</v>
      </c>
      <c r="AK188" s="14">
        <f t="shared" si="164"/>
        <v>4.0350537939347394E-12</v>
      </c>
      <c r="AL188" s="22">
        <f t="shared" si="165"/>
        <v>7.5605490043076185E-12</v>
      </c>
      <c r="AM188" s="60">
        <f t="shared" si="113"/>
        <v>293.33333333334087</v>
      </c>
      <c r="AN188" s="60">
        <f ca="1">AVERAGE(OFFSET($AM$3,0,0,'Données projet'!$E$10+1,1))-AVERAGE(OFFSET($H$3,0,0,'Données projet'!$E$10+1,1))</f>
        <v>216.19747366796145</v>
      </c>
      <c r="AO188" s="60">
        <f t="shared" si="144"/>
        <v>122.08911898780889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5.8246577172297064E-23</v>
      </c>
      <c r="AX188" s="23">
        <f t="shared" si="166"/>
        <v>5.8246577172297064E-23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-6.2527760746888816E-13</v>
      </c>
      <c r="BE188" s="14">
        <f>BD188*VLOOKUP('Données projet'!$B$11,Paramètres!$A$1:$I$89,3,0)*VLOOKUP('Données projet'!$B$11,Paramètres!$A$1:$I$89,5,0)</f>
        <v>-2.9262992029543964E-13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179.52358670810645</v>
      </c>
      <c r="BJ188" s="60">
        <f t="shared" si="146"/>
        <v>89.471764801078166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1.1882548278663309E-13</v>
      </c>
      <c r="CA188" s="14">
        <f t="shared" si="170"/>
        <v>1.7496137229198366E-12</v>
      </c>
      <c r="CB188" s="22">
        <f t="shared" si="171"/>
        <v>3.2541982832721012E-12</v>
      </c>
      <c r="CC188" s="60">
        <f t="shared" si="119"/>
        <v>293.33333333333655</v>
      </c>
      <c r="CD188" s="60">
        <f ca="1">AVERAGE(OFFSET($CC$3,0,0,'Données projet'!$E$12+1,1))-AVERAGE(OFFSET($H$3,0,0,'Données projet'!$E$12+1,1))</f>
        <v>304.57411436867147</v>
      </c>
      <c r="CE188" s="60">
        <f t="shared" si="148"/>
        <v>178.19974548556962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1.0995790944434703E-13</v>
      </c>
      <c r="CV188" s="14">
        <f t="shared" si="173"/>
        <v>1.6337280948049956E-12</v>
      </c>
      <c r="CW188" s="22">
        <f t="shared" si="174"/>
        <v>3.036919790734272E-12</v>
      </c>
      <c r="CX188" s="60">
        <f t="shared" si="122"/>
        <v>293.33333333333633</v>
      </c>
      <c r="CY188" s="60">
        <f ca="1">AVERAGE(OFFSET($CX$3,0,0,'Données projet'!$E$13+1,1))-AVERAGE(OFFSET($H$3,0,0,'Données projet'!$E$13+1,1))</f>
        <v>279.37339904167601</v>
      </c>
      <c r="CZ188" s="60">
        <f t="shared" si="150"/>
        <v>163.80861186980007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0" t="e">
        <f t="shared" si="125"/>
        <v>#N/A</v>
      </c>
      <c r="DT188" s="60" t="e">
        <f ca="1">AVERAGE(OFFSET($DS$3,0,0,'Données projet'!$E$14+1,1))-AVERAGE(OFFSET($H$3,0,0,'Données projet'!$E$14+1,1))</f>
        <v>#N/A</v>
      </c>
      <c r="DU188" s="60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50.778000000000191</v>
      </c>
      <c r="D189" s="12">
        <f t="shared" si="140"/>
        <v>14.814500647866748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506.32807517651673</v>
      </c>
      <c r="H189" s="68">
        <f t="shared" si="110"/>
        <v>407.57360529503489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0">
        <f t="shared" si="109"/>
        <v>293.33333333333439</v>
      </c>
      <c r="S189" s="60">
        <f ca="1">AVERAGE(OFFSET($R$3,0,0,'Données projet'!$E$9+1,1))-AVERAGE(OFFSET($H$3,0,0,'Données projet'!$E$9+1,1))</f>
        <v>223.38593045370783</v>
      </c>
      <c r="T189" s="60">
        <f t="shared" si="142"/>
        <v>161.68519532023998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5.1159076974727213E-13</v>
      </c>
      <c r="AJ189" s="14">
        <f>AI189*VLOOKUP('Données projet'!$B$10,Paramètres!$A$1:$I$89,3,0)*VLOOKUP('Données projet'!$B$10,Paramètres!$A$1:$I$89,5,0)</f>
        <v>3.0593128030886877E-13</v>
      </c>
      <c r="AK189" s="14">
        <f t="shared" si="164"/>
        <v>4.0350537939347394E-12</v>
      </c>
      <c r="AL189" s="22">
        <f t="shared" si="165"/>
        <v>7.5605490043076185E-12</v>
      </c>
      <c r="AM189" s="60">
        <f t="shared" si="113"/>
        <v>293.33333333334087</v>
      </c>
      <c r="AN189" s="60">
        <f ca="1">AVERAGE(OFFSET($AM$3,0,0,'Données projet'!$E$10+1,1))-AVERAGE(OFFSET($H$3,0,0,'Données projet'!$E$10+1,1))</f>
        <v>216.19747366796145</v>
      </c>
      <c r="AO189" s="60">
        <f t="shared" si="144"/>
        <v>122.08911898780889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4.1186549699436815E-23</v>
      </c>
      <c r="AX189" s="23">
        <f t="shared" si="166"/>
        <v>4.1186549699436815E-23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-6.2527760746888816E-13</v>
      </c>
      <c r="BE189" s="14">
        <f>BD189*VLOOKUP('Données projet'!$B$11,Paramètres!$A$1:$I$89,3,0)*VLOOKUP('Données projet'!$B$11,Paramètres!$A$1:$I$89,5,0)</f>
        <v>-2.9262992029543964E-13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179.52358670810645</v>
      </c>
      <c r="BJ189" s="60">
        <f t="shared" si="146"/>
        <v>89.471764801078166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1.1882548278663309E-13</v>
      </c>
      <c r="CA189" s="14">
        <f t="shared" si="170"/>
        <v>1.7496137229198366E-12</v>
      </c>
      <c r="CB189" s="22">
        <f t="shared" si="171"/>
        <v>3.2541982832721012E-12</v>
      </c>
      <c r="CC189" s="60">
        <f t="shared" si="119"/>
        <v>293.33333333333655</v>
      </c>
      <c r="CD189" s="60">
        <f ca="1">AVERAGE(OFFSET($CC$3,0,0,'Données projet'!$E$12+1,1))-AVERAGE(OFFSET($H$3,0,0,'Données projet'!$E$12+1,1))</f>
        <v>304.57411436867147</v>
      </c>
      <c r="CE189" s="60">
        <f t="shared" si="148"/>
        <v>178.19974548556962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1.0995790944434703E-13</v>
      </c>
      <c r="CV189" s="14">
        <f t="shared" si="173"/>
        <v>1.6337280948049956E-12</v>
      </c>
      <c r="CW189" s="22">
        <f t="shared" si="174"/>
        <v>3.036919790734272E-12</v>
      </c>
      <c r="CX189" s="60">
        <f t="shared" si="122"/>
        <v>293.33333333333633</v>
      </c>
      <c r="CY189" s="60">
        <f ca="1">AVERAGE(OFFSET($CX$3,0,0,'Données projet'!$E$13+1,1))-AVERAGE(OFFSET($H$3,0,0,'Données projet'!$E$13+1,1))</f>
        <v>279.37339904167601</v>
      </c>
      <c r="CZ189" s="60">
        <f t="shared" si="150"/>
        <v>163.80861186980007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0" t="e">
        <f t="shared" si="125"/>
        <v>#N/A</v>
      </c>
      <c r="DT189" s="60" t="e">
        <f ca="1">AVERAGE(OFFSET($DS$3,0,0,'Données projet'!$E$14+1,1))-AVERAGE(OFFSET($H$3,0,0,'Données projet'!$E$14+1,1))</f>
        <v>#N/A</v>
      </c>
      <c r="DU189" s="60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51.051000000000194</v>
      </c>
      <c r="D190" s="12">
        <f t="shared" si="140"/>
        <v>14.884855513521412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508.97853378858781</v>
      </c>
      <c r="H190" s="68">
        <f t="shared" si="110"/>
        <v>408.17161501938341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0">
        <f t="shared" si="109"/>
        <v>293.33333333333439</v>
      </c>
      <c r="S190" s="60">
        <f ca="1">AVERAGE(OFFSET($R$3,0,0,'Données projet'!$E$9+1,1))-AVERAGE(OFFSET($H$3,0,0,'Données projet'!$E$9+1,1))</f>
        <v>223.38593045370783</v>
      </c>
      <c r="T190" s="60">
        <f t="shared" si="142"/>
        <v>161.68519532023998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5.1159076974727213E-13</v>
      </c>
      <c r="AJ190" s="14">
        <f>AI190*VLOOKUP('Données projet'!$B$10,Paramètres!$A$1:$I$89,3,0)*VLOOKUP('Données projet'!$B$10,Paramètres!$A$1:$I$89,5,0)</f>
        <v>3.0593128030886877E-13</v>
      </c>
      <c r="AK190" s="14">
        <f t="shared" si="164"/>
        <v>4.0350537939347394E-12</v>
      </c>
      <c r="AL190" s="22">
        <f t="shared" si="165"/>
        <v>7.5605490043076185E-12</v>
      </c>
      <c r="AM190" s="60">
        <f t="shared" si="113"/>
        <v>293.33333333334087</v>
      </c>
      <c r="AN190" s="60">
        <f ca="1">AVERAGE(OFFSET($AM$3,0,0,'Données projet'!$E$10+1,1))-AVERAGE(OFFSET($H$3,0,0,'Données projet'!$E$10+1,1))</f>
        <v>216.19747366796145</v>
      </c>
      <c r="AO190" s="60">
        <f t="shared" si="144"/>
        <v>122.08911898780889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2.9123288586148532E-23</v>
      </c>
      <c r="AX190" s="23">
        <f t="shared" si="166"/>
        <v>2.9123288586148532E-23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-6.2527760746888816E-13</v>
      </c>
      <c r="BE190" s="14">
        <f>BD190*VLOOKUP('Données projet'!$B$11,Paramètres!$A$1:$I$89,3,0)*VLOOKUP('Données projet'!$B$11,Paramètres!$A$1:$I$89,5,0)</f>
        <v>-2.9262992029543964E-13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179.52358670810645</v>
      </c>
      <c r="BJ190" s="60">
        <f t="shared" si="146"/>
        <v>89.471764801078166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1.1882548278663309E-13</v>
      </c>
      <c r="CA190" s="14">
        <f t="shared" si="170"/>
        <v>1.7496137229198366E-12</v>
      </c>
      <c r="CB190" s="22">
        <f t="shared" si="171"/>
        <v>3.2541982832721012E-12</v>
      </c>
      <c r="CC190" s="60">
        <f t="shared" si="119"/>
        <v>293.33333333333655</v>
      </c>
      <c r="CD190" s="60">
        <f ca="1">AVERAGE(OFFSET($CC$3,0,0,'Données projet'!$E$12+1,1))-AVERAGE(OFFSET($H$3,0,0,'Données projet'!$E$12+1,1))</f>
        <v>304.57411436867147</v>
      </c>
      <c r="CE190" s="60">
        <f t="shared" si="148"/>
        <v>178.19974548556962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1.0995790944434703E-13</v>
      </c>
      <c r="CV190" s="14">
        <f t="shared" si="173"/>
        <v>1.6337280948049956E-12</v>
      </c>
      <c r="CW190" s="22">
        <f t="shared" si="174"/>
        <v>3.036919790734272E-12</v>
      </c>
      <c r="CX190" s="60">
        <f t="shared" si="122"/>
        <v>293.33333333333633</v>
      </c>
      <c r="CY190" s="60">
        <f ca="1">AVERAGE(OFFSET($CX$3,0,0,'Données projet'!$E$13+1,1))-AVERAGE(OFFSET($H$3,0,0,'Données projet'!$E$13+1,1))</f>
        <v>279.37339904167601</v>
      </c>
      <c r="CZ190" s="60">
        <f t="shared" si="150"/>
        <v>163.80861186980007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0" t="e">
        <f t="shared" si="125"/>
        <v>#N/A</v>
      </c>
      <c r="DT190" s="60" t="e">
        <f ca="1">AVERAGE(OFFSET($DS$3,0,0,'Données projet'!$E$14+1,1))-AVERAGE(OFFSET($H$3,0,0,'Données projet'!$E$14+1,1))</f>
        <v>#N/A</v>
      </c>
      <c r="DU190" s="60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51.324000000000197</v>
      </c>
      <c r="D191" s="12">
        <f t="shared" si="140"/>
        <v>14.955166599500084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511.62865445228294</v>
      </c>
      <c r="H191" s="68">
        <f t="shared" si="110"/>
        <v>408.76954849412965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0">
        <f t="shared" si="109"/>
        <v>293.33333333333439</v>
      </c>
      <c r="S191" s="60">
        <f ca="1">AVERAGE(OFFSET($R$3,0,0,'Données projet'!$E$9+1,1))-AVERAGE(OFFSET($H$3,0,0,'Données projet'!$E$9+1,1))</f>
        <v>223.38593045370783</v>
      </c>
      <c r="T191" s="60">
        <f t="shared" si="142"/>
        <v>161.68519532023998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5.1159076974727213E-13</v>
      </c>
      <c r="AJ191" s="14">
        <f>AI191*VLOOKUP('Données projet'!$B$10,Paramètres!$A$1:$I$89,3,0)*VLOOKUP('Données projet'!$B$10,Paramètres!$A$1:$I$89,5,0)</f>
        <v>3.0593128030886877E-13</v>
      </c>
      <c r="AK191" s="14">
        <f t="shared" si="164"/>
        <v>4.0350537939347394E-12</v>
      </c>
      <c r="AL191" s="22">
        <f t="shared" si="165"/>
        <v>7.5605490043076185E-12</v>
      </c>
      <c r="AM191" s="60">
        <f t="shared" si="113"/>
        <v>293.33333333334087</v>
      </c>
      <c r="AN191" s="60">
        <f ca="1">AVERAGE(OFFSET($AM$3,0,0,'Données projet'!$E$10+1,1))-AVERAGE(OFFSET($H$3,0,0,'Données projet'!$E$10+1,1))</f>
        <v>216.19747366796145</v>
      </c>
      <c r="AO191" s="60">
        <f t="shared" si="144"/>
        <v>122.08911898780889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2.0593274849718407E-23</v>
      </c>
      <c r="AX191" s="23">
        <f t="shared" si="166"/>
        <v>2.0593274849718407E-23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-6.2527760746888816E-13</v>
      </c>
      <c r="BE191" s="14">
        <f>BD191*VLOOKUP('Données projet'!$B$11,Paramètres!$A$1:$I$89,3,0)*VLOOKUP('Données projet'!$B$11,Paramètres!$A$1:$I$89,5,0)</f>
        <v>-2.9262992029543964E-13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179.52358670810645</v>
      </c>
      <c r="BJ191" s="60">
        <f t="shared" si="146"/>
        <v>89.471764801078166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1.1882548278663309E-13</v>
      </c>
      <c r="CA191" s="14">
        <f t="shared" si="170"/>
        <v>1.7496137229198366E-12</v>
      </c>
      <c r="CB191" s="22">
        <f t="shared" si="171"/>
        <v>3.2541982832721012E-12</v>
      </c>
      <c r="CC191" s="60">
        <f t="shared" si="119"/>
        <v>293.33333333333655</v>
      </c>
      <c r="CD191" s="60">
        <f ca="1">AVERAGE(OFFSET($CC$3,0,0,'Données projet'!$E$12+1,1))-AVERAGE(OFFSET($H$3,0,0,'Données projet'!$E$12+1,1))</f>
        <v>304.57411436867147</v>
      </c>
      <c r="CE191" s="60">
        <f t="shared" si="148"/>
        <v>178.19974548556962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1.0995790944434703E-13</v>
      </c>
      <c r="CV191" s="14">
        <f t="shared" si="173"/>
        <v>1.6337280948049956E-12</v>
      </c>
      <c r="CW191" s="22">
        <f t="shared" si="174"/>
        <v>3.036919790734272E-12</v>
      </c>
      <c r="CX191" s="60">
        <f t="shared" si="122"/>
        <v>293.33333333333633</v>
      </c>
      <c r="CY191" s="60">
        <f ca="1">AVERAGE(OFFSET($CX$3,0,0,'Données projet'!$E$13+1,1))-AVERAGE(OFFSET($H$3,0,0,'Données projet'!$E$13+1,1))</f>
        <v>279.37339904167601</v>
      </c>
      <c r="CZ191" s="60">
        <f t="shared" si="150"/>
        <v>163.80861186980007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0" t="e">
        <f t="shared" si="125"/>
        <v>#N/A</v>
      </c>
      <c r="DT191" s="60" t="e">
        <f ca="1">AVERAGE(OFFSET($DS$3,0,0,'Données projet'!$E$14+1,1))-AVERAGE(OFFSET($H$3,0,0,'Données projet'!$E$14+1,1))</f>
        <v>#N/A</v>
      </c>
      <c r="DU191" s="60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51.5970000000002</v>
      </c>
      <c r="D192" s="12">
        <f t="shared" si="140"/>
        <v>15.025434165701506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514.2784391738378</v>
      </c>
      <c r="H192" s="68">
        <f t="shared" si="110"/>
        <v>409.36740617193044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0">
        <f t="shared" si="109"/>
        <v>293.33333333333439</v>
      </c>
      <c r="S192" s="60">
        <f ca="1">AVERAGE(OFFSET($R$3,0,0,'Données projet'!$E$9+1,1))-AVERAGE(OFFSET($H$3,0,0,'Données projet'!$E$9+1,1))</f>
        <v>223.38593045370783</v>
      </c>
      <c r="T192" s="60">
        <f t="shared" si="142"/>
        <v>161.68519532023998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5.1159076974727213E-13</v>
      </c>
      <c r="AJ192" s="14">
        <f>AI192*VLOOKUP('Données projet'!$B$10,Paramètres!$A$1:$I$89,3,0)*VLOOKUP('Données projet'!$B$10,Paramètres!$A$1:$I$89,5,0)</f>
        <v>3.0593128030886877E-13</v>
      </c>
      <c r="AK192" s="14">
        <f t="shared" si="164"/>
        <v>4.0350537939347394E-12</v>
      </c>
      <c r="AL192" s="22">
        <f t="shared" si="165"/>
        <v>7.5605490043076185E-12</v>
      </c>
      <c r="AM192" s="60">
        <f t="shared" si="113"/>
        <v>293.33333333334087</v>
      </c>
      <c r="AN192" s="60">
        <f ca="1">AVERAGE(OFFSET($AM$3,0,0,'Données projet'!$E$10+1,1))-AVERAGE(OFFSET($H$3,0,0,'Données projet'!$E$10+1,1))</f>
        <v>216.19747366796145</v>
      </c>
      <c r="AO192" s="60">
        <f t="shared" si="144"/>
        <v>122.08911898780889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1.4561644293074266E-23</v>
      </c>
      <c r="AX192" s="23">
        <f t="shared" si="166"/>
        <v>1.4561644293074266E-23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-6.2527760746888816E-13</v>
      </c>
      <c r="BE192" s="14">
        <f>BD192*VLOOKUP('Données projet'!$B$11,Paramètres!$A$1:$I$89,3,0)*VLOOKUP('Données projet'!$B$11,Paramètres!$A$1:$I$89,5,0)</f>
        <v>-2.9262992029543964E-13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179.52358670810645</v>
      </c>
      <c r="BJ192" s="60">
        <f t="shared" si="146"/>
        <v>89.471764801078166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1.1882548278663309E-13</v>
      </c>
      <c r="CA192" s="14">
        <f t="shared" si="170"/>
        <v>1.7496137229198366E-12</v>
      </c>
      <c r="CB192" s="22">
        <f t="shared" si="171"/>
        <v>3.2541982832721012E-12</v>
      </c>
      <c r="CC192" s="60">
        <f t="shared" si="119"/>
        <v>293.33333333333655</v>
      </c>
      <c r="CD192" s="60">
        <f ca="1">AVERAGE(OFFSET($CC$3,0,0,'Données projet'!$E$12+1,1))-AVERAGE(OFFSET($H$3,0,0,'Données projet'!$E$12+1,1))</f>
        <v>304.57411436867147</v>
      </c>
      <c r="CE192" s="60">
        <f t="shared" si="148"/>
        <v>178.19974548556962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1.0995790944434703E-13</v>
      </c>
      <c r="CV192" s="14">
        <f t="shared" si="173"/>
        <v>1.6337280948049956E-12</v>
      </c>
      <c r="CW192" s="22">
        <f t="shared" si="174"/>
        <v>3.036919790734272E-12</v>
      </c>
      <c r="CX192" s="60">
        <f t="shared" si="122"/>
        <v>293.33333333333633</v>
      </c>
      <c r="CY192" s="60">
        <f ca="1">AVERAGE(OFFSET($CX$3,0,0,'Données projet'!$E$13+1,1))-AVERAGE(OFFSET($H$3,0,0,'Données projet'!$E$13+1,1))</f>
        <v>279.37339904167601</v>
      </c>
      <c r="CZ192" s="60">
        <f t="shared" si="150"/>
        <v>163.80861186980007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0" t="e">
        <f t="shared" si="125"/>
        <v>#N/A</v>
      </c>
      <c r="DT192" s="60" t="e">
        <f ca="1">AVERAGE(OFFSET($DS$3,0,0,'Données projet'!$E$14+1,1))-AVERAGE(OFFSET($H$3,0,0,'Données projet'!$E$14+1,1))</f>
        <v>#N/A</v>
      </c>
      <c r="DU192" s="60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51.870000000000203</v>
      </c>
      <c r="D193" s="12">
        <f t="shared" si="140"/>
        <v>15.095658469114968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516.92788993702948</v>
      </c>
      <c r="H193" s="68">
        <f t="shared" si="110"/>
        <v>409.96518850037558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0">
        <f t="shared" si="109"/>
        <v>293.33333333333439</v>
      </c>
      <c r="S193" s="60">
        <f ca="1">AVERAGE(OFFSET($R$3,0,0,'Données projet'!$E$9+1,1))-AVERAGE(OFFSET($H$3,0,0,'Données projet'!$E$9+1,1))</f>
        <v>223.38593045370783</v>
      </c>
      <c r="T193" s="60">
        <f t="shared" si="142"/>
        <v>161.68519532023998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5.1159076974727213E-13</v>
      </c>
      <c r="AJ193" s="14">
        <f>AI193*VLOOKUP('Données projet'!$B$10,Paramètres!$A$1:$I$89,3,0)*VLOOKUP('Données projet'!$B$10,Paramètres!$A$1:$I$89,5,0)</f>
        <v>3.0593128030886877E-13</v>
      </c>
      <c r="AK193" s="14">
        <f t="shared" si="164"/>
        <v>4.0350537939347394E-12</v>
      </c>
      <c r="AL193" s="22">
        <f t="shared" si="165"/>
        <v>7.5605490043076185E-12</v>
      </c>
      <c r="AM193" s="60">
        <f t="shared" si="113"/>
        <v>293.33333333334087</v>
      </c>
      <c r="AN193" s="60">
        <f ca="1">AVERAGE(OFFSET($AM$3,0,0,'Données projet'!$E$10+1,1))-AVERAGE(OFFSET($H$3,0,0,'Données projet'!$E$10+1,1))</f>
        <v>216.19747366796145</v>
      </c>
      <c r="AO193" s="60">
        <f t="shared" si="144"/>
        <v>122.08911898780889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1.0296637424859204E-23</v>
      </c>
      <c r="AX193" s="23">
        <f t="shared" si="166"/>
        <v>1.0296637424859204E-23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-6.2527760746888816E-13</v>
      </c>
      <c r="BE193" s="14">
        <f>BD193*VLOOKUP('Données projet'!$B$11,Paramètres!$A$1:$I$89,3,0)*VLOOKUP('Données projet'!$B$11,Paramètres!$A$1:$I$89,5,0)</f>
        <v>-2.9262992029543964E-13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179.52358670810645</v>
      </c>
      <c r="BJ193" s="60">
        <f t="shared" si="146"/>
        <v>89.471764801078166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1.1882548278663309E-13</v>
      </c>
      <c r="CA193" s="14">
        <f t="shared" si="170"/>
        <v>1.7496137229198366E-12</v>
      </c>
      <c r="CB193" s="22">
        <f t="shared" si="171"/>
        <v>3.2541982832721012E-12</v>
      </c>
      <c r="CC193" s="60">
        <f t="shared" si="119"/>
        <v>293.33333333333655</v>
      </c>
      <c r="CD193" s="60">
        <f ca="1">AVERAGE(OFFSET($CC$3,0,0,'Données projet'!$E$12+1,1))-AVERAGE(OFFSET($H$3,0,0,'Données projet'!$E$12+1,1))</f>
        <v>304.57411436867147</v>
      </c>
      <c r="CE193" s="60">
        <f t="shared" si="148"/>
        <v>178.19974548556962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1.0995790944434703E-13</v>
      </c>
      <c r="CV193" s="14">
        <f t="shared" si="173"/>
        <v>1.6337280948049956E-12</v>
      </c>
      <c r="CW193" s="22">
        <f t="shared" si="174"/>
        <v>3.036919790734272E-12</v>
      </c>
      <c r="CX193" s="60">
        <f t="shared" si="122"/>
        <v>293.33333333333633</v>
      </c>
      <c r="CY193" s="60">
        <f ca="1">AVERAGE(OFFSET($CX$3,0,0,'Données projet'!$E$13+1,1))-AVERAGE(OFFSET($H$3,0,0,'Données projet'!$E$13+1,1))</f>
        <v>279.37339904167601</v>
      </c>
      <c r="CZ193" s="60">
        <f t="shared" si="150"/>
        <v>163.80861186980007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0" t="e">
        <f t="shared" si="125"/>
        <v>#N/A</v>
      </c>
      <c r="DT193" s="60" t="e">
        <f ca="1">AVERAGE(OFFSET($DS$3,0,0,'Données projet'!$E$14+1,1))-AVERAGE(OFFSET($H$3,0,0,'Données projet'!$E$14+1,1))</f>
        <v>#N/A</v>
      </c>
      <c r="DU193" s="60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52.143000000000207</v>
      </c>
      <c r="D194" s="12">
        <f t="shared" si="140"/>
        <v>15.165839763868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519.57700870354415</v>
      </c>
      <c r="H194" s="68">
        <f t="shared" si="110"/>
        <v>410.56289592207042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0">
        <f t="shared" si="109"/>
        <v>293.33333333333439</v>
      </c>
      <c r="S194" s="60">
        <f ca="1">AVERAGE(OFFSET($R$3,0,0,'Données projet'!$E$9+1,1))-AVERAGE(OFFSET($H$3,0,0,'Données projet'!$E$9+1,1))</f>
        <v>223.38593045370783</v>
      </c>
      <c r="T194" s="60">
        <f t="shared" si="142"/>
        <v>161.68519532023998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5.1159076974727213E-13</v>
      </c>
      <c r="AJ194" s="14">
        <f>AI194*VLOOKUP('Données projet'!$B$10,Paramètres!$A$1:$I$89,3,0)*VLOOKUP('Données projet'!$B$10,Paramètres!$A$1:$I$89,5,0)</f>
        <v>3.0593128030886877E-13</v>
      </c>
      <c r="AK194" s="14">
        <f t="shared" si="164"/>
        <v>4.0350537939347394E-12</v>
      </c>
      <c r="AL194" s="22">
        <f t="shared" si="165"/>
        <v>7.5605490043076185E-12</v>
      </c>
      <c r="AM194" s="60">
        <f t="shared" si="113"/>
        <v>293.33333333334087</v>
      </c>
      <c r="AN194" s="60">
        <f ca="1">AVERAGE(OFFSET($AM$3,0,0,'Données projet'!$E$10+1,1))-AVERAGE(OFFSET($H$3,0,0,'Données projet'!$E$10+1,1))</f>
        <v>216.19747366796145</v>
      </c>
      <c r="AO194" s="60">
        <f t="shared" si="144"/>
        <v>122.08911898780889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7.280822146537133E-24</v>
      </c>
      <c r="AX194" s="23">
        <f t="shared" si="166"/>
        <v>7.280822146537133E-24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-6.2527760746888816E-13</v>
      </c>
      <c r="BE194" s="14">
        <f>BD194*VLOOKUP('Données projet'!$B$11,Paramètres!$A$1:$I$89,3,0)*VLOOKUP('Données projet'!$B$11,Paramètres!$A$1:$I$89,5,0)</f>
        <v>-2.9262992029543964E-13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179.52358670810645</v>
      </c>
      <c r="BJ194" s="60">
        <f t="shared" si="146"/>
        <v>89.471764801078166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1.1882548278663309E-13</v>
      </c>
      <c r="CA194" s="14">
        <f t="shared" si="170"/>
        <v>1.7496137229198366E-12</v>
      </c>
      <c r="CB194" s="22">
        <f t="shared" si="171"/>
        <v>3.2541982832721012E-12</v>
      </c>
      <c r="CC194" s="60">
        <f t="shared" si="119"/>
        <v>293.33333333333655</v>
      </c>
      <c r="CD194" s="60">
        <f ca="1">AVERAGE(OFFSET($CC$3,0,0,'Données projet'!$E$12+1,1))-AVERAGE(OFFSET($H$3,0,0,'Données projet'!$E$12+1,1))</f>
        <v>304.57411436867147</v>
      </c>
      <c r="CE194" s="60">
        <f t="shared" si="148"/>
        <v>178.19974548556962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1.0995790944434703E-13</v>
      </c>
      <c r="CV194" s="14">
        <f t="shared" si="173"/>
        <v>1.6337280948049956E-12</v>
      </c>
      <c r="CW194" s="22">
        <f t="shared" si="174"/>
        <v>3.036919790734272E-12</v>
      </c>
      <c r="CX194" s="60">
        <f t="shared" si="122"/>
        <v>293.33333333333633</v>
      </c>
      <c r="CY194" s="60">
        <f ca="1">AVERAGE(OFFSET($CX$3,0,0,'Données projet'!$E$13+1,1))-AVERAGE(OFFSET($H$3,0,0,'Données projet'!$E$13+1,1))</f>
        <v>279.37339904167601</v>
      </c>
      <c r="CZ194" s="60">
        <f t="shared" si="150"/>
        <v>163.80861186980007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0" t="e">
        <f t="shared" si="125"/>
        <v>#N/A</v>
      </c>
      <c r="DT194" s="60" t="e">
        <f ca="1">AVERAGE(OFFSET($DS$3,0,0,'Données projet'!$E$14+1,1))-AVERAGE(OFFSET($H$3,0,0,'Données projet'!$E$14+1,1))</f>
        <v>#N/A</v>
      </c>
      <c r="DU194" s="60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52.41600000000021</v>
      </c>
      <c r="D195" s="12">
        <f t="shared" si="140"/>
        <v>15.235978301273084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522.22579741333766</v>
      </c>
      <c r="H195" s="68">
        <f t="shared" si="110"/>
        <v>411.16052887471761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0">
        <f t="shared" ref="R195:R203" si="191">Q195+(I195+J195)*44/12</f>
        <v>293.33333333333439</v>
      </c>
      <c r="S195" s="60">
        <f ca="1">AVERAGE(OFFSET($R$3,0,0,'Données projet'!$E$9+1,1))-AVERAGE(OFFSET($H$3,0,0,'Données projet'!$E$9+1,1))</f>
        <v>223.38593045370783</v>
      </c>
      <c r="T195" s="60">
        <f t="shared" si="142"/>
        <v>161.68519532023998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5.1159076974727213E-13</v>
      </c>
      <c r="AJ195" s="14">
        <f>AI195*VLOOKUP('Données projet'!$B$10,Paramètres!$A$1:$I$89,3,0)*VLOOKUP('Données projet'!$B$10,Paramètres!$A$1:$I$89,5,0)</f>
        <v>3.0593128030886877E-13</v>
      </c>
      <c r="AK195" s="14">
        <f t="shared" si="164"/>
        <v>4.0350537939347394E-12</v>
      </c>
      <c r="AL195" s="22">
        <f t="shared" si="165"/>
        <v>7.5605490043076185E-12</v>
      </c>
      <c r="AM195" s="60">
        <f t="shared" si="113"/>
        <v>293.33333333334087</v>
      </c>
      <c r="AN195" s="60">
        <f ca="1">AVERAGE(OFFSET($AM$3,0,0,'Données projet'!$E$10+1,1))-AVERAGE(OFFSET($H$3,0,0,'Données projet'!$E$10+1,1))</f>
        <v>216.19747366796145</v>
      </c>
      <c r="AO195" s="60">
        <f t="shared" si="144"/>
        <v>122.08911898780889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5.1483187124296018E-24</v>
      </c>
      <c r="AX195" s="23">
        <f t="shared" si="166"/>
        <v>5.1483187124296018E-24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-6.2527760746888816E-13</v>
      </c>
      <c r="BE195" s="14">
        <f>BD195*VLOOKUP('Données projet'!$B$11,Paramètres!$A$1:$I$89,3,0)*VLOOKUP('Données projet'!$B$11,Paramètres!$A$1:$I$89,5,0)</f>
        <v>-2.9262992029543964E-13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179.52358670810645</v>
      </c>
      <c r="BJ195" s="60">
        <f t="shared" si="146"/>
        <v>89.471764801078166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1.1882548278663309E-13</v>
      </c>
      <c r="CA195" s="14">
        <f t="shared" si="170"/>
        <v>1.7496137229198366E-12</v>
      </c>
      <c r="CB195" s="22">
        <f t="shared" si="171"/>
        <v>3.2541982832721012E-12</v>
      </c>
      <c r="CC195" s="60">
        <f t="shared" si="119"/>
        <v>293.33333333333655</v>
      </c>
      <c r="CD195" s="60">
        <f ca="1">AVERAGE(OFFSET($CC$3,0,0,'Données projet'!$E$12+1,1))-AVERAGE(OFFSET($H$3,0,0,'Données projet'!$E$12+1,1))</f>
        <v>304.57411436867147</v>
      </c>
      <c r="CE195" s="60">
        <f t="shared" si="148"/>
        <v>178.19974548556962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1.0995790944434703E-13</v>
      </c>
      <c r="CV195" s="14">
        <f t="shared" si="173"/>
        <v>1.6337280948049956E-12</v>
      </c>
      <c r="CW195" s="22">
        <f t="shared" si="174"/>
        <v>3.036919790734272E-12</v>
      </c>
      <c r="CX195" s="60">
        <f t="shared" si="122"/>
        <v>293.33333333333633</v>
      </c>
      <c r="CY195" s="60">
        <f ca="1">AVERAGE(OFFSET($CX$3,0,0,'Données projet'!$E$13+1,1))-AVERAGE(OFFSET($H$3,0,0,'Données projet'!$E$13+1,1))</f>
        <v>279.37339904167601</v>
      </c>
      <c r="CZ195" s="60">
        <f t="shared" si="150"/>
        <v>163.80861186980007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0" t="e">
        <f t="shared" si="125"/>
        <v>#N/A</v>
      </c>
      <c r="DT195" s="60" t="e">
        <f ca="1">AVERAGE(OFFSET($DS$3,0,0,'Données projet'!$E$14+1,1))-AVERAGE(OFFSET($H$3,0,0,'Données projet'!$E$14+1,1))</f>
        <v>#N/A</v>
      </c>
      <c r="DU195" s="60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52.689000000000213</v>
      </c>
      <c r="D196" s="12">
        <f t="shared" si="140"/>
        <v>15.306074329873265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524.87425798498828</v>
      </c>
      <c r="H196" s="68">
        <f t="shared" ref="H196:H203" si="192">(B196+E196+F196)*44/12+(C196+D196)*0.475*44/12</f>
        <v>411.75808779119626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0">
        <f t="shared" si="191"/>
        <v>293.33333333333439</v>
      </c>
      <c r="S196" s="60">
        <f ca="1">AVERAGE(OFFSET($R$3,0,0,'Données projet'!$E$9+1,1))-AVERAGE(OFFSET($H$3,0,0,'Données projet'!$E$9+1,1))</f>
        <v>223.38593045370783</v>
      </c>
      <c r="T196" s="60">
        <f t="shared" si="142"/>
        <v>161.68519532023998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5.1159076974727213E-13</v>
      </c>
      <c r="AJ196" s="14">
        <f>AI196*VLOOKUP('Données projet'!$B$10,Paramètres!$A$1:$I$89,3,0)*VLOOKUP('Données projet'!$B$10,Paramètres!$A$1:$I$89,5,0)</f>
        <v>3.0593128030886877E-13</v>
      </c>
      <c r="AK196" s="14">
        <f t="shared" si="164"/>
        <v>4.0350537939347394E-12</v>
      </c>
      <c r="AL196" s="22">
        <f t="shared" si="165"/>
        <v>7.5605490043076185E-12</v>
      </c>
      <c r="AM196" s="60">
        <f t="shared" ref="AM196:AM203" si="193">AL196+(AD196+AE196)*44/12</f>
        <v>293.33333333334087</v>
      </c>
      <c r="AN196" s="60">
        <f ca="1">AVERAGE(OFFSET($AM$3,0,0,'Données projet'!$E$10+1,1))-AVERAGE(OFFSET($H$3,0,0,'Données projet'!$E$10+1,1))</f>
        <v>216.19747366796145</v>
      </c>
      <c r="AO196" s="60">
        <f t="shared" si="144"/>
        <v>122.08911898780889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3.6404110732685665E-24</v>
      </c>
      <c r="AX196" s="23">
        <f t="shared" si="166"/>
        <v>3.6404110732685665E-24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-6.2527760746888816E-13</v>
      </c>
      <c r="BE196" s="14">
        <f>BD196*VLOOKUP('Données projet'!$B$11,Paramètres!$A$1:$I$89,3,0)*VLOOKUP('Données projet'!$B$11,Paramètres!$A$1:$I$89,5,0)</f>
        <v>-2.9262992029543964E-13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179.52358670810645</v>
      </c>
      <c r="BJ196" s="60">
        <f t="shared" si="146"/>
        <v>89.471764801078166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1.1882548278663309E-13</v>
      </c>
      <c r="CA196" s="14">
        <f t="shared" si="170"/>
        <v>1.7496137229198366E-12</v>
      </c>
      <c r="CB196" s="22">
        <f t="shared" si="171"/>
        <v>3.2541982832721012E-12</v>
      </c>
      <c r="CC196" s="60">
        <f t="shared" ref="CC196:CC203" si="195">CB196+(BT196+BU196)*44/12</f>
        <v>293.33333333333655</v>
      </c>
      <c r="CD196" s="60">
        <f ca="1">AVERAGE(OFFSET($CC$3,0,0,'Données projet'!$E$12+1,1))-AVERAGE(OFFSET($H$3,0,0,'Données projet'!$E$12+1,1))</f>
        <v>304.57411436867147</v>
      </c>
      <c r="CE196" s="60">
        <f t="shared" si="148"/>
        <v>178.19974548556962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1.0995790944434703E-13</v>
      </c>
      <c r="CV196" s="14">
        <f t="shared" si="173"/>
        <v>1.6337280948049956E-12</v>
      </c>
      <c r="CW196" s="22">
        <f t="shared" si="174"/>
        <v>3.036919790734272E-12</v>
      </c>
      <c r="CX196" s="60">
        <f t="shared" ref="CX196:CX203" si="196">CW196+(CO196+CP196)*44/12</f>
        <v>293.33333333333633</v>
      </c>
      <c r="CY196" s="60">
        <f ca="1">AVERAGE(OFFSET($CX$3,0,0,'Données projet'!$E$13+1,1))-AVERAGE(OFFSET($H$3,0,0,'Données projet'!$E$13+1,1))</f>
        <v>279.37339904167601</v>
      </c>
      <c r="CZ196" s="60">
        <f t="shared" si="150"/>
        <v>163.80861186980007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0" t="e">
        <f t="shared" ref="DS196:DS203" si="197">DR196+(DJ196+DK196)*44/12</f>
        <v>#N/A</v>
      </c>
      <c r="DT196" s="60" t="e">
        <f ca="1">AVERAGE(OFFSET($DS$3,0,0,'Données projet'!$E$14+1,1))-AVERAGE(OFFSET($H$3,0,0,'Données projet'!$E$14+1,1))</f>
        <v>#N/A</v>
      </c>
      <c r="DU196" s="60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52.962000000000216</v>
      </c>
      <c r="D197" s="12">
        <f t="shared" ref="D197:D203" si="202">IFERROR(EXP(-1.0587+0.8836*LN(C197)+0.284),0)</f>
        <v>15.376128095486935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527.52239231604119</v>
      </c>
      <c r="H197" s="68">
        <f t="shared" si="192"/>
        <v>412.35557309964008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0">
        <f t="shared" si="191"/>
        <v>293.33333333333439</v>
      </c>
      <c r="S197" s="60">
        <f ca="1">AVERAGE(OFFSET($R$3,0,0,'Données projet'!$E$9+1,1))-AVERAGE(OFFSET($H$3,0,0,'Données projet'!$E$9+1,1))</f>
        <v>223.38593045370783</v>
      </c>
      <c r="T197" s="60">
        <f t="shared" ref="T197:T203" si="204">$T$3</f>
        <v>161.68519532023998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5.1159076974727213E-13</v>
      </c>
      <c r="AJ197" s="14">
        <f>AI197*VLOOKUP('Données projet'!$B$10,Paramètres!$A$1:$I$89,3,0)*VLOOKUP('Données projet'!$B$10,Paramètres!$A$1:$I$89,5,0)</f>
        <v>3.0593128030886877E-13</v>
      </c>
      <c r="AK197" s="14">
        <f t="shared" si="164"/>
        <v>4.0350537939347394E-12</v>
      </c>
      <c r="AL197" s="22">
        <f t="shared" si="165"/>
        <v>7.5605490043076185E-12</v>
      </c>
      <c r="AM197" s="60">
        <f t="shared" si="193"/>
        <v>293.33333333334087</v>
      </c>
      <c r="AN197" s="60">
        <f ca="1">AVERAGE(OFFSET($AM$3,0,0,'Données projet'!$E$10+1,1))-AVERAGE(OFFSET($H$3,0,0,'Données projet'!$E$10+1,1))</f>
        <v>216.19747366796145</v>
      </c>
      <c r="AO197" s="60">
        <f t="shared" ref="AO197:AO203" si="205">$AO$3</f>
        <v>122.08911898780889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2.5741593562148009E-24</v>
      </c>
      <c r="AX197" s="23">
        <f t="shared" si="166"/>
        <v>2.5741593562148009E-24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-6.2527760746888816E-13</v>
      </c>
      <c r="BE197" s="14">
        <f>BD197*VLOOKUP('Données projet'!$B$11,Paramètres!$A$1:$I$89,3,0)*VLOOKUP('Données projet'!$B$11,Paramètres!$A$1:$I$89,5,0)</f>
        <v>-2.9262992029543964E-13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179.52358670810645</v>
      </c>
      <c r="BJ197" s="60">
        <f t="shared" ref="BJ197:BJ203" si="206">$BJ$3</f>
        <v>89.471764801078166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1.1882548278663309E-13</v>
      </c>
      <c r="CA197" s="14">
        <f t="shared" si="170"/>
        <v>1.7496137229198366E-12</v>
      </c>
      <c r="CB197" s="22">
        <f t="shared" si="171"/>
        <v>3.2541982832721012E-12</v>
      </c>
      <c r="CC197" s="60">
        <f t="shared" si="195"/>
        <v>293.33333333333655</v>
      </c>
      <c r="CD197" s="60">
        <f ca="1">AVERAGE(OFFSET($CC$3,0,0,'Données projet'!$E$12+1,1))-AVERAGE(OFFSET($H$3,0,0,'Données projet'!$E$12+1,1))</f>
        <v>304.57411436867147</v>
      </c>
      <c r="CE197" s="60">
        <f t="shared" ref="CE197:CE203" si="207">$CE$3</f>
        <v>178.19974548556962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1.0995790944434703E-13</v>
      </c>
      <c r="CV197" s="14">
        <f t="shared" si="173"/>
        <v>1.6337280948049956E-12</v>
      </c>
      <c r="CW197" s="22">
        <f t="shared" si="174"/>
        <v>3.036919790734272E-12</v>
      </c>
      <c r="CX197" s="60">
        <f t="shared" si="196"/>
        <v>293.33333333333633</v>
      </c>
      <c r="CY197" s="60">
        <f ca="1">AVERAGE(OFFSET($CX$3,0,0,'Données projet'!$E$13+1,1))-AVERAGE(OFFSET($H$3,0,0,'Données projet'!$E$13+1,1))</f>
        <v>279.37339904167601</v>
      </c>
      <c r="CZ197" s="60">
        <f t="shared" ref="CZ197:CZ203" si="208">$CZ$3</f>
        <v>163.80861186980007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0" t="e">
        <f t="shared" si="197"/>
        <v>#N/A</v>
      </c>
      <c r="DT197" s="60" t="e">
        <f ca="1">AVERAGE(OFFSET($DS$3,0,0,'Données projet'!$E$14+1,1))-AVERAGE(OFFSET($H$3,0,0,'Données projet'!$E$14+1,1))</f>
        <v>#N/A</v>
      </c>
      <c r="DU197" s="60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53.23500000000022</v>
      </c>
      <c r="D198" s="12">
        <f t="shared" si="202"/>
        <v>15.446139841251551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530.17020228334695</v>
      </c>
      <c r="H198" s="68">
        <f t="shared" si="192"/>
        <v>412.95298522351345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0">
        <f t="shared" si="191"/>
        <v>293.33333333333439</v>
      </c>
      <c r="S198" s="60">
        <f ca="1">AVERAGE(OFFSET($R$3,0,0,'Données projet'!$E$9+1,1))-AVERAGE(OFFSET($H$3,0,0,'Données projet'!$E$9+1,1))</f>
        <v>223.38593045370783</v>
      </c>
      <c r="T198" s="60">
        <f t="shared" si="204"/>
        <v>161.68519532023998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5.1159076974727213E-13</v>
      </c>
      <c r="AJ198" s="14">
        <f>AI198*VLOOKUP('Données projet'!$B$10,Paramètres!$A$1:$I$89,3,0)*VLOOKUP('Données projet'!$B$10,Paramètres!$A$1:$I$89,5,0)</f>
        <v>3.0593128030886877E-13</v>
      </c>
      <c r="AK198" s="14">
        <f t="shared" si="164"/>
        <v>4.0350537939347394E-12</v>
      </c>
      <c r="AL198" s="22">
        <f t="shared" si="165"/>
        <v>7.5605490043076185E-12</v>
      </c>
      <c r="AM198" s="60">
        <f t="shared" si="193"/>
        <v>293.33333333334087</v>
      </c>
      <c r="AN198" s="60">
        <f ca="1">AVERAGE(OFFSET($AM$3,0,0,'Données projet'!$E$10+1,1))-AVERAGE(OFFSET($H$3,0,0,'Données projet'!$E$10+1,1))</f>
        <v>216.19747366796145</v>
      </c>
      <c r="AO198" s="60">
        <f t="shared" si="205"/>
        <v>122.08911898780889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1.8202055366342833E-24</v>
      </c>
      <c r="AX198" s="23">
        <f t="shared" si="166"/>
        <v>1.8202055366342833E-24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-6.2527760746888816E-13</v>
      </c>
      <c r="BE198" s="14">
        <f>BD198*VLOOKUP('Données projet'!$B$11,Paramètres!$A$1:$I$89,3,0)*VLOOKUP('Données projet'!$B$11,Paramètres!$A$1:$I$89,5,0)</f>
        <v>-2.9262992029543964E-13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179.52358670810645</v>
      </c>
      <c r="BJ198" s="60">
        <f t="shared" si="206"/>
        <v>89.471764801078166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1.1882548278663309E-13</v>
      </c>
      <c r="CA198" s="14">
        <f t="shared" si="170"/>
        <v>1.7496137229198366E-12</v>
      </c>
      <c r="CB198" s="22">
        <f t="shared" si="171"/>
        <v>3.2541982832721012E-12</v>
      </c>
      <c r="CC198" s="60">
        <f t="shared" si="195"/>
        <v>293.33333333333655</v>
      </c>
      <c r="CD198" s="60">
        <f ca="1">AVERAGE(OFFSET($CC$3,0,0,'Données projet'!$E$12+1,1))-AVERAGE(OFFSET($H$3,0,0,'Données projet'!$E$12+1,1))</f>
        <v>304.57411436867147</v>
      </c>
      <c r="CE198" s="60">
        <f t="shared" si="207"/>
        <v>178.19974548556962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1.0995790944434703E-13</v>
      </c>
      <c r="CV198" s="14">
        <f t="shared" si="173"/>
        <v>1.6337280948049956E-12</v>
      </c>
      <c r="CW198" s="22">
        <f t="shared" si="174"/>
        <v>3.036919790734272E-12</v>
      </c>
      <c r="CX198" s="60">
        <f t="shared" si="196"/>
        <v>293.33333333333633</v>
      </c>
      <c r="CY198" s="60">
        <f ca="1">AVERAGE(OFFSET($CX$3,0,0,'Données projet'!$E$13+1,1))-AVERAGE(OFFSET($H$3,0,0,'Données projet'!$E$13+1,1))</f>
        <v>279.37339904167601</v>
      </c>
      <c r="CZ198" s="60">
        <f t="shared" si="208"/>
        <v>163.80861186980007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0" t="e">
        <f t="shared" si="197"/>
        <v>#N/A</v>
      </c>
      <c r="DT198" s="60" t="e">
        <f ca="1">AVERAGE(OFFSET($DS$3,0,0,'Données projet'!$E$14+1,1))-AVERAGE(OFFSET($H$3,0,0,'Données projet'!$E$14+1,1))</f>
        <v>#N/A</v>
      </c>
      <c r="DU198" s="60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53.508000000000223</v>
      </c>
      <c r="D199" s="12">
        <f t="shared" si="202"/>
        <v>15.516109807666441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532.81768974339172</v>
      </c>
      <c r="H199" s="68">
        <f t="shared" si="192"/>
        <v>413.55032458168608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0">
        <f t="shared" si="191"/>
        <v>293.33333333333439</v>
      </c>
      <c r="S199" s="60">
        <f ca="1">AVERAGE(OFFSET($R$3,0,0,'Données projet'!$E$9+1,1))-AVERAGE(OFFSET($H$3,0,0,'Données projet'!$E$9+1,1))</f>
        <v>223.38593045370783</v>
      </c>
      <c r="T199" s="60">
        <f t="shared" si="204"/>
        <v>161.68519532023998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5.1159076974727213E-13</v>
      </c>
      <c r="AJ199" s="14">
        <f>AI199*VLOOKUP('Données projet'!$B$10,Paramètres!$A$1:$I$89,3,0)*VLOOKUP('Données projet'!$B$10,Paramètres!$A$1:$I$89,5,0)</f>
        <v>3.0593128030886877E-13</v>
      </c>
      <c r="AK199" s="14">
        <f t="shared" si="164"/>
        <v>4.0350537939347394E-12</v>
      </c>
      <c r="AL199" s="22">
        <f t="shared" si="165"/>
        <v>7.5605490043076185E-12</v>
      </c>
      <c r="AM199" s="60">
        <f t="shared" si="193"/>
        <v>293.33333333334087</v>
      </c>
      <c r="AN199" s="60">
        <f ca="1">AVERAGE(OFFSET($AM$3,0,0,'Données projet'!$E$10+1,1))-AVERAGE(OFFSET($H$3,0,0,'Données projet'!$E$10+1,1))</f>
        <v>216.19747366796145</v>
      </c>
      <c r="AO199" s="60">
        <f t="shared" si="205"/>
        <v>122.08911898780889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1.2870796781074005E-24</v>
      </c>
      <c r="AX199" s="23">
        <f t="shared" si="166"/>
        <v>1.2870796781074005E-24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-6.2527760746888816E-13</v>
      </c>
      <c r="BE199" s="14">
        <f>BD199*VLOOKUP('Données projet'!$B$11,Paramètres!$A$1:$I$89,3,0)*VLOOKUP('Données projet'!$B$11,Paramètres!$A$1:$I$89,5,0)</f>
        <v>-2.9262992029543964E-13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179.52358670810645</v>
      </c>
      <c r="BJ199" s="60">
        <f t="shared" si="206"/>
        <v>89.471764801078166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1.1882548278663309E-13</v>
      </c>
      <c r="CA199" s="14">
        <f t="shared" si="170"/>
        <v>1.7496137229198366E-12</v>
      </c>
      <c r="CB199" s="22">
        <f t="shared" si="171"/>
        <v>3.2541982832721012E-12</v>
      </c>
      <c r="CC199" s="60">
        <f t="shared" si="195"/>
        <v>293.33333333333655</v>
      </c>
      <c r="CD199" s="60">
        <f ca="1">AVERAGE(OFFSET($CC$3,0,0,'Données projet'!$E$12+1,1))-AVERAGE(OFFSET($H$3,0,0,'Données projet'!$E$12+1,1))</f>
        <v>304.57411436867147</v>
      </c>
      <c r="CE199" s="60">
        <f t="shared" si="207"/>
        <v>178.19974548556962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1.0995790944434703E-13</v>
      </c>
      <c r="CV199" s="14">
        <f t="shared" si="173"/>
        <v>1.6337280948049956E-12</v>
      </c>
      <c r="CW199" s="22">
        <f t="shared" si="174"/>
        <v>3.036919790734272E-12</v>
      </c>
      <c r="CX199" s="60">
        <f t="shared" si="196"/>
        <v>293.33333333333633</v>
      </c>
      <c r="CY199" s="60">
        <f ca="1">AVERAGE(OFFSET($CX$3,0,0,'Données projet'!$E$13+1,1))-AVERAGE(OFFSET($H$3,0,0,'Données projet'!$E$13+1,1))</f>
        <v>279.37339904167601</v>
      </c>
      <c r="CZ199" s="60">
        <f t="shared" si="208"/>
        <v>163.80861186980007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0" t="e">
        <f t="shared" si="197"/>
        <v>#N/A</v>
      </c>
      <c r="DT199" s="60" t="e">
        <f ca="1">AVERAGE(OFFSET($DS$3,0,0,'Données projet'!$E$14+1,1))-AVERAGE(OFFSET($H$3,0,0,'Données projet'!$E$14+1,1))</f>
        <v>#N/A</v>
      </c>
      <c r="DU199" s="60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53.781000000000226</v>
      </c>
      <c r="D200" s="12">
        <f t="shared" si="202"/>
        <v>15.586038232634806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535.4648565326213</v>
      </c>
      <c r="H200" s="68">
        <f t="shared" si="192"/>
        <v>414.14759158850597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0">
        <f t="shared" si="191"/>
        <v>293.33333333333439</v>
      </c>
      <c r="S200" s="60">
        <f ca="1">AVERAGE(OFFSET($R$3,0,0,'Données projet'!$E$9+1,1))-AVERAGE(OFFSET($H$3,0,0,'Données projet'!$E$9+1,1))</f>
        <v>223.38593045370783</v>
      </c>
      <c r="T200" s="60">
        <f t="shared" si="204"/>
        <v>161.68519532023998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5.1159076974727213E-13</v>
      </c>
      <c r="AJ200" s="14">
        <f>AI200*VLOOKUP('Données projet'!$B$10,Paramètres!$A$1:$I$89,3,0)*VLOOKUP('Données projet'!$B$10,Paramètres!$A$1:$I$89,5,0)</f>
        <v>3.0593128030886877E-13</v>
      </c>
      <c r="AK200" s="14">
        <f t="shared" si="164"/>
        <v>4.0350537939347394E-12</v>
      </c>
      <c r="AL200" s="22">
        <f t="shared" si="165"/>
        <v>7.5605490043076185E-12</v>
      </c>
      <c r="AM200" s="60">
        <f t="shared" si="193"/>
        <v>293.33333333334087</v>
      </c>
      <c r="AN200" s="60">
        <f ca="1">AVERAGE(OFFSET($AM$3,0,0,'Données projet'!$E$10+1,1))-AVERAGE(OFFSET($H$3,0,0,'Données projet'!$E$10+1,1))</f>
        <v>216.19747366796145</v>
      </c>
      <c r="AO200" s="60">
        <f t="shared" si="205"/>
        <v>122.08911898780889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9.1010276831714163E-25</v>
      </c>
      <c r="AX200" s="23">
        <f t="shared" si="166"/>
        <v>9.1010276831714163E-25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-6.2527760746888816E-13</v>
      </c>
      <c r="BE200" s="14">
        <f>BD200*VLOOKUP('Données projet'!$B$11,Paramètres!$A$1:$I$89,3,0)*VLOOKUP('Données projet'!$B$11,Paramètres!$A$1:$I$89,5,0)</f>
        <v>-2.9262992029543964E-13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179.52358670810645</v>
      </c>
      <c r="BJ200" s="60">
        <f t="shared" si="206"/>
        <v>89.471764801078166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1.1882548278663309E-13</v>
      </c>
      <c r="CA200" s="14">
        <f t="shared" si="170"/>
        <v>1.7496137229198366E-12</v>
      </c>
      <c r="CB200" s="22">
        <f t="shared" si="171"/>
        <v>3.2541982832721012E-12</v>
      </c>
      <c r="CC200" s="60">
        <f t="shared" si="195"/>
        <v>293.33333333333655</v>
      </c>
      <c r="CD200" s="60">
        <f ca="1">AVERAGE(OFFSET($CC$3,0,0,'Données projet'!$E$12+1,1))-AVERAGE(OFFSET($H$3,0,0,'Données projet'!$E$12+1,1))</f>
        <v>304.57411436867147</v>
      </c>
      <c r="CE200" s="60">
        <f t="shared" si="207"/>
        <v>178.19974548556962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1.0995790944434703E-13</v>
      </c>
      <c r="CV200" s="14">
        <f t="shared" si="173"/>
        <v>1.6337280948049956E-12</v>
      </c>
      <c r="CW200" s="22">
        <f t="shared" si="174"/>
        <v>3.036919790734272E-12</v>
      </c>
      <c r="CX200" s="60">
        <f t="shared" si="196"/>
        <v>293.33333333333633</v>
      </c>
      <c r="CY200" s="60">
        <f ca="1">AVERAGE(OFFSET($CX$3,0,0,'Données projet'!$E$13+1,1))-AVERAGE(OFFSET($H$3,0,0,'Données projet'!$E$13+1,1))</f>
        <v>279.37339904167601</v>
      </c>
      <c r="CZ200" s="60">
        <f t="shared" si="208"/>
        <v>163.80861186980007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0" t="e">
        <f t="shared" si="197"/>
        <v>#N/A</v>
      </c>
      <c r="DT200" s="60" t="e">
        <f ca="1">AVERAGE(OFFSET($DS$3,0,0,'Données projet'!$E$14+1,1))-AVERAGE(OFFSET($H$3,0,0,'Données projet'!$E$14+1,1))</f>
        <v>#N/A</v>
      </c>
      <c r="DU200" s="60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54.054000000000229</v>
      </c>
      <c r="D201" s="12">
        <f t="shared" si="202"/>
        <v>15.655925351504724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538.11170446775748</v>
      </c>
      <c r="H201" s="68">
        <f t="shared" si="192"/>
        <v>414.74478665387107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0">
        <f t="shared" si="191"/>
        <v>293.33333333333439</v>
      </c>
      <c r="S201" s="60">
        <f ca="1">AVERAGE(OFFSET($R$3,0,0,'Données projet'!$E$9+1,1))-AVERAGE(OFFSET($H$3,0,0,'Données projet'!$E$9+1,1))</f>
        <v>223.38593045370783</v>
      </c>
      <c r="T201" s="60">
        <f t="shared" si="204"/>
        <v>161.68519532023998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5.1159076974727213E-13</v>
      </c>
      <c r="AJ201" s="14">
        <f>AI201*VLOOKUP('Données projet'!$B$10,Paramètres!$A$1:$I$89,3,0)*VLOOKUP('Données projet'!$B$10,Paramètres!$A$1:$I$89,5,0)</f>
        <v>3.0593128030886877E-13</v>
      </c>
      <c r="AK201" s="14">
        <f t="shared" si="164"/>
        <v>4.0350537939347394E-12</v>
      </c>
      <c r="AL201" s="22">
        <f t="shared" si="165"/>
        <v>7.5605490043076185E-12</v>
      </c>
      <c r="AM201" s="60">
        <f t="shared" si="193"/>
        <v>293.33333333334087</v>
      </c>
      <c r="AN201" s="60">
        <f ca="1">AVERAGE(OFFSET($AM$3,0,0,'Données projet'!$E$10+1,1))-AVERAGE(OFFSET($H$3,0,0,'Données projet'!$E$10+1,1))</f>
        <v>216.19747366796145</v>
      </c>
      <c r="AO201" s="60">
        <f t="shared" si="205"/>
        <v>122.08911898780889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6.4353983905370023E-25</v>
      </c>
      <c r="AX201" s="23">
        <f t="shared" si="166"/>
        <v>6.4353983905370023E-25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-6.2527760746888816E-13</v>
      </c>
      <c r="BE201" s="14">
        <f>BD201*VLOOKUP('Données projet'!$B$11,Paramètres!$A$1:$I$89,3,0)*VLOOKUP('Données projet'!$B$11,Paramètres!$A$1:$I$89,5,0)</f>
        <v>-2.9262992029543964E-13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179.52358670810645</v>
      </c>
      <c r="BJ201" s="60">
        <f t="shared" si="206"/>
        <v>89.471764801078166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1.1882548278663309E-13</v>
      </c>
      <c r="CA201" s="14">
        <f t="shared" si="170"/>
        <v>1.7496137229198366E-12</v>
      </c>
      <c r="CB201" s="22">
        <f t="shared" si="171"/>
        <v>3.2541982832721012E-12</v>
      </c>
      <c r="CC201" s="60">
        <f t="shared" si="195"/>
        <v>293.33333333333655</v>
      </c>
      <c r="CD201" s="60">
        <f ca="1">AVERAGE(OFFSET($CC$3,0,0,'Données projet'!$E$12+1,1))-AVERAGE(OFFSET($H$3,0,0,'Données projet'!$E$12+1,1))</f>
        <v>304.57411436867147</v>
      </c>
      <c r="CE201" s="60">
        <f t="shared" si="207"/>
        <v>178.19974548556962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1.0995790944434703E-13</v>
      </c>
      <c r="CV201" s="14">
        <f t="shared" si="173"/>
        <v>1.6337280948049956E-12</v>
      </c>
      <c r="CW201" s="22">
        <f t="shared" si="174"/>
        <v>3.036919790734272E-12</v>
      </c>
      <c r="CX201" s="60">
        <f t="shared" si="196"/>
        <v>293.33333333333633</v>
      </c>
      <c r="CY201" s="60">
        <f ca="1">AVERAGE(OFFSET($CX$3,0,0,'Données projet'!$E$13+1,1))-AVERAGE(OFFSET($H$3,0,0,'Données projet'!$E$13+1,1))</f>
        <v>279.37339904167601</v>
      </c>
      <c r="CZ201" s="60">
        <f t="shared" si="208"/>
        <v>163.80861186980007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0" t="e">
        <f t="shared" si="197"/>
        <v>#N/A</v>
      </c>
      <c r="DT201" s="60" t="e">
        <f ca="1">AVERAGE(OFFSET($DS$3,0,0,'Données projet'!$E$14+1,1))-AVERAGE(OFFSET($H$3,0,0,'Données projet'!$E$14+1,1))</f>
        <v>#N/A</v>
      </c>
      <c r="DU201" s="60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54.327000000000233</v>
      </c>
      <c r="D202" s="12">
        <f t="shared" si="202"/>
        <v>15.725771397109364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540.75823534610913</v>
      </c>
      <c r="H202" s="68">
        <f t="shared" si="192"/>
        <v>415.34191018329921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0">
        <f t="shared" si="191"/>
        <v>293.33333333333439</v>
      </c>
      <c r="S202" s="60">
        <f ca="1">AVERAGE(OFFSET($R$3,0,0,'Données projet'!$E$9+1,1))-AVERAGE(OFFSET($H$3,0,0,'Données projet'!$E$9+1,1))</f>
        <v>223.38593045370783</v>
      </c>
      <c r="T202" s="60">
        <f t="shared" si="204"/>
        <v>161.68519532023998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5.1159076974727213E-13</v>
      </c>
      <c r="AJ202" s="14">
        <f>AI202*VLOOKUP('Données projet'!$B$10,Paramètres!$A$1:$I$89,3,0)*VLOOKUP('Données projet'!$B$10,Paramètres!$A$1:$I$89,5,0)</f>
        <v>3.0593128030886877E-13</v>
      </c>
      <c r="AK202" s="14">
        <f t="shared" si="164"/>
        <v>4.0350537939347394E-12</v>
      </c>
      <c r="AL202" s="22">
        <f t="shared" si="165"/>
        <v>7.5605490043076185E-12</v>
      </c>
      <c r="AM202" s="60">
        <f t="shared" si="193"/>
        <v>293.33333333334087</v>
      </c>
      <c r="AN202" s="60">
        <f ca="1">AVERAGE(OFFSET($AM$3,0,0,'Données projet'!$E$10+1,1))-AVERAGE(OFFSET($H$3,0,0,'Données projet'!$E$10+1,1))</f>
        <v>216.19747366796145</v>
      </c>
      <c r="AO202" s="60">
        <f t="shared" si="205"/>
        <v>122.08911898780889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4.5505138415857082E-25</v>
      </c>
      <c r="AX202" s="23">
        <f t="shared" si="166"/>
        <v>4.5505138415857082E-25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-6.2527760746888816E-13</v>
      </c>
      <c r="BE202" s="14">
        <f>BD202*VLOOKUP('Données projet'!$B$11,Paramètres!$A$1:$I$89,3,0)*VLOOKUP('Données projet'!$B$11,Paramètres!$A$1:$I$89,5,0)</f>
        <v>-2.9262992029543964E-13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179.52358670810645</v>
      </c>
      <c r="BJ202" s="60">
        <f t="shared" si="206"/>
        <v>89.471764801078166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1.1882548278663309E-13</v>
      </c>
      <c r="CA202" s="14">
        <f t="shared" si="170"/>
        <v>1.7496137229198366E-12</v>
      </c>
      <c r="CB202" s="22">
        <f t="shared" si="171"/>
        <v>3.2541982832721012E-12</v>
      </c>
      <c r="CC202" s="60">
        <f t="shared" si="195"/>
        <v>293.33333333333655</v>
      </c>
      <c r="CD202" s="60">
        <f ca="1">AVERAGE(OFFSET($CC$3,0,0,'Données projet'!$E$12+1,1))-AVERAGE(OFFSET($H$3,0,0,'Données projet'!$E$12+1,1))</f>
        <v>304.57411436867147</v>
      </c>
      <c r="CE202" s="60">
        <f t="shared" si="207"/>
        <v>178.19974548556962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1.0995790944434703E-13</v>
      </c>
      <c r="CV202" s="14">
        <f t="shared" si="173"/>
        <v>1.6337280948049956E-12</v>
      </c>
      <c r="CW202" s="22">
        <f t="shared" si="174"/>
        <v>3.036919790734272E-12</v>
      </c>
      <c r="CX202" s="60">
        <f t="shared" si="196"/>
        <v>293.33333333333633</v>
      </c>
      <c r="CY202" s="60">
        <f ca="1">AVERAGE(OFFSET($CX$3,0,0,'Données projet'!$E$13+1,1))-AVERAGE(OFFSET($H$3,0,0,'Données projet'!$E$13+1,1))</f>
        <v>279.37339904167601</v>
      </c>
      <c r="CZ202" s="60">
        <f t="shared" si="208"/>
        <v>163.80861186980007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0" t="e">
        <f t="shared" si="197"/>
        <v>#N/A</v>
      </c>
      <c r="DT202" s="60" t="e">
        <f ca="1">AVERAGE(OFFSET($DS$3,0,0,'Données projet'!$E$14+1,1))-AVERAGE(OFFSET($H$3,0,0,'Données projet'!$E$14+1,1))</f>
        <v>#N/A</v>
      </c>
      <c r="DU202" s="60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54.600000000000236</v>
      </c>
      <c r="D203" s="12">
        <f t="shared" si="202"/>
        <v>15.795576599806385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543.40445094587574</v>
      </c>
      <c r="H203" s="68">
        <f t="shared" si="192"/>
        <v>415.93896257799651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0">
        <f t="shared" si="191"/>
        <v>293.33333333333439</v>
      </c>
      <c r="S203" s="60">
        <f ca="1">AVERAGE(OFFSET($R$3,0,0,'Données projet'!$E$9+1,1))-AVERAGE(OFFSET($H$3,0,0,'Données projet'!$E$9+1,1))</f>
        <v>223.38593045370783</v>
      </c>
      <c r="T203" s="60">
        <f t="shared" si="204"/>
        <v>161.68519532023998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5.1159076974727213E-13</v>
      </c>
      <c r="AJ203" s="14">
        <f>AI203*VLOOKUP('Données projet'!$B$10,Paramètres!$A$1:$I$89,3,0)*VLOOKUP('Données projet'!$B$10,Paramètres!$A$1:$I$89,5,0)</f>
        <v>3.0593128030886877E-13</v>
      </c>
      <c r="AK203" s="14">
        <f t="shared" si="164"/>
        <v>4.0350537939347394E-12</v>
      </c>
      <c r="AL203" s="22">
        <f t="shared" si="165"/>
        <v>7.5605490043076185E-12</v>
      </c>
      <c r="AM203" s="60">
        <f t="shared" si="193"/>
        <v>293.33333333334087</v>
      </c>
      <c r="AN203" s="60">
        <f ca="1">AVERAGE(OFFSET($AM$3,0,0,'Données projet'!$E$10+1,1))-AVERAGE(OFFSET($H$3,0,0,'Données projet'!$E$10+1,1))</f>
        <v>216.19747366796145</v>
      </c>
      <c r="AO203" s="60">
        <f t="shared" si="205"/>
        <v>122.08911898780889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3.2176991952685012E-25</v>
      </c>
      <c r="AX203" s="23">
        <f t="shared" si="166"/>
        <v>3.2176991952685012E-25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-6.2527760746888816E-13</v>
      </c>
      <c r="BE203" s="14">
        <f>BD203*VLOOKUP('Données projet'!$B$11,Paramètres!$A$1:$I$89,3,0)*VLOOKUP('Données projet'!$B$11,Paramètres!$A$1:$I$89,5,0)</f>
        <v>-2.9262992029543964E-13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179.52358670810645</v>
      </c>
      <c r="BJ203" s="60">
        <f t="shared" si="206"/>
        <v>89.471764801078166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1.1882548278663309E-13</v>
      </c>
      <c r="CA203" s="14">
        <f t="shared" si="170"/>
        <v>1.7496137229198366E-12</v>
      </c>
      <c r="CB203" s="22">
        <f t="shared" si="171"/>
        <v>3.2541982832721012E-12</v>
      </c>
      <c r="CC203" s="60">
        <f t="shared" si="195"/>
        <v>293.33333333333655</v>
      </c>
      <c r="CD203" s="60">
        <f ca="1">AVERAGE(OFFSET($CC$3,0,0,'Données projet'!$E$12+1,1))-AVERAGE(OFFSET($H$3,0,0,'Données projet'!$E$12+1,1))</f>
        <v>304.57411436867147</v>
      </c>
      <c r="CE203" s="60">
        <f t="shared" si="207"/>
        <v>178.19974548556962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1.0995790944434703E-13</v>
      </c>
      <c r="CV203" s="14">
        <f t="shared" si="173"/>
        <v>1.6337280948049956E-12</v>
      </c>
      <c r="CW203" s="22">
        <f t="shared" si="174"/>
        <v>3.036919790734272E-12</v>
      </c>
      <c r="CX203" s="60">
        <f t="shared" si="196"/>
        <v>293.33333333333633</v>
      </c>
      <c r="CY203" s="60">
        <f ca="1">AVERAGE(OFFSET($CX$3,0,0,'Données projet'!$E$13+1,1))-AVERAGE(OFFSET($H$3,0,0,'Données projet'!$E$13+1,1))</f>
        <v>279.37339904167601</v>
      </c>
      <c r="CZ203" s="60">
        <f t="shared" si="208"/>
        <v>163.80861186980007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0" t="e">
        <f t="shared" si="197"/>
        <v>#N/A</v>
      </c>
      <c r="DT203" s="60" t="e">
        <f ca="1">AVERAGE(OFFSET($DS$3,0,0,'Données projet'!$E$14+1,1))-AVERAGE(OFFSET($H$3,0,0,'Données projet'!$E$14+1,1))</f>
        <v>#N/A</v>
      </c>
      <c r="DU203" s="60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1.2095213708815553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1.187216519917875</v>
      </c>
      <c r="BA205" s="86">
        <f>EXP(LN('Données projet'!B88)/'Données projet'!A88)</f>
        <v>1.1671681906248585</v>
      </c>
      <c r="BV205" s="86">
        <f>EXP(LN('Données projet'!B114)/'Données projet'!A114)</f>
        <v>1.197119521332874</v>
      </c>
      <c r="CQ205" s="86">
        <f>EXP(LN('Données projet'!B140)/'Données projet'!A140)</f>
        <v>1.197119521332874</v>
      </c>
      <c r="DL205" s="86" t="e">
        <f>EXP(LN('Données projet'!B166)/'Données projet'!A166)</f>
        <v>#NUM!</v>
      </c>
      <c r="EG205" s="86" t="e">
        <f>EXP(LN('Données projet'!B192)/'Données projet'!A192)</f>
        <v>#NUM!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E11" sqref="E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Pin noir d'Autriche</v>
      </c>
      <c r="B6" s="153">
        <f>'Données projet'!D9</f>
        <v>1.6</v>
      </c>
      <c r="C6" s="154">
        <f ca="1">IF(OR('Données projet'!B9="",'Données projet'!C9="",'Données projet'!C9=0%),0,Calculateur!S3)</f>
        <v>223.38593045370783</v>
      </c>
      <c r="D6" s="154">
        <f>IF(OR('Données projet'!B9="",'Données projet'!C9="",'Données projet'!C9=0%),0,Calculateur!T3)</f>
        <v>161.68519532023998</v>
      </c>
      <c r="E6" s="154">
        <f ca="1">MIN(C6,D6)</f>
        <v>161.68519532023998</v>
      </c>
      <c r="F6" s="154">
        <f ca="1">E6*B6</f>
        <v>258.696312512384</v>
      </c>
      <c r="G6" s="154">
        <f ca="1">F6*(100%-'Données projet'!$C$24)*(100%-'Données projet'!$C$25)*(100%-'Données projet'!$C$26)*(100%-'Données projet'!$C$27)</f>
        <v>221.18534719808832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 ca="1">G6+I6+K6</f>
        <v>221.18534719808832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Pin de Salzmann</v>
      </c>
      <c r="B7" s="161">
        <f>'Données projet'!D10</f>
        <v>0.8</v>
      </c>
      <c r="C7" s="154">
        <f ca="1">IF(OR('Données projet'!B10="",'Données projet'!C10="",'Données projet'!C10=0%),0,Calculateur!AN3)</f>
        <v>216.19747366796145</v>
      </c>
      <c r="D7" s="154">
        <f>IF(OR('Données projet'!B10="",'Données projet'!C10="",'Données projet'!C10=0%),0,Calculateur!AO3)</f>
        <v>122.08911898780889</v>
      </c>
      <c r="E7" s="154">
        <f t="shared" ref="E7:E15" ca="1" si="0">MIN(C7,D7)</f>
        <v>122.08911898780889</v>
      </c>
      <c r="F7" s="154">
        <f t="shared" ref="F7:F15" ca="1" si="1">E7*B7</f>
        <v>97.671295190247122</v>
      </c>
      <c r="G7" s="154">
        <f ca="1">F7*(100%-'Données projet'!$C$24)*(100%-'Données projet'!$C$25)*(100%-'Données projet'!$C$26)*(100%-'Données projet'!$C$27)</f>
        <v>83.508957387661297</v>
      </c>
      <c r="H7" s="162">
        <f>IF(OR('Données projet'!B10="",'Données projet'!C10="",'Données projet'!C10=0%),0,AVERAGE(Calculateur!$AX$3:$AX$33)*B7)</f>
        <v>0.77553080258229867</v>
      </c>
      <c r="I7" s="156">
        <f>H7*(100%-'Données projet'!$C$24)*(100%-'Données projet'!$C$25)*(100%-'Données projet'!$C$26)*(100%-'Données projet'!$C$27)</f>
        <v>0.66307883620786534</v>
      </c>
      <c r="J7" s="157">
        <f>IF(OR('Données projet'!B10="",'Données projet'!C10="",'Données projet'!C10=0%),0,SUM(Calculateur!$AQ$3:$AQ$33)*VLOOKUP('Données projet'!$B$10,Paramètres!$A$1:$I$89,9,0)*B7)</f>
        <v>17.888000000000002</v>
      </c>
      <c r="K7" s="158">
        <f>J7*(100%-'Données projet'!$C$24)*(100%-'Données projet'!$C$25)*(100%-'Données projet'!$C$26)*(100%-'Données projet'!$C$27)</f>
        <v>15.294240000000002</v>
      </c>
      <c r="L7" s="159">
        <f t="shared" ref="L7:L15" ca="1" si="2">G7+I7+K7</f>
        <v>99.466276223869158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Cèdre de l'Atlas</v>
      </c>
      <c r="B8" s="161">
        <f>'Données projet'!D11</f>
        <v>0.8</v>
      </c>
      <c r="C8" s="154">
        <f ca="1">IF(OR('Données projet'!B11="",'Données projet'!C11="",'Données projet'!C11=0%),0,Calculateur!BI3)</f>
        <v>179.52358670810645</v>
      </c>
      <c r="D8" s="154">
        <f>IF(OR('Données projet'!B11="",'Données projet'!C11="",'Données projet'!C11=0%),0,Calculateur!BJ3)</f>
        <v>89.471764801078166</v>
      </c>
      <c r="E8" s="154">
        <f t="shared" ca="1" si="0"/>
        <v>89.471764801078166</v>
      </c>
      <c r="F8" s="154">
        <f t="shared" ca="1" si="1"/>
        <v>71.577411840862538</v>
      </c>
      <c r="G8" s="154">
        <f ca="1">F8*(100%-'Données projet'!$C$24)*(100%-'Données projet'!$C$25)*(100%-'Données projet'!$C$26)*(100%-'Données projet'!$C$27)</f>
        <v>61.198687123937475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</v>
      </c>
      <c r="K8" s="158">
        <f>J8*(100%-'Données projet'!$C$24)*(100%-'Données projet'!$C$25)*(100%-'Données projet'!$C$26)*(100%-'Données projet'!$C$27)</f>
        <v>0</v>
      </c>
      <c r="L8" s="159">
        <f t="shared" ca="1" si="2"/>
        <v>61.198687123937475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Chêne chevelu</v>
      </c>
      <c r="B9" s="161">
        <f>'Données projet'!D12</f>
        <v>0.52</v>
      </c>
      <c r="C9" s="154">
        <f ca="1">IF(OR('Données projet'!B12="",'Données projet'!C12="",'Données projet'!C12=0%),0,Calculateur!CD3)</f>
        <v>304.57411436867147</v>
      </c>
      <c r="D9" s="154">
        <f>IF(OR('Données projet'!B12="",'Données projet'!C12="",'Données projet'!C12=0%),0,Calculateur!CE3)</f>
        <v>178.19974548556962</v>
      </c>
      <c r="E9" s="154">
        <f t="shared" ca="1" si="0"/>
        <v>178.19974548556962</v>
      </c>
      <c r="F9" s="154">
        <f t="shared" ca="1" si="1"/>
        <v>92.663867652496208</v>
      </c>
      <c r="G9" s="154">
        <f ca="1">F9*(100%-'Données projet'!$C$24)*(100%-'Données projet'!$C$25)*(100%-'Données projet'!$C$26)*(100%-'Données projet'!$C$27)</f>
        <v>79.227606842884256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2.25</v>
      </c>
      <c r="K9" s="158">
        <f>J9*(100%-'Données projet'!$C$24)*(100%-'Données projet'!$C$25)*(100%-'Données projet'!$C$26)*(100%-'Données projet'!$C$27)</f>
        <v>1.9237499999999998</v>
      </c>
      <c r="L9" s="159">
        <f t="shared" ca="1" si="2"/>
        <v>81.151356842884255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Alisier torminal</v>
      </c>
      <c r="B10" s="161">
        <f>'Données projet'!D13</f>
        <v>0.2</v>
      </c>
      <c r="C10" s="154">
        <f ca="1">IF(OR('Données projet'!B13="",'Données projet'!C13="",'Données projet'!C13=0%),0,Calculateur!CY3)</f>
        <v>279.37339904167601</v>
      </c>
      <c r="D10" s="154">
        <f>IF(OR('Données projet'!B13="",'Données projet'!C13="",'Données projet'!C13=0%),0,Calculateur!CZ3)</f>
        <v>163.80861186980007</v>
      </c>
      <c r="E10" s="154">
        <f t="shared" ca="1" si="0"/>
        <v>163.80861186980007</v>
      </c>
      <c r="F10" s="154">
        <f t="shared" ca="1" si="1"/>
        <v>32.761722373960019</v>
      </c>
      <c r="G10" s="154">
        <f ca="1">F10*(100%-'Données projet'!$C$24)*(100%-'Données projet'!$C$25)*(100%-'Données projet'!$C$26)*(100%-'Données projet'!$C$27)</f>
        <v>28.011272629735817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0.86538461538461542</v>
      </c>
      <c r="K10" s="158">
        <f>J10*(100%-'Données projet'!$C$24)*(100%-'Données projet'!$C$25)*(100%-'Données projet'!$C$26)*(100%-'Données projet'!$C$27)</f>
        <v>0.73990384615384608</v>
      </c>
      <c r="L10" s="159">
        <f t="shared" ca="1" si="2"/>
        <v>28.751176475889665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553.37060956994981</v>
      </c>
      <c r="G16" s="173">
        <f t="shared" ca="1" si="3"/>
        <v>473.13187118230712</v>
      </c>
      <c r="H16" s="174">
        <f t="shared" si="3"/>
        <v>0.77553080258229867</v>
      </c>
      <c r="I16" s="174">
        <f t="shared" si="3"/>
        <v>0.66307883620786534</v>
      </c>
      <c r="J16" s="175">
        <f t="shared" si="3"/>
        <v>21.003384615384618</v>
      </c>
      <c r="K16" s="175">
        <f t="shared" si="3"/>
        <v>17.957893846153848</v>
      </c>
      <c r="L16" s="176">
        <f t="shared" ca="1" si="3"/>
        <v>491.75284386466888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Pin noir d'Autriche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Pin de Salzmann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Cèdre de l'Atlas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Chêne chevelu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Alisier torminal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80" zoomScaleNormal="80" workbookViewId="0">
      <selection activeCell="J23" sqref="J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24" t="s">
        <v>315</v>
      </c>
      <c r="I4" s="324"/>
      <c r="K4" s="321" t="s">
        <v>253</v>
      </c>
      <c r="L4" s="322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2" t="s">
        <v>310</v>
      </c>
      <c r="S7" s="333"/>
      <c r="T7" s="333"/>
      <c r="U7" s="333"/>
      <c r="V7" s="33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Pin noir d'Autriche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559.12618830453835</v>
      </c>
      <c r="U10" s="188">
        <f>'Données projet'!D9</f>
        <v>1.6</v>
      </c>
      <c r="V10" s="187">
        <f>U10*T10</f>
        <v>894.6019012872614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Pin de Salzmann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1186.1010220913317</v>
      </c>
      <c r="U11" s="188">
        <f>'Données projet'!D10</f>
        <v>0.8</v>
      </c>
      <c r="V11" s="187">
        <f>U11*T11</f>
        <v>948.88081767306539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Cèdre de l'Atlas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756.81557477285332</v>
      </c>
      <c r="U12" s="188">
        <f>'Données projet'!D11</f>
        <v>0.8</v>
      </c>
      <c r="V12" s="187">
        <f t="shared" ref="V12:V19" si="0">U12*T12</f>
        <v>605.4524598182827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Chêne chevelu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242.28802616672277</v>
      </c>
      <c r="U13" s="188">
        <f>'Données projet'!D12</f>
        <v>0.52</v>
      </c>
      <c r="V13" s="187">
        <f t="shared" si="0"/>
        <v>125.98977360669585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Pin noir d'Autriche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Alisier torminal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242.28802616672277</v>
      </c>
      <c r="U14" s="188">
        <f>'Données projet'!D13</f>
        <v>0.2</v>
      </c>
      <c r="V14" s="187">
        <f t="shared" si="0"/>
        <v>48.457605233344559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25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/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0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5"/>
      <c r="H16" s="201"/>
      <c r="I16" s="202"/>
      <c r="J16" s="214"/>
      <c r="K16" s="223"/>
      <c r="L16" s="321" t="s">
        <v>254</v>
      </c>
      <c r="M16" s="322"/>
      <c r="N16" s="2">
        <v>100</v>
      </c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0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5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49.999999999999957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0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5"/>
      <c r="J18" s="214"/>
      <c r="K18" s="223"/>
      <c r="L18" s="292" t="s">
        <v>255</v>
      </c>
      <c r="M18" s="294"/>
      <c r="N18" s="203">
        <v>20</v>
      </c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0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5"/>
      <c r="H19" s="230" t="s">
        <v>178</v>
      </c>
      <c r="I19" s="230" t="s">
        <v>287</v>
      </c>
      <c r="J19" s="258"/>
      <c r="K19" s="181"/>
      <c r="L19" s="321" t="s">
        <v>288</v>
      </c>
      <c r="M19" s="322"/>
      <c r="N19" s="189">
        <f>N17*N18</f>
        <v>999.99999999999909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0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5"/>
      <c r="H20" s="201">
        <v>0</v>
      </c>
      <c r="I20" s="202">
        <v>10000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15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23" t="s">
        <v>260</v>
      </c>
      <c r="M23" s="323"/>
      <c r="N23" s="323"/>
      <c r="O23" s="25"/>
      <c r="P23" s="25"/>
      <c r="Q23" s="263"/>
      <c r="R23" s="25"/>
      <c r="S23" s="183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-37376.61744238135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20</v>
      </c>
      <c r="B24" s="191">
        <f>'Données projet'!D37</f>
        <v>0</v>
      </c>
      <c r="C24" s="202"/>
      <c r="D24" s="192">
        <f t="shared" ref="D24:D42" si="1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49.02650638206886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25</v>
      </c>
      <c r="B25" s="191">
        <f>'Données projet'!D38</f>
        <v>0</v>
      </c>
      <c r="C25" s="202"/>
      <c r="D25" s="192">
        <f t="shared" si="1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39">
        <f ca="1">T23-T24</f>
        <v>-37425.64394876342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30</v>
      </c>
      <c r="B26" s="191">
        <f>'Données projet'!D39</f>
        <v>0</v>
      </c>
      <c r="C26" s="202"/>
      <c r="D26" s="192">
        <f t="shared" si="1"/>
        <v>0</v>
      </c>
      <c r="E26" s="204"/>
      <c r="F26" s="262"/>
      <c r="G26" s="257"/>
      <c r="H26" s="201"/>
      <c r="I26" s="202"/>
      <c r="K26" s="223"/>
      <c r="L26" s="326" t="s">
        <v>258</v>
      </c>
      <c r="M26" s="327"/>
      <c r="N26" s="327"/>
      <c r="O26" s="327"/>
      <c r="P26" s="328"/>
      <c r="Q26" s="263"/>
      <c r="R26" s="25"/>
      <c r="S26" s="196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35</v>
      </c>
      <c r="B27" s="191">
        <f>'Données projet'!D40</f>
        <v>0</v>
      </c>
      <c r="C27" s="202"/>
      <c r="D27" s="192">
        <f t="shared" si="1"/>
        <v>0</v>
      </c>
      <c r="E27" s="204"/>
      <c r="F27" s="262"/>
      <c r="G27" s="257"/>
      <c r="H27" s="201"/>
      <c r="I27" s="202"/>
      <c r="K27" s="223"/>
      <c r="L27" s="329"/>
      <c r="M27" s="330"/>
      <c r="N27" s="330"/>
      <c r="O27" s="330"/>
      <c r="P27" s="331"/>
      <c r="Q27" s="263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40</v>
      </c>
      <c r="B28" s="191">
        <f>'Données projet'!D41</f>
        <v>65.969230769230776</v>
      </c>
      <c r="C28" s="202">
        <v>10</v>
      </c>
      <c r="D28" s="192">
        <f t="shared" si="1"/>
        <v>659.69230769230774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45</v>
      </c>
      <c r="B29" s="191">
        <f>'Données projet'!D42</f>
        <v>0</v>
      </c>
      <c r="C29" s="202"/>
      <c r="D29" s="192">
        <f t="shared" si="1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50</v>
      </c>
      <c r="B30" s="191">
        <f>'Données projet'!D43</f>
        <v>0</v>
      </c>
      <c r="C30" s="202"/>
      <c r="D30" s="192">
        <f t="shared" si="1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55</v>
      </c>
      <c r="B31" s="191">
        <f>'Données projet'!D44</f>
        <v>65.053846153846152</v>
      </c>
      <c r="C31" s="202">
        <v>15</v>
      </c>
      <c r="D31" s="192">
        <f t="shared" si="1"/>
        <v>975.80769230769226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60</v>
      </c>
      <c r="B32" s="191">
        <f>'Données projet'!D45</f>
        <v>0</v>
      </c>
      <c r="C32" s="202"/>
      <c r="D32" s="192">
        <f t="shared" si="1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65</v>
      </c>
      <c r="B33" s="191">
        <f>'Données projet'!D46</f>
        <v>0</v>
      </c>
      <c r="C33" s="202"/>
      <c r="D33" s="192">
        <f t="shared" si="1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2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70</v>
      </c>
      <c r="B34" s="191">
        <f>'Données projet'!D47</f>
        <v>62.976923076923079</v>
      </c>
      <c r="C34" s="202">
        <v>20</v>
      </c>
      <c r="D34" s="192">
        <f t="shared" si="1"/>
        <v>1259.5384615384617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2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75</v>
      </c>
      <c r="B35" s="191">
        <f>'Données projet'!D48</f>
        <v>0</v>
      </c>
      <c r="C35" s="202"/>
      <c r="D35" s="192">
        <f t="shared" si="1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2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80</v>
      </c>
      <c r="B36" s="191">
        <f>'Données projet'!D49</f>
        <v>56.992307692307691</v>
      </c>
      <c r="C36" s="204">
        <v>30</v>
      </c>
      <c r="D36" s="192">
        <f t="shared" si="1"/>
        <v>1709.7692307692307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2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85</v>
      </c>
      <c r="B37" s="191">
        <f>'Données projet'!D50</f>
        <v>0</v>
      </c>
      <c r="C37" s="204"/>
      <c r="D37" s="192">
        <f t="shared" si="1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2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90</v>
      </c>
      <c r="B38" s="191">
        <f>'Données projet'!D51</f>
        <v>0</v>
      </c>
      <c r="C38" s="204"/>
      <c r="D38" s="192">
        <f t="shared" si="1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2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95</v>
      </c>
      <c r="B39" s="191">
        <f>'Données projet'!D52</f>
        <v>203.73846153846154</v>
      </c>
      <c r="C39" s="204">
        <v>40</v>
      </c>
      <c r="D39" s="192">
        <f t="shared" si="1"/>
        <v>8149.538461538461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2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100</v>
      </c>
      <c r="B40" s="191">
        <f>'Données projet'!D53</f>
        <v>0</v>
      </c>
      <c r="C40" s="204"/>
      <c r="D40" s="192">
        <f t="shared" si="1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2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105</v>
      </c>
      <c r="B41" s="191">
        <f>'Données projet'!D54</f>
        <v>213.82307692307694</v>
      </c>
      <c r="C41" s="204">
        <v>60</v>
      </c>
      <c r="D41" s="192">
        <f t="shared" si="1"/>
        <v>12829.384615384617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2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0</v>
      </c>
      <c r="B42" s="191">
        <f>'Données projet'!D55</f>
        <v>0</v>
      </c>
      <c r="C42" s="204"/>
      <c r="D42" s="192">
        <f t="shared" si="1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2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2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2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Pin de Salzmann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2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2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2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2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2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2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2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2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2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29</v>
      </c>
      <c r="B54" s="191">
        <f>'Données projet'!D62</f>
        <v>52</v>
      </c>
      <c r="C54" s="202">
        <v>10</v>
      </c>
      <c r="D54" s="189">
        <f>B54*C54</f>
        <v>520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2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38</v>
      </c>
      <c r="B55" s="191">
        <f>'Données projet'!D63</f>
        <v>73</v>
      </c>
      <c r="C55" s="202">
        <v>10</v>
      </c>
      <c r="D55" s="189">
        <f t="shared" ref="D55:D73" si="3">B55*C55</f>
        <v>730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2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49</v>
      </c>
      <c r="B56" s="191">
        <f>'Données projet'!D64</f>
        <v>94</v>
      </c>
      <c r="C56" s="202">
        <v>15</v>
      </c>
      <c r="D56" s="189">
        <f t="shared" si="3"/>
        <v>1410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2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57</v>
      </c>
      <c r="B57" s="191">
        <f>'Données projet'!D65</f>
        <v>98</v>
      </c>
      <c r="C57" s="202">
        <v>20</v>
      </c>
      <c r="D57" s="189">
        <f t="shared" si="3"/>
        <v>1960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2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67</v>
      </c>
      <c r="B58" s="191">
        <f>'Données projet'!D66</f>
        <v>101</v>
      </c>
      <c r="C58" s="202">
        <v>30</v>
      </c>
      <c r="D58" s="189">
        <f t="shared" si="3"/>
        <v>3030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2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78</v>
      </c>
      <c r="B59" s="191">
        <f>'Données projet'!D67</f>
        <v>100</v>
      </c>
      <c r="C59" s="202">
        <v>40</v>
      </c>
      <c r="D59" s="189">
        <f t="shared" si="3"/>
        <v>4000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2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91</v>
      </c>
      <c r="B60" s="191">
        <f>'Données projet'!D68</f>
        <v>394</v>
      </c>
      <c r="C60" s="202">
        <v>60</v>
      </c>
      <c r="D60" s="189">
        <f t="shared" si="3"/>
        <v>23640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2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0</v>
      </c>
      <c r="B61" s="191">
        <f>'Données projet'!D69</f>
        <v>0</v>
      </c>
      <c r="C61" s="202"/>
      <c r="D61" s="189">
        <f t="shared" si="3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2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0</v>
      </c>
      <c r="B62" s="191">
        <f>'Données projet'!D70</f>
        <v>0</v>
      </c>
      <c r="C62" s="202"/>
      <c r="D62" s="189">
        <f t="shared" si="3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2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0</v>
      </c>
      <c r="B63" s="191">
        <f>'Données projet'!D71</f>
        <v>0</v>
      </c>
      <c r="C63" s="202"/>
      <c r="D63" s="189">
        <f t="shared" si="3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2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0</v>
      </c>
      <c r="B64" s="191">
        <f>'Données projet'!D72</f>
        <v>0</v>
      </c>
      <c r="C64" s="202"/>
      <c r="D64" s="189">
        <f t="shared" si="3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2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0</v>
      </c>
      <c r="B65" s="191">
        <f>'Données projet'!D73</f>
        <v>0</v>
      </c>
      <c r="C65" s="202"/>
      <c r="D65" s="189">
        <f t="shared" si="3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4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0</v>
      </c>
      <c r="B66" s="191">
        <f>'Données projet'!D74</f>
        <v>0</v>
      </c>
      <c r="C66" s="202"/>
      <c r="D66" s="189">
        <f t="shared" si="3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4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0</v>
      </c>
      <c r="B67" s="191">
        <f>'Données projet'!D75</f>
        <v>0</v>
      </c>
      <c r="C67" s="202"/>
      <c r="D67" s="189">
        <f t="shared" si="3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4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2"/>
      <c r="D68" s="189">
        <f t="shared" si="3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4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3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4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3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4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3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4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3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4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3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4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4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4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Cèdre de l'Atlas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4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4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4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4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4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4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4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4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4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30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4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35</v>
      </c>
      <c r="B86" s="191">
        <f>'Données projet'!D89</f>
        <v>0</v>
      </c>
      <c r="C86" s="202"/>
      <c r="D86" s="189">
        <f t="shared" ref="D86:D104" si="5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4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40</v>
      </c>
      <c r="B87" s="191">
        <f>'Données projet'!D90</f>
        <v>0</v>
      </c>
      <c r="C87" s="202"/>
      <c r="D87" s="189">
        <f t="shared" si="5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4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45</v>
      </c>
      <c r="B88" s="191">
        <f>'Données projet'!D91</f>
        <v>0</v>
      </c>
      <c r="C88" s="202"/>
      <c r="D88" s="189">
        <f t="shared" si="5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4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51</v>
      </c>
      <c r="B89" s="191">
        <f>'Données projet'!D92</f>
        <v>100.30769230769231</v>
      </c>
      <c r="C89" s="202">
        <v>15</v>
      </c>
      <c r="D89" s="189">
        <f t="shared" si="5"/>
        <v>1504.6153846153845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4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57</v>
      </c>
      <c r="B90" s="191">
        <f>'Données projet'!D93</f>
        <v>0</v>
      </c>
      <c r="C90" s="202"/>
      <c r="D90" s="189">
        <f t="shared" si="5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4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63</v>
      </c>
      <c r="B91" s="191">
        <f>'Données projet'!D94</f>
        <v>108.08461538461538</v>
      </c>
      <c r="C91" s="202">
        <v>20</v>
      </c>
      <c r="D91" s="189">
        <f t="shared" si="5"/>
        <v>2161.6923076923076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4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69</v>
      </c>
      <c r="B92" s="191">
        <f>'Données projet'!D95</f>
        <v>0</v>
      </c>
      <c r="C92" s="202"/>
      <c r="D92" s="189">
        <f t="shared" si="5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4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75</v>
      </c>
      <c r="B93" s="191">
        <f>'Données projet'!D96</f>
        <v>85.361538461538458</v>
      </c>
      <c r="C93" s="202">
        <v>30</v>
      </c>
      <c r="D93" s="189">
        <f t="shared" si="5"/>
        <v>2560.8461538461538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4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81</v>
      </c>
      <c r="B94" s="191">
        <f>'Données projet'!D97</f>
        <v>0</v>
      </c>
      <c r="C94" s="202"/>
      <c r="D94" s="189">
        <f t="shared" si="5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4"/>
        <v>0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87</v>
      </c>
      <c r="B95" s="191">
        <f>'Données projet'!D98</f>
        <v>82.938461538461524</v>
      </c>
      <c r="C95" s="202">
        <v>40</v>
      </c>
      <c r="D95" s="189">
        <f t="shared" si="5"/>
        <v>3317.538461538461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4"/>
        <v>0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93</v>
      </c>
      <c r="B96" s="191">
        <f>'Données projet'!D99</f>
        <v>0</v>
      </c>
      <c r="C96" s="202"/>
      <c r="D96" s="189">
        <f t="shared" si="5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4"/>
        <v>0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99</v>
      </c>
      <c r="B97" s="191">
        <f>'Données projet'!D100</f>
        <v>198.32307692307691</v>
      </c>
      <c r="C97" s="202">
        <v>50</v>
      </c>
      <c r="D97" s="189">
        <f t="shared" si="5"/>
        <v>9916.1538461538457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6">$P$25/(1+$M$4)^O97</f>
        <v>0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104</v>
      </c>
      <c r="B98" s="191">
        <f>'Données projet'!D101</f>
        <v>0</v>
      </c>
      <c r="C98" s="204"/>
      <c r="D98" s="189">
        <f t="shared" si="5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6"/>
        <v>0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109</v>
      </c>
      <c r="B99" s="191">
        <f>'Données projet'!D102</f>
        <v>256.09230769230771</v>
      </c>
      <c r="C99" s="202">
        <v>80</v>
      </c>
      <c r="D99" s="189">
        <f t="shared" si="5"/>
        <v>20487.384615384617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6"/>
        <v>0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2"/>
      <c r="D100" s="189">
        <f t="shared" si="5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6"/>
        <v>0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2"/>
      <c r="D101" s="189">
        <f t="shared" si="5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6"/>
        <v>0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2"/>
      <c r="D102" s="189">
        <f t="shared" si="5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6"/>
        <v>0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2"/>
      <c r="D103" s="189">
        <f t="shared" si="5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6"/>
        <v>0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2"/>
      <c r="D104" s="189">
        <f t="shared" si="5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6"/>
        <v>0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6"/>
        <v>0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6"/>
        <v>0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Chêne chevelu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6"/>
        <v>0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6"/>
        <v>0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6"/>
        <v>0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>
        <f>IF(O109+1&lt;=MIN('Données projet'!$E$9:$E$18),O109+1,"STOP")</f>
        <v>77</v>
      </c>
      <c r="P110" s="195">
        <f t="shared" si="6"/>
        <v>0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>
        <f>IF(O110+1&lt;=MIN('Données projet'!$E$9:$E$18),O110+1,"STOP")</f>
        <v>78</v>
      </c>
      <c r="P111" s="195">
        <f t="shared" si="6"/>
        <v>0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>
        <f>IF(O111+1&lt;=MIN('Données projet'!$E$9:$E$18),O111+1,"STOP")</f>
        <v>79</v>
      </c>
      <c r="P112" s="195">
        <f t="shared" si="6"/>
        <v>0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>
        <f>IF(O112+1&lt;=MIN('Données projet'!$E$9:$E$18),O112+1,"STOP")</f>
        <v>80</v>
      </c>
      <c r="P113" s="195">
        <f t="shared" si="6"/>
        <v>0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>
        <f>IF(O113+1&lt;=MIN('Données projet'!$E$9:$E$18),O113+1,"STOP")</f>
        <v>81</v>
      </c>
      <c r="P114" s="195">
        <f t="shared" si="6"/>
        <v>0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>
        <f>IF(O114+1&lt;=MIN('Données projet'!$E$9:$E$18),O114+1,"STOP")</f>
        <v>82</v>
      </c>
      <c r="P115" s="195">
        <f t="shared" si="6"/>
        <v>0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20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>
        <f>IF(O115+1&lt;=MIN('Données projet'!$E$9:$E$18),O115+1,"STOP")</f>
        <v>83</v>
      </c>
      <c r="P116" s="195">
        <f t="shared" si="6"/>
        <v>0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25</v>
      </c>
      <c r="B117" s="191">
        <f>'Données projet'!D115</f>
        <v>0</v>
      </c>
      <c r="C117" s="202"/>
      <c r="D117" s="189">
        <f t="shared" ref="D117:D135" si="7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>
        <f>IF(O116+1&lt;=MIN('Données projet'!$E$9:$E$18),O116+1,"STOP")</f>
        <v>84</v>
      </c>
      <c r="P117" s="195">
        <f t="shared" si="6"/>
        <v>0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30</v>
      </c>
      <c r="B118" s="191">
        <f>'Données projet'!D116</f>
        <v>17.307692307692307</v>
      </c>
      <c r="C118" s="204">
        <v>10</v>
      </c>
      <c r="D118" s="189">
        <f t="shared" si="7"/>
        <v>173.07692307692307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>
        <f>IF(O117+1&lt;=MIN('Données projet'!$E$9:$E$18),O117+1,"STOP")</f>
        <v>85</v>
      </c>
      <c r="P118" s="195">
        <f t="shared" si="6"/>
        <v>0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35</v>
      </c>
      <c r="B119" s="191">
        <f>'Données projet'!D117</f>
        <v>0</v>
      </c>
      <c r="C119" s="204"/>
      <c r="D119" s="189">
        <f t="shared" si="7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>
        <f>IF(O118+1&lt;=MIN('Données projet'!$E$9:$E$18),O118+1,"STOP")</f>
        <v>86</v>
      </c>
      <c r="P119" s="195">
        <f t="shared" si="6"/>
        <v>0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40</v>
      </c>
      <c r="B120" s="191">
        <f>'Données projet'!D118</f>
        <v>17.307692307692307</v>
      </c>
      <c r="C120" s="204">
        <v>10</v>
      </c>
      <c r="D120" s="189">
        <f t="shared" si="7"/>
        <v>173.07692307692307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>
        <f>IF(O119+1&lt;=MIN('Données projet'!$E$9:$E$18),O119+1,"STOP")</f>
        <v>87</v>
      </c>
      <c r="P120" s="195">
        <f t="shared" si="6"/>
        <v>0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45</v>
      </c>
      <c r="B121" s="191">
        <f>'Données projet'!D119</f>
        <v>0</v>
      </c>
      <c r="C121" s="204"/>
      <c r="D121" s="189">
        <f t="shared" si="7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>
        <f>IF(O120+1&lt;=MIN('Données projet'!$E$9:$E$18),O120+1,"STOP")</f>
        <v>88</v>
      </c>
      <c r="P121" s="195">
        <f t="shared" si="6"/>
        <v>0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50</v>
      </c>
      <c r="B122" s="191">
        <f>'Données projet'!D120</f>
        <v>18.589743589743588</v>
      </c>
      <c r="C122" s="204">
        <v>10</v>
      </c>
      <c r="D122" s="189">
        <f t="shared" si="7"/>
        <v>185.89743589743588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>
        <f>IF(O121+1&lt;=MIN('Données projet'!$E$9:$E$18),O121+1,"STOP")</f>
        <v>89</v>
      </c>
      <c r="P122" s="195">
        <f t="shared" si="6"/>
        <v>0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55</v>
      </c>
      <c r="B123" s="191">
        <f>'Données projet'!D121</f>
        <v>0</v>
      </c>
      <c r="C123" s="204"/>
      <c r="D123" s="189">
        <f t="shared" si="7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>
        <f>IF(O122+1&lt;=MIN('Données projet'!$E$9:$E$18),O122+1,"STOP")</f>
        <v>90</v>
      </c>
      <c r="P123" s="195">
        <f t="shared" si="6"/>
        <v>0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60</v>
      </c>
      <c r="B124" s="191">
        <f>'Données projet'!D122</f>
        <v>19.23076923076923</v>
      </c>
      <c r="C124" s="204">
        <v>15</v>
      </c>
      <c r="D124" s="189">
        <f t="shared" si="7"/>
        <v>288.46153846153845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>
        <f>IF(O123+1&lt;=MIN('Données projet'!$E$9:$E$18),O123+1,"STOP")</f>
        <v>91</v>
      </c>
      <c r="P124" s="195">
        <f t="shared" si="6"/>
        <v>0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65</v>
      </c>
      <c r="B125" s="191">
        <f>'Données projet'!D123</f>
        <v>0</v>
      </c>
      <c r="C125" s="204"/>
      <c r="D125" s="189">
        <f t="shared" si="7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str">
        <f>IF(O124+1&lt;=MIN('Données projet'!$E$9:$E$18),O124+1,"STOP")</f>
        <v>STOP</v>
      </c>
      <c r="P125" s="195" t="e">
        <f t="shared" si="6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70</v>
      </c>
      <c r="B126" s="191">
        <f>'Données projet'!D124</f>
        <v>18.589743589743588</v>
      </c>
      <c r="C126" s="204">
        <v>20</v>
      </c>
      <c r="D126" s="189">
        <f t="shared" si="7"/>
        <v>371.79487179487177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6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75</v>
      </c>
      <c r="B127" s="191">
        <f>'Données projet'!D125</f>
        <v>0</v>
      </c>
      <c r="C127" s="202"/>
      <c r="D127" s="189">
        <f t="shared" si="7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6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80</v>
      </c>
      <c r="B128" s="191">
        <f>'Données projet'!D126</f>
        <v>17.948717948717949</v>
      </c>
      <c r="C128" s="202">
        <v>25</v>
      </c>
      <c r="D128" s="189">
        <f t="shared" si="7"/>
        <v>448.71794871794873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6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85</v>
      </c>
      <c r="B129" s="191">
        <f>'Données projet'!D127</f>
        <v>0</v>
      </c>
      <c r="C129" s="202"/>
      <c r="D129" s="189">
        <f t="shared" si="7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90</v>
      </c>
      <c r="B130" s="191">
        <f>'Données projet'!D128</f>
        <v>16.666666666666668</v>
      </c>
      <c r="C130" s="202">
        <v>30</v>
      </c>
      <c r="D130" s="189">
        <f t="shared" si="7"/>
        <v>500.00000000000006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>$P$25/(1+$M$4)^O130</f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95</v>
      </c>
      <c r="B131" s="191">
        <f>'Données projet'!D129</f>
        <v>0</v>
      </c>
      <c r="C131" s="202"/>
      <c r="D131" s="189">
        <f t="shared" si="7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>$P$25/(1+$M$4)^O131</f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100</v>
      </c>
      <c r="B132" s="191">
        <f>'Données projet'!D130</f>
        <v>16.025641025641026</v>
      </c>
      <c r="C132" s="202">
        <v>40</v>
      </c>
      <c r="D132" s="189">
        <f t="shared" si="7"/>
        <v>641.02564102564099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>$P$25/(1+$M$4)^O132</f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110</v>
      </c>
      <c r="B133" s="191">
        <f>'Données projet'!D131</f>
        <v>14.102564102564102</v>
      </c>
      <c r="C133" s="202">
        <v>50</v>
      </c>
      <c r="D133" s="189">
        <f t="shared" si="7"/>
        <v>705.12820512820508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120</v>
      </c>
      <c r="B134" s="191">
        <f>'Données projet'!D132</f>
        <v>13.461538461538462</v>
      </c>
      <c r="C134" s="202">
        <v>60</v>
      </c>
      <c r="D134" s="189">
        <f t="shared" si="7"/>
        <v>807.69230769230774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130</v>
      </c>
      <c r="B135" s="191">
        <f>'Données projet'!D133</f>
        <v>258.97435897435895</v>
      </c>
      <c r="C135" s="202">
        <v>80</v>
      </c>
      <c r="D135" s="189">
        <f t="shared" si="7"/>
        <v>20717.948717948715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Alisier torminal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5">
        <f>'Données projet'!D141</f>
        <v>0</v>
      </c>
      <c r="C148" s="202"/>
      <c r="D148" s="192">
        <f t="shared" ref="D148:D166" si="8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5">
        <f>'Données projet'!D142</f>
        <v>17.307692307692307</v>
      </c>
      <c r="C149" s="204">
        <v>10</v>
      </c>
      <c r="D149" s="192">
        <f t="shared" si="8"/>
        <v>173.07692307692307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5">
        <f>'Données projet'!D143</f>
        <v>0</v>
      </c>
      <c r="C150" s="204"/>
      <c r="D150" s="192">
        <f t="shared" si="8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5">
        <f>'Données projet'!D144</f>
        <v>17.307692307692307</v>
      </c>
      <c r="C151" s="204">
        <v>10</v>
      </c>
      <c r="D151" s="192">
        <f t="shared" si="8"/>
        <v>173.07692307692307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5">
        <f>'Données projet'!D145</f>
        <v>0</v>
      </c>
      <c r="C152" s="204"/>
      <c r="D152" s="192">
        <f t="shared" si="8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5">
        <f>'Données projet'!D146</f>
        <v>18.589743589743588</v>
      </c>
      <c r="C153" s="204">
        <v>10</v>
      </c>
      <c r="D153" s="192">
        <f t="shared" si="8"/>
        <v>185.89743589743588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5">
        <f>'Données projet'!D147</f>
        <v>0</v>
      </c>
      <c r="C154" s="204"/>
      <c r="D154" s="192">
        <f t="shared" si="8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5">
        <f>'Données projet'!D148</f>
        <v>19.23076923076923</v>
      </c>
      <c r="C155" s="204">
        <v>15</v>
      </c>
      <c r="D155" s="192">
        <f t="shared" si="8"/>
        <v>288.46153846153845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5">
        <f>'Données projet'!D149</f>
        <v>0</v>
      </c>
      <c r="C156" s="204"/>
      <c r="D156" s="192">
        <f t="shared" si="8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5">
        <f>'Données projet'!D150</f>
        <v>18.589743589743588</v>
      </c>
      <c r="C157" s="204">
        <v>20</v>
      </c>
      <c r="D157" s="192">
        <f t="shared" si="8"/>
        <v>371.79487179487177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5">
        <f>'Données projet'!D151</f>
        <v>0</v>
      </c>
      <c r="C158" s="202"/>
      <c r="D158" s="192">
        <f t="shared" si="8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5">
        <f>'Données projet'!D152</f>
        <v>17.948717948717949</v>
      </c>
      <c r="C159" s="202">
        <v>25</v>
      </c>
      <c r="D159" s="192">
        <f t="shared" si="8"/>
        <v>448.71794871794873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85</v>
      </c>
      <c r="B160" s="185">
        <f>'Données projet'!D153</f>
        <v>0</v>
      </c>
      <c r="C160" s="202"/>
      <c r="D160" s="192">
        <f t="shared" si="8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90</v>
      </c>
      <c r="B161" s="185">
        <f>'Données projet'!D154</f>
        <v>16.666666666666668</v>
      </c>
      <c r="C161" s="202">
        <v>30</v>
      </c>
      <c r="D161" s="192">
        <f t="shared" si="8"/>
        <v>500.00000000000006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95</v>
      </c>
      <c r="B162" s="185">
        <f>'Données projet'!D155</f>
        <v>0</v>
      </c>
      <c r="C162" s="202"/>
      <c r="D162" s="192">
        <f t="shared" si="8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100</v>
      </c>
      <c r="B163" s="185">
        <f>'Données projet'!D156</f>
        <v>16.025641025641026</v>
      </c>
      <c r="C163" s="202">
        <v>40</v>
      </c>
      <c r="D163" s="192">
        <f t="shared" si="8"/>
        <v>641.02564102564099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110</v>
      </c>
      <c r="B164" s="185">
        <f>'Données projet'!D157</f>
        <v>14.102564102564102</v>
      </c>
      <c r="C164" s="202">
        <v>50</v>
      </c>
      <c r="D164" s="192">
        <f t="shared" si="8"/>
        <v>705.12820512820508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120</v>
      </c>
      <c r="B165" s="185">
        <f>'Données projet'!D158</f>
        <v>13.461538461538462</v>
      </c>
      <c r="C165" s="202">
        <v>60</v>
      </c>
      <c r="D165" s="192">
        <f t="shared" si="8"/>
        <v>807.69230769230774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130</v>
      </c>
      <c r="B166" s="185">
        <f>'Données projet'!D159</f>
        <v>258.97435897435895</v>
      </c>
      <c r="C166" s="202">
        <v>80</v>
      </c>
      <c r="D166" s="192">
        <f t="shared" si="8"/>
        <v>20717.948717948715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0</v>
      </c>
      <c r="B179" s="191">
        <f>'Données projet'!D167</f>
        <v>0</v>
      </c>
      <c r="C179" s="204"/>
      <c r="D179" s="189">
        <f t="shared" ref="D179:D197" si="9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0</v>
      </c>
      <c r="B180" s="191">
        <f>'Données projet'!D168</f>
        <v>0</v>
      </c>
      <c r="C180" s="204"/>
      <c r="D180" s="189">
        <f t="shared" si="9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0</v>
      </c>
      <c r="B181" s="191">
        <f>'Données projet'!D169</f>
        <v>0</v>
      </c>
      <c r="C181" s="204"/>
      <c r="D181" s="189">
        <f t="shared" si="9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0</v>
      </c>
      <c r="B182" s="191">
        <f>'Données projet'!D170</f>
        <v>0</v>
      </c>
      <c r="C182" s="204"/>
      <c r="D182" s="189">
        <f t="shared" si="9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0</v>
      </c>
      <c r="B183" s="191">
        <f>'Données projet'!D171</f>
        <v>0</v>
      </c>
      <c r="C183" s="204"/>
      <c r="D183" s="189">
        <f t="shared" si="9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0</v>
      </c>
      <c r="B184" s="191">
        <f>'Données projet'!D172</f>
        <v>0</v>
      </c>
      <c r="C184" s="204"/>
      <c r="D184" s="189">
        <f t="shared" si="9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0</v>
      </c>
      <c r="B185" s="191">
        <f>'Données projet'!D173</f>
        <v>0</v>
      </c>
      <c r="C185" s="204"/>
      <c r="D185" s="189">
        <f t="shared" si="9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0</v>
      </c>
      <c r="B186" s="191">
        <f>'Données projet'!D174</f>
        <v>0</v>
      </c>
      <c r="C186" s="204"/>
      <c r="D186" s="189">
        <f t="shared" si="9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0</v>
      </c>
      <c r="B187" s="191">
        <f>'Données projet'!D175</f>
        <v>0</v>
      </c>
      <c r="C187" s="204"/>
      <c r="D187" s="189">
        <f t="shared" si="9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04"/>
      <c r="D188" s="189">
        <f t="shared" si="9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4"/>
      <c r="D189" s="189">
        <f t="shared" si="9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4"/>
      <c r="D190" s="189">
        <f t="shared" si="9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4"/>
      <c r="D191" s="189">
        <f t="shared" si="9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9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9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9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9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9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9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0</v>
      </c>
      <c r="B210" s="191">
        <f>'Données projet'!D193</f>
        <v>0</v>
      </c>
      <c r="C210" s="202"/>
      <c r="D210" s="189">
        <f t="shared" ref="D210:D228" si="10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0</v>
      </c>
      <c r="B211" s="191">
        <f>'Données projet'!D194</f>
        <v>0</v>
      </c>
      <c r="C211" s="202"/>
      <c r="D211" s="189">
        <f t="shared" si="10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0</v>
      </c>
      <c r="B212" s="191">
        <f>'Données projet'!D195</f>
        <v>0</v>
      </c>
      <c r="C212" s="202"/>
      <c r="D212" s="189">
        <f t="shared" si="10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0</v>
      </c>
      <c r="B213" s="191">
        <f>'Données projet'!D196</f>
        <v>0</v>
      </c>
      <c r="C213" s="202"/>
      <c r="D213" s="189">
        <f t="shared" si="10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0</v>
      </c>
      <c r="B214" s="191">
        <f>'Données projet'!D197</f>
        <v>0</v>
      </c>
      <c r="C214" s="202"/>
      <c r="D214" s="189">
        <f t="shared" si="10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0</v>
      </c>
      <c r="B215" s="191">
        <f>'Données projet'!D198</f>
        <v>0</v>
      </c>
      <c r="C215" s="202"/>
      <c r="D215" s="189">
        <f t="shared" si="10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0</v>
      </c>
      <c r="B216" s="191">
        <f>'Données projet'!D199</f>
        <v>0</v>
      </c>
      <c r="C216" s="202"/>
      <c r="D216" s="189">
        <f t="shared" si="10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0</v>
      </c>
      <c r="B217" s="191">
        <f>'Données projet'!D200</f>
        <v>0</v>
      </c>
      <c r="C217" s="202"/>
      <c r="D217" s="189">
        <f t="shared" si="10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2"/>
      <c r="D218" s="189">
        <f t="shared" si="10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2"/>
      <c r="D219" s="189">
        <f t="shared" si="10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2"/>
      <c r="D220" s="189">
        <f t="shared" si="10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2"/>
      <c r="D221" s="189">
        <f t="shared" si="10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0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0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0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0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0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0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0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2"/>
      <c r="D241" s="189">
        <f t="shared" ref="D241:D259" si="11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2"/>
      <c r="D242" s="189">
        <f t="shared" si="11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2"/>
      <c r="D243" s="189">
        <f t="shared" si="11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2"/>
      <c r="D244" s="189">
        <f t="shared" si="11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2"/>
      <c r="D245" s="189">
        <f t="shared" si="11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2"/>
      <c r="D246" s="189">
        <f t="shared" si="11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2"/>
      <c r="D247" s="189">
        <f t="shared" si="11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2"/>
      <c r="D248" s="189">
        <f t="shared" si="11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1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1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1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1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1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1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1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1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1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1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1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2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2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2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2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2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2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2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2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2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2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2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2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2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2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2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2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2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2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2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3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3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3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3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3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3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3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3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3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3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3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3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3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3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3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3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3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3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3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2024-05-30T12:48:33Z</dcterms:modified>
</cp:coreProperties>
</file>