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4546af64a26a65e/Bureau/"/>
    </mc:Choice>
  </mc:AlternateContent>
  <xr:revisionPtr revIDLastSave="0" documentId="8_{091FD33A-9779-4669-9D82-90F5061889D8}" xr6:coauthVersionLast="47" xr6:coauthVersionMax="47" xr10:uidLastSave="{00000000-0000-0000-0000-000000000000}"/>
  <bookViews>
    <workbookView xWindow="0" yWindow="2340" windowWidth="28800" windowHeight="11295" tabRatio="86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9" i="6" l="1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34" i="6"/>
  <c r="C35" i="6"/>
  <c r="C36" i="6"/>
  <c r="C37" i="6"/>
  <c r="C38" i="6"/>
  <c r="C39" i="6"/>
  <c r="C40" i="6"/>
  <c r="C41" i="6"/>
  <c r="C42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B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41" i="2" a="1"/>
  <c r="DN41" i="2" s="1"/>
  <c r="DN29" i="2" a="1"/>
  <c r="DN29" i="2" s="1"/>
  <c r="DN115" i="2" a="1"/>
  <c r="DN115" i="2" s="1"/>
  <c r="DN177" i="2" a="1"/>
  <c r="DN177" i="2" s="1"/>
  <c r="CS116" i="2" a="1"/>
  <c r="CS116" i="2" s="1"/>
  <c r="EI195" i="2" a="1"/>
  <c r="EI195" i="2" s="1"/>
  <c r="CS137" i="2" a="1"/>
  <c r="CS137" i="2" s="1"/>
  <c r="AH151" i="2" a="1"/>
  <c r="AH151" i="2" s="1"/>
  <c r="CS77" i="2" a="1"/>
  <c r="CS77" i="2" s="1"/>
  <c r="AH166" i="2" a="1"/>
  <c r="AH166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DN103" i="2" l="1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<sst xmlns="http://schemas.openxmlformats.org/spreadsheetml/2006/main" count="1165" uniqueCount="324">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</sst>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2.0360484678650539</c:v>
                </c:pt>
                <c:pt idx="2">
                  <c:v>2.6732564892559605</c:v>
                </c:pt>
                <c:pt idx="3">
                  <c:v>3.5107063373439913</c:v>
                </c:pt>
                <c:pt idx="4">
                  <c:v>4.6115665173429541</c:v>
                </c:pt>
                <c:pt idx="5">
                  <c:v>6.0590043820974993</c:v>
                </c:pt>
                <c:pt idx="6">
                  <c:v>7.962538733207654</c:v>
                </c:pt>
                <c:pt idx="7">
                  <c:v>10.466416484886262</c:v>
                </c:pt>
                <c:pt idx="8">
                  <c:v>13.760660097642491</c:v>
                </c:pt>
                <c:pt idx="9">
                  <c:v>18.095639642152722</c:v>
                </c:pt>
                <c:pt idx="10">
                  <c:v>23.80129701446997</c:v>
                </c:pt>
                <c:pt idx="11">
                  <c:v>31.312511388641202</c:v>
                </c:pt>
                <c:pt idx="12">
                  <c:v>41.202572754834129</c:v>
                </c:pt>
                <c:pt idx="13">
                  <c:v>54.227361766041078</c:v>
                </c:pt>
                <c:pt idx="14">
                  <c:v>71.383668589285392</c:v>
                </c:pt>
                <c:pt idx="15">
                  <c:v>93.986186481305097</c:v>
                </c:pt>
                <c:pt idx="16">
                  <c:v>123.76917396624582</c:v>
                </c:pt>
                <c:pt idx="17">
                  <c:v>163.02070732605469</c:v>
                </c:pt>
                <c:pt idx="18">
                  <c:v>132.72079240284057</c:v>
                </c:pt>
                <c:pt idx="19">
                  <c:v>155.8126359599346</c:v>
                </c:pt>
                <c:pt idx="20">
                  <c:v>178.82306978803445</c:v>
                </c:pt>
                <c:pt idx="21">
                  <c:v>201.76405533830518</c:v>
                </c:pt>
                <c:pt idx="22">
                  <c:v>224.64460356442851</c:v>
                </c:pt>
                <c:pt idx="23">
                  <c:v>247.47173636577637</c:v>
                </c:pt>
                <c:pt idx="24">
                  <c:v>197.8580544671477</c:v>
                </c:pt>
                <c:pt idx="25">
                  <c:v>222.74503213678972</c:v>
                </c:pt>
                <c:pt idx="26">
                  <c:v>246.29146195068498</c:v>
                </c:pt>
                <c:pt idx="27">
                  <c:v>269.7867654657652</c:v>
                </c:pt>
                <c:pt idx="28">
                  <c:v>293.23601965253823</c:v>
                </c:pt>
                <c:pt idx="29">
                  <c:v>316.64342288321137</c:v>
                </c:pt>
                <c:pt idx="30">
                  <c:v>269.1846368228488</c:v>
                </c:pt>
                <c:pt idx="31">
                  <c:v>291.76806273215965</c:v>
                </c:pt>
                <c:pt idx="32">
                  <c:v>314.31245737703142</c:v>
                </c:pt>
                <c:pt idx="33">
                  <c:v>336.82101245116922</c:v>
                </c:pt>
                <c:pt idx="34">
                  <c:v>359.29645830338882</c:v>
                </c:pt>
                <c:pt idx="35">
                  <c:v>382.32591187841672</c:v>
                </c:pt>
                <c:pt idx="36">
                  <c:v>405.32521445817457</c:v>
                </c:pt>
                <c:pt idx="37">
                  <c:v>329.49956410258034</c:v>
                </c:pt>
                <c:pt idx="38">
                  <c:v>350.6176658470888</c:v>
                </c:pt>
                <c:pt idx="39">
                  <c:v>371.70788157726429</c:v>
                </c:pt>
                <c:pt idx="40">
                  <c:v>392.77201509777075</c:v>
                </c:pt>
                <c:pt idx="41">
                  <c:v>413.81166103638043</c:v>
                </c:pt>
                <c:pt idx="42">
                  <c:v>434.82823872135873</c:v>
                </c:pt>
                <c:pt idx="43">
                  <c:v>455.82301916703295</c:v>
                </c:pt>
                <c:pt idx="44">
                  <c:v>476.72831676952779</c:v>
                </c:pt>
                <c:pt idx="45">
                  <c:v>396.25755139272502</c:v>
                </c:pt>
                <c:pt idx="46">
                  <c:v>414.9035395171382</c:v>
                </c:pt>
                <c:pt idx="47">
                  <c:v>433.53146186188638</c:v>
                </c:pt>
                <c:pt idx="48">
                  <c:v>452.14220350684337</c:v>
                </c:pt>
                <c:pt idx="49">
                  <c:v>470.73657076305057</c:v>
                </c:pt>
                <c:pt idx="50">
                  <c:v>489.31530108112497</c:v>
                </c:pt>
                <c:pt idx="51">
                  <c:v>507.87907137683516</c:v>
                </c:pt>
                <c:pt idx="52">
                  <c:v>526.42850507644687</c:v>
                </c:pt>
                <c:pt idx="53">
                  <c:v>447.55932636655058</c:v>
                </c:pt>
                <c:pt idx="54">
                  <c:v>464.23574904580886</c:v>
                </c:pt>
                <c:pt idx="55">
                  <c:v>480.89940004934402</c:v>
                </c:pt>
                <c:pt idx="56">
                  <c:v>497.55078403848262</c:v>
                </c:pt>
                <c:pt idx="57">
                  <c:v>514.19036915679919</c:v>
                </c:pt>
                <c:pt idx="58">
                  <c:v>530.8185907931454</c:v>
                </c:pt>
                <c:pt idx="59">
                  <c:v>547.43585484879588</c:v>
                </c:pt>
                <c:pt idx="60">
                  <c:v>564.04254058742833</c:v>
                </c:pt>
                <c:pt idx="61">
                  <c:v>0.55055345788511245</c:v>
                </c:pt>
                <c:pt idx="62">
                  <c:v>0.55055345788511245</c:v>
                </c:pt>
                <c:pt idx="63">
                  <c:v>0.55055345788511245</c:v>
                </c:pt>
                <c:pt idx="64">
                  <c:v>0.55055345788511245</c:v>
                </c:pt>
                <c:pt idx="65">
                  <c:v>0.55055345788511245</c:v>
                </c:pt>
                <c:pt idx="66">
                  <c:v>0.55055345788511245</c:v>
                </c:pt>
                <c:pt idx="67">
                  <c:v>0.55055345788511245</c:v>
                </c:pt>
                <c:pt idx="68">
                  <c:v>0.55055345788511245</c:v>
                </c:pt>
                <c:pt idx="69">
                  <c:v>0.55055345788511245</c:v>
                </c:pt>
                <c:pt idx="70">
                  <c:v>0.55055345788511245</c:v>
                </c:pt>
                <c:pt idx="71">
                  <c:v>0.55055345788511245</c:v>
                </c:pt>
                <c:pt idx="72">
                  <c:v>0.55055345788511245</c:v>
                </c:pt>
                <c:pt idx="73">
                  <c:v>0.55055345788511245</c:v>
                </c:pt>
                <c:pt idx="74">
                  <c:v>0.55055345788511245</c:v>
                </c:pt>
                <c:pt idx="75">
                  <c:v>0.55055345788511245</c:v>
                </c:pt>
                <c:pt idx="76">
                  <c:v>0.55055345788511245</c:v>
                </c:pt>
                <c:pt idx="77">
                  <c:v>0.55055345788511245</c:v>
                </c:pt>
                <c:pt idx="78">
                  <c:v>0.55055345788511245</c:v>
                </c:pt>
                <c:pt idx="79">
                  <c:v>0.55055345788511245</c:v>
                </c:pt>
                <c:pt idx="80">
                  <c:v>0.55055345788511245</c:v>
                </c:pt>
                <c:pt idx="81">
                  <c:v>0.55055345788511245</c:v>
                </c:pt>
                <c:pt idx="82">
                  <c:v>0.55055345788511245</c:v>
                </c:pt>
                <c:pt idx="83">
                  <c:v>0.55055345788511245</c:v>
                </c:pt>
                <c:pt idx="84">
                  <c:v>0.55055345788511245</c:v>
                </c:pt>
                <c:pt idx="85">
                  <c:v>0.55055345788511245</c:v>
                </c:pt>
                <c:pt idx="86">
                  <c:v>0.55055345788511245</c:v>
                </c:pt>
                <c:pt idx="87">
                  <c:v>0.55055345788511245</c:v>
                </c:pt>
                <c:pt idx="88">
                  <c:v>0.55055345788511245</c:v>
                </c:pt>
                <c:pt idx="89">
                  <c:v>0.55055345788511245</c:v>
                </c:pt>
                <c:pt idx="90">
                  <c:v>0.55055345788511245</c:v>
                </c:pt>
                <c:pt idx="91">
                  <c:v>0.55055345788511245</c:v>
                </c:pt>
                <c:pt idx="92">
                  <c:v>0.55055345788511245</c:v>
                </c:pt>
                <c:pt idx="93">
                  <c:v>0.55055345788511245</c:v>
                </c:pt>
                <c:pt idx="94">
                  <c:v>0.55055345788511245</c:v>
                </c:pt>
                <c:pt idx="95">
                  <c:v>0.55055345788511245</c:v>
                </c:pt>
                <c:pt idx="96">
                  <c:v>0.55055345788511245</c:v>
                </c:pt>
                <c:pt idx="97">
                  <c:v>0.55055345788511245</c:v>
                </c:pt>
                <c:pt idx="98">
                  <c:v>0.55055345788511245</c:v>
                </c:pt>
                <c:pt idx="99">
                  <c:v>0.55055345788511245</c:v>
                </c:pt>
                <c:pt idx="100">
                  <c:v>0.55055345788511245</c:v>
                </c:pt>
                <c:pt idx="101">
                  <c:v>0.55055345788511245</c:v>
                </c:pt>
                <c:pt idx="102">
                  <c:v>0.55055345788511245</c:v>
                </c:pt>
                <c:pt idx="103">
                  <c:v>0.55055345788511245</c:v>
                </c:pt>
                <c:pt idx="104">
                  <c:v>0.55055345788511245</c:v>
                </c:pt>
                <c:pt idx="105">
                  <c:v>0.55055345788511245</c:v>
                </c:pt>
                <c:pt idx="106">
                  <c:v>0.55055345788511245</c:v>
                </c:pt>
                <c:pt idx="107">
                  <c:v>0.55055345788511245</c:v>
                </c:pt>
                <c:pt idx="108">
                  <c:v>0.55055345788511245</c:v>
                </c:pt>
                <c:pt idx="109">
                  <c:v>0.55055345788511245</c:v>
                </c:pt>
                <c:pt idx="110">
                  <c:v>0.55055345788511245</c:v>
                </c:pt>
                <c:pt idx="111">
                  <c:v>0.55055345788511245</c:v>
                </c:pt>
                <c:pt idx="112">
                  <c:v>0.55055345788511245</c:v>
                </c:pt>
                <c:pt idx="113">
                  <c:v>0.55055345788511245</c:v>
                </c:pt>
                <c:pt idx="114">
                  <c:v>0.55055345788511245</c:v>
                </c:pt>
                <c:pt idx="115">
                  <c:v>0.55055345788511245</c:v>
                </c:pt>
                <c:pt idx="116">
                  <c:v>0.55055345788511245</c:v>
                </c:pt>
                <c:pt idx="117">
                  <c:v>0.55055345788511245</c:v>
                </c:pt>
                <c:pt idx="118">
                  <c:v>0.55055345788511245</c:v>
                </c:pt>
                <c:pt idx="119">
                  <c:v>0.55055345788511245</c:v>
                </c:pt>
                <c:pt idx="120">
                  <c:v>0.55055345788511245</c:v>
                </c:pt>
                <c:pt idx="121">
                  <c:v>0.55055345788511245</c:v>
                </c:pt>
                <c:pt idx="122">
                  <c:v>0.55055345788511245</c:v>
                </c:pt>
                <c:pt idx="123">
                  <c:v>0.55055345788511245</c:v>
                </c:pt>
                <c:pt idx="124">
                  <c:v>0.55055345788511245</c:v>
                </c:pt>
                <c:pt idx="125">
                  <c:v>0.55055345788511245</c:v>
                </c:pt>
                <c:pt idx="126">
                  <c:v>0.55055345788511245</c:v>
                </c:pt>
                <c:pt idx="127">
                  <c:v>0.55055345788511245</c:v>
                </c:pt>
                <c:pt idx="128">
                  <c:v>0.55055345788511245</c:v>
                </c:pt>
                <c:pt idx="129">
                  <c:v>0.55055345788511245</c:v>
                </c:pt>
                <c:pt idx="130">
                  <c:v>0.55055345788511245</c:v>
                </c:pt>
                <c:pt idx="131">
                  <c:v>0.55055345788511245</c:v>
                </c:pt>
                <c:pt idx="132">
                  <c:v>0.55055345788511245</c:v>
                </c:pt>
                <c:pt idx="133">
                  <c:v>0.55055345788511245</c:v>
                </c:pt>
                <c:pt idx="134">
                  <c:v>0.55055345788511245</c:v>
                </c:pt>
                <c:pt idx="135">
                  <c:v>0.55055345788511245</c:v>
                </c:pt>
                <c:pt idx="136">
                  <c:v>0.55055345788511245</c:v>
                </c:pt>
                <c:pt idx="137">
                  <c:v>0.55055345788511245</c:v>
                </c:pt>
                <c:pt idx="138">
                  <c:v>0.55055345788511245</c:v>
                </c:pt>
                <c:pt idx="139">
                  <c:v>0.55055345788511245</c:v>
                </c:pt>
                <c:pt idx="140">
                  <c:v>0.55055345788511245</c:v>
                </c:pt>
                <c:pt idx="141">
                  <c:v>0.55055345788511245</c:v>
                </c:pt>
                <c:pt idx="142">
                  <c:v>0.55055345788511245</c:v>
                </c:pt>
                <c:pt idx="143">
                  <c:v>0.55055345788511245</c:v>
                </c:pt>
                <c:pt idx="144">
                  <c:v>0.55055345788511245</c:v>
                </c:pt>
                <c:pt idx="145">
                  <c:v>0.55055345788511245</c:v>
                </c:pt>
                <c:pt idx="146">
                  <c:v>0.55055345788511245</c:v>
                </c:pt>
                <c:pt idx="147">
                  <c:v>0.55055345788511245</c:v>
                </c:pt>
                <c:pt idx="148">
                  <c:v>0.55055345788511245</c:v>
                </c:pt>
                <c:pt idx="149">
                  <c:v>0.55055345788511245</c:v>
                </c:pt>
                <c:pt idx="150">
                  <c:v>0.55055345788511245</c:v>
                </c:pt>
                <c:pt idx="151">
                  <c:v>0.55055345788511245</c:v>
                </c:pt>
                <c:pt idx="152">
                  <c:v>0.55055345788511245</c:v>
                </c:pt>
                <c:pt idx="153">
                  <c:v>0.55055345788511245</c:v>
                </c:pt>
                <c:pt idx="154">
                  <c:v>0.55055345788511245</c:v>
                </c:pt>
                <c:pt idx="155">
                  <c:v>0.55055345788511245</c:v>
                </c:pt>
                <c:pt idx="156">
                  <c:v>0.55055345788511245</c:v>
                </c:pt>
                <c:pt idx="157">
                  <c:v>0.55055345788511245</c:v>
                </c:pt>
                <c:pt idx="158">
                  <c:v>0.55055345788511245</c:v>
                </c:pt>
                <c:pt idx="159">
                  <c:v>0.55055345788511245</c:v>
                </c:pt>
                <c:pt idx="160">
                  <c:v>0.55055345788511245</c:v>
                </c:pt>
                <c:pt idx="161">
                  <c:v>0.55055345788511245</c:v>
                </c:pt>
                <c:pt idx="162">
                  <c:v>0.55055345788511245</c:v>
                </c:pt>
                <c:pt idx="163">
                  <c:v>0.55055345788511245</c:v>
                </c:pt>
                <c:pt idx="164">
                  <c:v>0.55055345788511245</c:v>
                </c:pt>
                <c:pt idx="165">
                  <c:v>0.55055345788511245</c:v>
                </c:pt>
                <c:pt idx="166">
                  <c:v>0.55055345788511245</c:v>
                </c:pt>
                <c:pt idx="167">
                  <c:v>0.55055345788511245</c:v>
                </c:pt>
                <c:pt idx="168">
                  <c:v>0.55055345788511245</c:v>
                </c:pt>
                <c:pt idx="169">
                  <c:v>0.55055345788511245</c:v>
                </c:pt>
                <c:pt idx="170">
                  <c:v>0.55055345788511245</c:v>
                </c:pt>
                <c:pt idx="171">
                  <c:v>0.55055345788511245</c:v>
                </c:pt>
                <c:pt idx="172">
                  <c:v>0.55055345788511245</c:v>
                </c:pt>
                <c:pt idx="173">
                  <c:v>0.55055345788511245</c:v>
                </c:pt>
                <c:pt idx="174">
                  <c:v>0.55055345788511245</c:v>
                </c:pt>
                <c:pt idx="175">
                  <c:v>0.55055345788511245</c:v>
                </c:pt>
                <c:pt idx="176">
                  <c:v>0.55055345788511245</c:v>
                </c:pt>
                <c:pt idx="177">
                  <c:v>0.55055345788511245</c:v>
                </c:pt>
                <c:pt idx="178">
                  <c:v>0.55055345788511245</c:v>
                </c:pt>
                <c:pt idx="179">
                  <c:v>0.55055345788511245</c:v>
                </c:pt>
                <c:pt idx="180">
                  <c:v>0.55055345788511245</c:v>
                </c:pt>
                <c:pt idx="181">
                  <c:v>0.55055345788511245</c:v>
                </c:pt>
                <c:pt idx="182">
                  <c:v>0.55055345788511245</c:v>
                </c:pt>
                <c:pt idx="183">
                  <c:v>0.55055345788511245</c:v>
                </c:pt>
                <c:pt idx="184">
                  <c:v>0.55055345788511245</c:v>
                </c:pt>
                <c:pt idx="185">
                  <c:v>0.55055345788511245</c:v>
                </c:pt>
                <c:pt idx="186">
                  <c:v>0.55055345788511245</c:v>
                </c:pt>
                <c:pt idx="187">
                  <c:v>0.55055345788511245</c:v>
                </c:pt>
                <c:pt idx="188">
                  <c:v>0.55055345788511245</c:v>
                </c:pt>
                <c:pt idx="189">
                  <c:v>0.55055345788511245</c:v>
                </c:pt>
                <c:pt idx="190">
                  <c:v>0.55055345788511245</c:v>
                </c:pt>
                <c:pt idx="191">
                  <c:v>0.55055345788511245</c:v>
                </c:pt>
                <c:pt idx="192">
                  <c:v>0.55055345788511245</c:v>
                </c:pt>
                <c:pt idx="193">
                  <c:v>0.55055345788511245</c:v>
                </c:pt>
                <c:pt idx="194">
                  <c:v>0.55055345788511245</c:v>
                </c:pt>
                <c:pt idx="195">
                  <c:v>0.55055345788511245</c:v>
                </c:pt>
                <c:pt idx="196">
                  <c:v>0.55055345788511245</c:v>
                </c:pt>
                <c:pt idx="197">
                  <c:v>0.55055345788511245</c:v>
                </c:pt>
                <c:pt idx="198">
                  <c:v>0.55055345788511245</c:v>
                </c:pt>
                <c:pt idx="199">
                  <c:v>0.55055345788511245</c:v>
                </c:pt>
                <c:pt idx="200">
                  <c:v>0.55055345788511245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abSelected="1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5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5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5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5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5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5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5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5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5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5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5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5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5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5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5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5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5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5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26" sqref="C26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7" t="s">
        <v>190</v>
      </c>
      <c r="D1" s="257"/>
      <c r="E1" s="25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7" t="s">
        <v>231</v>
      </c>
      <c r="B5" s="267"/>
      <c r="C5" s="24">
        <v>2.5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36</v>
      </c>
      <c r="C9" s="32">
        <v>1</v>
      </c>
      <c r="D9" s="33">
        <f t="shared" ref="D9:D18" si="0">C9*$C$5</f>
        <v>2.5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2.5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Pin maritime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17</v>
      </c>
      <c r="B36" s="60">
        <v>122.32</v>
      </c>
      <c r="C36" s="60">
        <v>0</v>
      </c>
      <c r="D36" s="60">
        <v>41</v>
      </c>
      <c r="E36" s="51">
        <v>0.2</v>
      </c>
      <c r="F36" s="51">
        <v>0.45</v>
      </c>
      <c r="G36" s="51">
        <v>0.35</v>
      </c>
      <c r="H36" s="51"/>
      <c r="I36" s="49">
        <f>IFERROR(B36/A36,"")</f>
        <v>7.1952941176470588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23</v>
      </c>
      <c r="B37" s="60">
        <v>187.68</v>
      </c>
      <c r="C37" s="60">
        <v>1</v>
      </c>
      <c r="D37" s="60">
        <v>57.75</v>
      </c>
      <c r="E37" s="51">
        <v>0.2</v>
      </c>
      <c r="F37" s="51">
        <v>0.45</v>
      </c>
      <c r="G37" s="51">
        <v>0.35</v>
      </c>
      <c r="H37" s="51"/>
      <c r="I37" s="53">
        <f t="shared" ref="I37:I55" si="1">IF(A37&lt;&gt;0,(B37-(B36-D36))/(A37-A36),"")</f>
        <v>17.72666666666667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25</v>
      </c>
      <c r="B38" s="60">
        <v>168.48</v>
      </c>
      <c r="C38" s="60">
        <v>2</v>
      </c>
      <c r="D38" s="60">
        <v>0</v>
      </c>
      <c r="E38" s="51"/>
      <c r="F38" s="51"/>
      <c r="G38" s="51"/>
      <c r="H38" s="51"/>
      <c r="I38" s="53">
        <f t="shared" si="1"/>
        <v>19.274999999999991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29</v>
      </c>
      <c r="B39" s="60">
        <v>241.61</v>
      </c>
      <c r="C39" s="60">
        <v>3</v>
      </c>
      <c r="D39" s="60">
        <v>54.64</v>
      </c>
      <c r="E39" s="51">
        <v>0.4</v>
      </c>
      <c r="F39" s="51">
        <v>0.34</v>
      </c>
      <c r="G39" s="51">
        <v>0.26</v>
      </c>
      <c r="H39" s="51"/>
      <c r="I39" s="49">
        <f t="shared" si="1"/>
        <v>18.282500000000006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34</v>
      </c>
      <c r="B40" s="60">
        <v>275</v>
      </c>
      <c r="C40" s="60">
        <v>4</v>
      </c>
      <c r="D40" s="60">
        <v>0</v>
      </c>
      <c r="E40" s="51"/>
      <c r="F40" s="51"/>
      <c r="G40" s="51"/>
      <c r="H40" s="51"/>
      <c r="I40" s="49">
        <f t="shared" si="1"/>
        <v>17.605999999999995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36</v>
      </c>
      <c r="B41" s="60">
        <v>311.13</v>
      </c>
      <c r="C41" s="60">
        <v>5</v>
      </c>
      <c r="D41" s="60">
        <v>76</v>
      </c>
      <c r="E41" s="51">
        <v>0.4</v>
      </c>
      <c r="F41" s="51">
        <v>0.34</v>
      </c>
      <c r="G41" s="51">
        <v>0.26</v>
      </c>
      <c r="H41" s="51"/>
      <c r="I41" s="53">
        <f t="shared" si="1"/>
        <v>18.064999999999998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43</v>
      </c>
      <c r="B42" s="60">
        <v>350.87</v>
      </c>
      <c r="C42" s="60">
        <v>6</v>
      </c>
      <c r="D42" s="60">
        <v>0</v>
      </c>
      <c r="E42" s="51"/>
      <c r="F42" s="51"/>
      <c r="G42" s="51"/>
      <c r="H42" s="51"/>
      <c r="I42" s="53">
        <f t="shared" si="1"/>
        <v>16.534285714285716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44</v>
      </c>
      <c r="B43" s="60">
        <v>367.35</v>
      </c>
      <c r="C43" s="60">
        <v>7</v>
      </c>
      <c r="D43" s="60">
        <v>78</v>
      </c>
      <c r="E43" s="51">
        <v>0.6</v>
      </c>
      <c r="F43" s="51">
        <v>0.22</v>
      </c>
      <c r="G43" s="51">
        <v>0.18</v>
      </c>
      <c r="H43" s="51"/>
      <c r="I43" s="49">
        <f t="shared" si="1"/>
        <v>16.480000000000018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52</v>
      </c>
      <c r="B44" s="60">
        <v>406.59</v>
      </c>
      <c r="C44" s="60">
        <v>8</v>
      </c>
      <c r="D44" s="60">
        <v>75.37</v>
      </c>
      <c r="E44" s="51">
        <v>0.6</v>
      </c>
      <c r="F44" s="51">
        <v>0.22</v>
      </c>
      <c r="G44" s="51">
        <v>0.18</v>
      </c>
      <c r="H44" s="51"/>
      <c r="I44" s="49">
        <f t="shared" si="1"/>
        <v>14.654999999999994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60</v>
      </c>
      <c r="B45" s="60">
        <v>436.34</v>
      </c>
      <c r="C45" s="60">
        <v>9</v>
      </c>
      <c r="D45" s="60">
        <v>436</v>
      </c>
      <c r="E45" s="51">
        <v>0.8</v>
      </c>
      <c r="F45" s="51">
        <v>0.11</v>
      </c>
      <c r="G45" s="51">
        <v>0.09</v>
      </c>
      <c r="H45" s="51"/>
      <c r="I45" s="49">
        <f t="shared" si="1"/>
        <v>13.14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/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/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17" sqref="F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42578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42578125" style="4" customWidth="1"/>
    <col min="6" max="7" width="11.42578125" style="4"/>
    <col min="8" max="8" width="10.7109375" style="4" customWidth="1"/>
    <col min="9" max="9" width="9.42578125" style="4" customWidth="1"/>
    <col min="10" max="11" width="10.42578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42578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42578125" style="4" bestFit="1" customWidth="1"/>
    <col min="36" max="36" width="9.42578125" style="4" bestFit="1" customWidth="1"/>
    <col min="37" max="38" width="10.42578125" style="4" bestFit="1" customWidth="1"/>
    <col min="39" max="41" width="10.42578125" style="4" customWidth="1"/>
    <col min="42" max="42" width="9" style="4" bestFit="1" customWidth="1"/>
    <col min="43" max="43" width="10.42578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42578125" style="4" bestFit="1" customWidth="1"/>
    <col min="54" max="54" width="14.28515625" style="4" customWidth="1"/>
    <col min="55" max="55" width="14" style="4" customWidth="1"/>
    <col min="56" max="56" width="10.42578125" style="4" bestFit="1" customWidth="1"/>
    <col min="57" max="57" width="9.42578125" style="4" bestFit="1" customWidth="1"/>
    <col min="58" max="59" width="10.42578125" style="4" bestFit="1" customWidth="1"/>
    <col min="60" max="62" width="10.42578125" style="4" customWidth="1"/>
    <col min="63" max="63" width="9" style="4" bestFit="1" customWidth="1"/>
    <col min="64" max="64" width="10.42578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42578125" style="4" bestFit="1" customWidth="1"/>
    <col min="75" max="75" width="14" style="4" bestFit="1" customWidth="1"/>
    <col min="76" max="76" width="13.85546875" style="4" customWidth="1"/>
    <col min="77" max="77" width="10.42578125" style="4" bestFit="1" customWidth="1"/>
    <col min="78" max="78" width="9.42578125" style="4" bestFit="1" customWidth="1"/>
    <col min="79" max="80" width="10.42578125" style="4" bestFit="1" customWidth="1"/>
    <col min="81" max="83" width="10.42578125" style="4" customWidth="1"/>
    <col min="84" max="84" width="11.42578125" style="4"/>
    <col min="85" max="85" width="10.42578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42578125" style="4" bestFit="1" customWidth="1"/>
    <col min="99" max="99" width="9.42578125" style="4" bestFit="1" customWidth="1"/>
    <col min="100" max="101" width="10.42578125" style="4" bestFit="1" customWidth="1"/>
    <col min="102" max="104" width="10.42578125" style="4" customWidth="1"/>
    <col min="105" max="105" width="9" style="4" bestFit="1" customWidth="1"/>
    <col min="106" max="106" width="10.42578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42578125" style="4" bestFit="1" customWidth="1"/>
    <col min="117" max="117" width="14.28515625" style="4" customWidth="1"/>
    <col min="118" max="118" width="14" style="4" bestFit="1" customWidth="1"/>
    <col min="119" max="119" width="10.42578125" style="4" bestFit="1" customWidth="1"/>
    <col min="120" max="120" width="9.42578125" style="4" bestFit="1" customWidth="1"/>
    <col min="121" max="122" width="10.42578125" style="4" bestFit="1" customWidth="1"/>
    <col min="123" max="125" width="10.42578125" style="4" customWidth="1"/>
    <col min="126" max="126" width="9" style="4" bestFit="1" customWidth="1"/>
    <col min="127" max="127" width="10.42578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42578125" style="4" bestFit="1" customWidth="1"/>
    <col min="138" max="139" width="14" style="4" customWidth="1"/>
    <col min="140" max="140" width="10.42578125" style="4" bestFit="1" customWidth="1"/>
    <col min="141" max="141" width="9.42578125" style="4" bestFit="1" customWidth="1"/>
    <col min="142" max="143" width="10.42578125" style="4" bestFit="1" customWidth="1"/>
    <col min="144" max="146" width="10.42578125" style="4" customWidth="1"/>
    <col min="147" max="147" width="9" style="4" bestFit="1" customWidth="1"/>
    <col min="148" max="148" width="10.42578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42578125" style="4" bestFit="1" customWidth="1"/>
    <col min="162" max="162" width="9.42578125" style="4" bestFit="1" customWidth="1"/>
    <col min="163" max="164" width="10.42578125" style="4" bestFit="1" customWidth="1"/>
    <col min="165" max="167" width="10.42578125" style="4" customWidth="1"/>
    <col min="168" max="168" width="9" style="4" bestFit="1" customWidth="1"/>
    <col min="169" max="169" width="10.42578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42578125" style="4" bestFit="1" customWidth="1"/>
    <col min="180" max="181" width="14" style="4" bestFit="1" customWidth="1"/>
    <col min="182" max="182" width="10.42578125" style="4" bestFit="1" customWidth="1"/>
    <col min="183" max="183" width="9.42578125" style="4" bestFit="1" customWidth="1"/>
    <col min="184" max="185" width="10.42578125" style="4" bestFit="1" customWidth="1"/>
    <col min="186" max="188" width="10.42578125" style="4" customWidth="1"/>
    <col min="189" max="189" width="9" style="4" bestFit="1" customWidth="1"/>
    <col min="190" max="190" width="10.42578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42578125" style="4" bestFit="1" customWidth="1"/>
    <col min="201" max="201" width="14" style="4" customWidth="1"/>
    <col min="202" max="202" width="14.28515625" style="4" customWidth="1"/>
    <col min="203" max="203" width="10.42578125" style="4" bestFit="1" customWidth="1"/>
    <col min="204" max="204" width="9.42578125" style="4" bestFit="1" customWidth="1"/>
    <col min="205" max="206" width="10.42578125" style="4" bestFit="1" customWidth="1"/>
    <col min="207" max="209" width="10.42578125" style="4" customWidth="1"/>
    <col min="210" max="210" width="9" style="4" bestFit="1" customWidth="1"/>
    <col min="211" max="211" width="10.42578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Pin maritime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/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/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/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/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/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235.66314579622622</v>
      </c>
      <c r="T3" s="59">
        <f>IF('Données projet'!E9&gt;30,$R$33-$H$33,LOOKUP('Données projet'!$E$9,$A$3:$A$203,R3:R203)-LOOKUP('Données projet'!$E$9,$A$3:$A$203,$H$3:$H$203))</f>
        <v>231.1613577327077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7.1952941176470588</v>
      </c>
      <c r="N4" s="13">
        <f>IF('Données projet'!$A$36&gt;35,N3+M4-V3,IF(A4&lt;'Données projet'!$A$36,$K$205^A4,IF(A4='Données projet'!$A$36,'Données projet'!$B$36,N3+M4-V3)))</f>
        <v>1.3267648858502221</v>
      </c>
      <c r="O4" s="13">
        <f>N4*VLOOKUP('Données projet'!$B$9,Paramètres!$A$1:$I$89,3,0)*VLOOKUP('Données projet'!$B$9,Paramètres!$A$1:$I$89,5,0)</f>
        <v>0.79340540173843288</v>
      </c>
      <c r="P4" s="13">
        <f>EXP(-1.0587+0.8836*LN(O4)+0.284)</f>
        <v>0.37561764201183739</v>
      </c>
      <c r="Q4" s="20">
        <f t="shared" ref="Q4:Q34" si="2">(O4+P4)*0.475*44/12</f>
        <v>2.0360484678650539</v>
      </c>
      <c r="R4" s="59">
        <f t="shared" si="0"/>
        <v>295.36938180119836</v>
      </c>
      <c r="S4" s="59">
        <f ca="1">AVERAGE(OFFSET($R$3,0,0,'Données projet'!$E$9+1,1))-AVERAGE(OFFSET($H$3,0,0,'Données projet'!$E$9+1,1))</f>
        <v>235.66314579622622</v>
      </c>
      <c r="T4" s="59">
        <f>$T$3</f>
        <v>231.1613577327077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7.1952941176470588</v>
      </c>
      <c r="N5" s="13">
        <f>IF('Données projet'!$A$36&gt;35,N4+M5-V4,IF(A5&lt;'Données projet'!$A$36,$K$205^A5,IF(A5='Données projet'!$A$36,'Données projet'!$B$36,N4+M5-V4)))</f>
        <v>1.7603050623251528</v>
      </c>
      <c r="O5" s="13">
        <f>N5*VLOOKUP('Données projet'!$B$9,Paramètres!$A$1:$I$89,3,0)*VLOOKUP('Données projet'!$B$9,Paramètres!$A$1:$I$89,5,0)</f>
        <v>1.0526624272704415</v>
      </c>
      <c r="P5" s="13">
        <f t="shared" ref="P5:P68" si="33">EXP(-1.0587+0.8836*LN(O5)+0.284)</f>
        <v>0.48222168139326793</v>
      </c>
      <c r="Q5" s="20">
        <f t="shared" si="2"/>
        <v>2.6732564892559605</v>
      </c>
      <c r="R5" s="59">
        <f t="shared" si="0"/>
        <v>296.00658982258926</v>
      </c>
      <c r="S5" s="59">
        <f ca="1">AVERAGE(OFFSET($R$3,0,0,'Données projet'!$E$9+1,1))-AVERAGE(OFFSET($H$3,0,0,'Données projet'!$E$9+1,1))</f>
        <v>235.66314579622622</v>
      </c>
      <c r="T5" s="59">
        <f t="shared" ref="T5:T68" si="34">$T$3</f>
        <v>231.1613577327077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7.1952941176470588</v>
      </c>
      <c r="N6" s="13">
        <f>IF('Données projet'!$A$36&gt;35,N5+M6-V5,IF(A6&lt;'Données projet'!$A$36,$K$205^A6,IF(A6='Données projet'!$A$36,'Données projet'!$B$36,N5+M6-V5)))</f>
        <v>2.3355109450773996</v>
      </c>
      <c r="O6" s="13">
        <f>N6*VLOOKUP('Données projet'!$B$9,Paramètres!$A$1:$I$89,3,0)*VLOOKUP('Données projet'!$B$9,Paramètres!$A$1:$I$89,5,0)</f>
        <v>1.3966355451562853</v>
      </c>
      <c r="P6" s="13">
        <f t="shared" si="33"/>
        <v>0.61908101217040834</v>
      </c>
      <c r="Q6" s="20">
        <f t="shared" si="2"/>
        <v>3.5107063373439913</v>
      </c>
      <c r="R6" s="59">
        <f t="shared" si="0"/>
        <v>296.84403967067732</v>
      </c>
      <c r="S6" s="59">
        <f ca="1">AVERAGE(OFFSET($R$3,0,0,'Données projet'!$E$9+1,1))-AVERAGE(OFFSET($H$3,0,0,'Données projet'!$E$9+1,1))</f>
        <v>235.66314579622622</v>
      </c>
      <c r="T6" s="59">
        <f t="shared" si="34"/>
        <v>231.1613577327077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7.1952941176470588</v>
      </c>
      <c r="N7" s="13">
        <f>IF('Données projet'!$A$36&gt;35,N6+M7-V6,IF(A7&lt;'Données projet'!$A$36,$K$205^A7,IF(A7='Données projet'!$A$36,'Données projet'!$B$36,N6+M7-V6)))</f>
        <v>3.09867391244756</v>
      </c>
      <c r="O7" s="13">
        <f>N7*VLOOKUP('Données projet'!$B$9,Paramètres!$A$1:$I$89,3,0)*VLOOKUP('Données projet'!$B$9,Paramètres!$A$1:$I$89,5,0)</f>
        <v>1.8530069996436409</v>
      </c>
      <c r="P7" s="13">
        <f t="shared" si="33"/>
        <v>0.79478238830446668</v>
      </c>
      <c r="Q7" s="20">
        <f t="shared" si="2"/>
        <v>4.6115665173429541</v>
      </c>
      <c r="R7" s="59">
        <f t="shared" si="0"/>
        <v>297.94489985067628</v>
      </c>
      <c r="S7" s="59">
        <f ca="1">AVERAGE(OFFSET($R$3,0,0,'Données projet'!$E$9+1,1))-AVERAGE(OFFSET($H$3,0,0,'Données projet'!$E$9+1,1))</f>
        <v>235.66314579622622</v>
      </c>
      <c r="T7" s="59">
        <f t="shared" si="34"/>
        <v>231.1613577327077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7.1952941176470588</v>
      </c>
      <c r="N8" s="13">
        <f>IF('Données projet'!$A$36&gt;35,N7+M8-V7,IF(A8&lt;'Données projet'!$A$36,$K$205^A8,IF(A8='Données projet'!$A$36,'Données projet'!$B$36,N7+M8-V7)))</f>
        <v>4.1112117397355483</v>
      </c>
      <c r="O8" s="13">
        <f>N8*VLOOKUP('Données projet'!$B$9,Paramètres!$A$1:$I$89,3,0)*VLOOKUP('Données projet'!$B$9,Paramètres!$A$1:$I$89,5,0)</f>
        <v>2.4585046203618579</v>
      </c>
      <c r="P8" s="13">
        <f t="shared" si="33"/>
        <v>1.0203495703161323</v>
      </c>
      <c r="Q8" s="20">
        <f t="shared" si="2"/>
        <v>6.0590043820974993</v>
      </c>
      <c r="R8" s="59">
        <f t="shared" si="0"/>
        <v>299.39233771543081</v>
      </c>
      <c r="S8" s="59">
        <f ca="1">AVERAGE(OFFSET($R$3,0,0,'Données projet'!$E$9+1,1))-AVERAGE(OFFSET($H$3,0,0,'Données projet'!$E$9+1,1))</f>
        <v>235.66314579622622</v>
      </c>
      <c r="T8" s="59">
        <f t="shared" si="34"/>
        <v>231.1613577327077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7.1952941176470588</v>
      </c>
      <c r="N9" s="13">
        <f>IF('Données projet'!$A$36&gt;35,N8+M9-V8,IF(A9&lt;'Données projet'!$A$36,$K$205^A9,IF(A9='Données projet'!$A$36,'Données projet'!$B$36,N8+M9-V8)))</f>
        <v>5.4546113745763272</v>
      </c>
      <c r="O9" s="13">
        <f>N9*VLOOKUP('Données projet'!$B$9,Paramètres!$A$1:$I$89,3,0)*VLOOKUP('Données projet'!$B$9,Paramètres!$A$1:$I$89,5,0)</f>
        <v>3.2618576019966441</v>
      </c>
      <c r="P9" s="13">
        <f t="shared" si="33"/>
        <v>1.3099349720938758</v>
      </c>
      <c r="Q9" s="20">
        <f t="shared" si="2"/>
        <v>7.962538733207654</v>
      </c>
      <c r="R9" s="59">
        <f t="shared" si="0"/>
        <v>301.29587206654099</v>
      </c>
      <c r="S9" s="59">
        <f ca="1">AVERAGE(OFFSET($R$3,0,0,'Données projet'!$E$9+1,1))-AVERAGE(OFFSET($H$3,0,0,'Données projet'!$E$9+1,1))</f>
        <v>235.66314579622622</v>
      </c>
      <c r="T9" s="59">
        <f t="shared" si="34"/>
        <v>231.1613577327077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7.1952941176470588</v>
      </c>
      <c r="N10" s="13">
        <f>IF('Données projet'!$A$36&gt;35,N9+M10-V9,IF(A10&lt;'Données projet'!$A$36,$K$205^A10,IF(A10='Données projet'!$A$36,'Données projet'!$B$36,N9+M10-V9)))</f>
        <v>7.2369868377470841</v>
      </c>
      <c r="O10" s="13">
        <f>N10*VLOOKUP('Données projet'!$B$9,Paramètres!$A$1:$I$89,3,0)*VLOOKUP('Données projet'!$B$9,Paramètres!$A$1:$I$89,5,0)</f>
        <v>4.3277181289727569</v>
      </c>
      <c r="P10" s="13">
        <f t="shared" si="33"/>
        <v>1.6817076039762937</v>
      </c>
      <c r="Q10" s="20">
        <f t="shared" si="2"/>
        <v>10.466416484886262</v>
      </c>
      <c r="R10" s="59">
        <f t="shared" si="0"/>
        <v>303.7997498182196</v>
      </c>
      <c r="S10" s="59">
        <f ca="1">AVERAGE(OFFSET($R$3,0,0,'Données projet'!$E$9+1,1))-AVERAGE(OFFSET($H$3,0,0,'Données projet'!$E$9+1,1))</f>
        <v>235.66314579622622</v>
      </c>
      <c r="T10" s="59">
        <f t="shared" si="34"/>
        <v>231.1613577327077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7.1952941176470588</v>
      </c>
      <c r="N11" s="13">
        <f>IF('Données projet'!$A$36&gt;35,N10+M11-V10,IF(A11&lt;'Données projet'!$A$36,$K$205^A11,IF(A11='Données projet'!$A$36,'Données projet'!$B$36,N10+M11-V10)))</f>
        <v>9.6017800156830688</v>
      </c>
      <c r="O11" s="13">
        <f>N11*VLOOKUP('Données projet'!$B$9,Paramètres!$A$1:$I$89,3,0)*VLOOKUP('Données projet'!$B$9,Paramètres!$A$1:$I$89,5,0)</f>
        <v>5.7418644493784763</v>
      </c>
      <c r="P11" s="13">
        <f t="shared" si="33"/>
        <v>2.1589930229521412</v>
      </c>
      <c r="Q11" s="20">
        <f t="shared" si="2"/>
        <v>13.760660097642491</v>
      </c>
      <c r="R11" s="59">
        <f t="shared" si="0"/>
        <v>307.09399343097579</v>
      </c>
      <c r="S11" s="59">
        <f ca="1">AVERAGE(OFFSET($R$3,0,0,'Données projet'!$E$9+1,1))-AVERAGE(OFFSET($H$3,0,0,'Données projet'!$E$9+1,1))</f>
        <v>235.66314579622622</v>
      </c>
      <c r="T11" s="59">
        <f t="shared" si="34"/>
        <v>231.1613577327077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7.1952941176470588</v>
      </c>
      <c r="N12" s="13">
        <f>IF('Données projet'!$A$36&gt;35,N11+M12-V11,IF(A12&lt;'Données projet'!$A$36,$K$205^A12,IF(A12='Données projet'!$A$36,'Données projet'!$B$36,N11+M12-V11)))</f>
        <v>12.739304566466691</v>
      </c>
      <c r="O12" s="13">
        <f>N12*VLOOKUP('Données projet'!$B$9,Paramètres!$A$1:$I$89,3,0)*VLOOKUP('Données projet'!$B$9,Paramètres!$A$1:$I$89,5,0)</f>
        <v>7.6181041307470823</v>
      </c>
      <c r="P12" s="13">
        <f t="shared" si="33"/>
        <v>2.7717368121157255</v>
      </c>
      <c r="Q12" s="20">
        <f t="shared" si="2"/>
        <v>18.095639642152722</v>
      </c>
      <c r="R12" s="59">
        <f t="shared" si="0"/>
        <v>311.42897297548603</v>
      </c>
      <c r="S12" s="59">
        <f ca="1">AVERAGE(OFFSET($R$3,0,0,'Données projet'!$E$9+1,1))-AVERAGE(OFFSET($H$3,0,0,'Données projet'!$E$9+1,1))</f>
        <v>235.66314579622622</v>
      </c>
      <c r="T12" s="59">
        <f t="shared" si="34"/>
        <v>231.1613577327077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7.1952941176470588</v>
      </c>
      <c r="N13" s="13">
        <f>IF('Données projet'!$A$36&gt;35,N12+M13-V12,IF(A13&lt;'Données projet'!$A$36,$K$205^A13,IF(A13='Données projet'!$A$36,'Données projet'!$B$36,N12+M13-V12)))</f>
        <v>16.902061968939393</v>
      </c>
      <c r="O13" s="13">
        <f>N13*VLOOKUP('Données projet'!$B$9,Paramètres!$A$1:$I$89,3,0)*VLOOKUP('Données projet'!$B$9,Paramètres!$A$1:$I$89,5,0)</f>
        <v>10.107433057425759</v>
      </c>
      <c r="P13" s="13">
        <f t="shared" si="33"/>
        <v>3.5583834102125023</v>
      </c>
      <c r="Q13" s="20">
        <f t="shared" si="2"/>
        <v>23.80129701446997</v>
      </c>
      <c r="R13" s="59">
        <f t="shared" si="0"/>
        <v>317.1346303478033</v>
      </c>
      <c r="S13" s="59">
        <f ca="1">AVERAGE(OFFSET($R$3,0,0,'Données projet'!$E$9+1,1))-AVERAGE(OFFSET($H$3,0,0,'Données projet'!$E$9+1,1))</f>
        <v>235.66314579622622</v>
      </c>
      <c r="T13" s="59">
        <f t="shared" si="34"/>
        <v>231.1613577327077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7.1952941176470588</v>
      </c>
      <c r="N14" s="13">
        <f>IF('Données projet'!$A$36&gt;35,N13+M14-V13,IF(A14&lt;'Données projet'!$A$36,$K$205^A14,IF(A14='Données projet'!$A$36,'Données projet'!$B$36,N13+M14-V13)))</f>
        <v>22.425062318853254</v>
      </c>
      <c r="O14" s="13">
        <f>N14*VLOOKUP('Données projet'!$B$9,Paramètres!$A$1:$I$89,3,0)*VLOOKUP('Données projet'!$B$9,Paramètres!$A$1:$I$89,5,0)</f>
        <v>13.410187266674248</v>
      </c>
      <c r="P14" s="13">
        <f t="shared" si="33"/>
        <v>4.5682881717800319</v>
      </c>
      <c r="Q14" s="20">
        <f t="shared" si="2"/>
        <v>31.312511388641202</v>
      </c>
      <c r="R14" s="59">
        <f t="shared" si="0"/>
        <v>324.64584472197453</v>
      </c>
      <c r="S14" s="59">
        <f ca="1">AVERAGE(OFFSET($R$3,0,0,'Données projet'!$E$9+1,1))-AVERAGE(OFFSET($H$3,0,0,'Données projet'!$E$9+1,1))</f>
        <v>235.66314579622622</v>
      </c>
      <c r="T14" s="59">
        <f t="shared" si="34"/>
        <v>231.1613577327077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7.1952941176470588</v>
      </c>
      <c r="N15" s="13">
        <f>IF('Données projet'!$A$36&gt;35,N14+M15-V14,IF(A15&lt;'Données projet'!$A$36,$K$205^A15,IF(A15='Données projet'!$A$36,'Données projet'!$B$36,N14+M15-V14)))</f>
        <v>29.752785247657449</v>
      </c>
      <c r="O15" s="13">
        <f>N15*VLOOKUP('Données projet'!$B$9,Paramètres!$A$1:$I$89,3,0)*VLOOKUP('Données projet'!$B$9,Paramètres!$A$1:$I$89,5,0)</f>
        <v>17.792165578099155</v>
      </c>
      <c r="P15" s="13">
        <f t="shared" si="33"/>
        <v>5.8648139940544119</v>
      </c>
      <c r="Q15" s="20">
        <f t="shared" si="2"/>
        <v>41.202572754834129</v>
      </c>
      <c r="R15" s="59">
        <f t="shared" si="0"/>
        <v>334.53590608816745</v>
      </c>
      <c r="S15" s="59">
        <f ca="1">AVERAGE(OFFSET($R$3,0,0,'Données projet'!$E$9+1,1))-AVERAGE(OFFSET($H$3,0,0,'Données projet'!$E$9+1,1))</f>
        <v>235.66314579622622</v>
      </c>
      <c r="T15" s="59">
        <f t="shared" si="34"/>
        <v>231.1613577327077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7.1952941176470588</v>
      </c>
      <c r="N16" s="13">
        <f>IF('Données projet'!$A$36&gt;35,N15+M16-V15,IF(A16&lt;'Données projet'!$A$36,$K$205^A16,IF(A16='Données projet'!$A$36,'Données projet'!$B$36,N15+M16-V15)))</f>
        <v>39.474950722834407</v>
      </c>
      <c r="O16" s="13">
        <f>N16*VLOOKUP('Données projet'!$B$9,Paramètres!$A$1:$I$89,3,0)*VLOOKUP('Données projet'!$B$9,Paramètres!$A$1:$I$89,5,0)</f>
        <v>23.606020532254977</v>
      </c>
      <c r="P16" s="13">
        <f t="shared" si="33"/>
        <v>7.5293067975293804</v>
      </c>
      <c r="Q16" s="20">
        <f t="shared" si="2"/>
        <v>54.227361766041078</v>
      </c>
      <c r="R16" s="59">
        <f t="shared" si="0"/>
        <v>347.56069509937441</v>
      </c>
      <c r="S16" s="59">
        <f ca="1">AVERAGE(OFFSET($R$3,0,0,'Données projet'!$E$9+1,1))-AVERAGE(OFFSET($H$3,0,0,'Données projet'!$E$9+1,1))</f>
        <v>235.66314579622622</v>
      </c>
      <c r="T16" s="59">
        <f t="shared" si="34"/>
        <v>231.1613577327077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7.1952941176470588</v>
      </c>
      <c r="N17" s="13">
        <f>IF('Données projet'!$A$36&gt;35,N16+M17-V16,IF(A17&lt;'Données projet'!$A$36,$K$205^A17,IF(A17='Données projet'!$A$36,'Données projet'!$B$36,N16+M17-V16)))</f>
        <v>52.373978489724536</v>
      </c>
      <c r="O17" s="13">
        <f>N17*VLOOKUP('Données projet'!$B$9,Paramètres!$A$1:$I$89,3,0)*VLOOKUP('Données projet'!$B$9,Paramètres!$A$1:$I$89,5,0)</f>
        <v>31.319639136855276</v>
      </c>
      <c r="P17" s="13">
        <f t="shared" si="33"/>
        <v>9.6661992876148126</v>
      </c>
      <c r="Q17" s="20">
        <f t="shared" si="2"/>
        <v>71.383668589285392</v>
      </c>
      <c r="R17" s="59">
        <f t="shared" si="0"/>
        <v>364.71700192261869</v>
      </c>
      <c r="S17" s="59">
        <f ca="1">AVERAGE(OFFSET($R$3,0,0,'Données projet'!$E$9+1,1))-AVERAGE(OFFSET($H$3,0,0,'Données projet'!$E$9+1,1))</f>
        <v>235.66314579622622</v>
      </c>
      <c r="T17" s="59">
        <f t="shared" si="34"/>
        <v>231.1613577327077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7.1952941176470588</v>
      </c>
      <c r="N18" s="13">
        <f>IF('Données projet'!$A$36&gt;35,N17+M18-V17,IF(A18&lt;'Données projet'!$A$36,$K$205^A18,IF(A18='Données projet'!$A$36,'Données projet'!$B$36,N17+M18-V17)))</f>
        <v>69.487955592441367</v>
      </c>
      <c r="O18" s="13">
        <f>N18*VLOOKUP('Données projet'!$B$9,Paramètres!$A$1:$I$89,3,0)*VLOOKUP('Données projet'!$B$9,Paramètres!$A$1:$I$89,5,0)</f>
        <v>41.553797444279937</v>
      </c>
      <c r="P18" s="13">
        <f t="shared" si="33"/>
        <v>12.409563214842624</v>
      </c>
      <c r="Q18" s="20">
        <f t="shared" si="2"/>
        <v>93.986186481305097</v>
      </c>
      <c r="R18" s="59">
        <f t="shared" si="0"/>
        <v>387.3195198146384</v>
      </c>
      <c r="S18" s="59">
        <f ca="1">AVERAGE(OFFSET($R$3,0,0,'Données projet'!$E$9+1,1))-AVERAGE(OFFSET($H$3,0,0,'Données projet'!$E$9+1,1))</f>
        <v>235.66314579622622</v>
      </c>
      <c r="T18" s="59">
        <f t="shared" si="34"/>
        <v>231.1613577327077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7.1952941176470588</v>
      </c>
      <c r="N19" s="13">
        <f>IF('Données projet'!$A$36&gt;35,N18+M19-V18,IF(A19&lt;'Données projet'!$A$36,$K$205^A19,IF(A19='Données projet'!$A$36,'Données projet'!$B$36,N18+M19-V18)))</f>
        <v>92.194179469570756</v>
      </c>
      <c r="O19" s="13">
        <f>N19*VLOOKUP('Données projet'!$B$9,Paramètres!$A$1:$I$89,3,0)*VLOOKUP('Données projet'!$B$9,Paramètres!$A$1:$I$89,5,0)</f>
        <v>55.13211932280332</v>
      </c>
      <c r="P19" s="13">
        <f t="shared" si="33"/>
        <v>15.931521231978957</v>
      </c>
      <c r="Q19" s="20">
        <f t="shared" si="2"/>
        <v>123.76917396624582</v>
      </c>
      <c r="R19" s="59">
        <f t="shared" si="0"/>
        <v>417.10250729957914</v>
      </c>
      <c r="S19" s="59">
        <f ca="1">AVERAGE(OFFSET($R$3,0,0,'Données projet'!$E$9+1,1))-AVERAGE(OFFSET($H$3,0,0,'Données projet'!$E$9+1,1))</f>
        <v>235.66314579622622</v>
      </c>
      <c r="T19" s="59">
        <f t="shared" si="34"/>
        <v>231.1613577327077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122.32</v>
      </c>
      <c r="L20" s="12">
        <f>VLOOKUP(A20,'Données projet'!$A$35:$I$55,9,0)</f>
        <v>7.1952941176470588</v>
      </c>
      <c r="M20" s="12">
        <f t="array" ref="M20">INDEX(L:L,MIN(IF(ISNUMBER(L20:L216),ROW(L20:L216),"")))</f>
        <v>7.1952941176470588</v>
      </c>
      <c r="N20" s="13">
        <f>IF('Données projet'!$A$36&gt;35,N19+M20-V19,IF(A20&lt;'Données projet'!$A$36,$K$205^A20,IF(A20='Données projet'!$A$36,'Données projet'!$B$36,N19+M20-V19)))</f>
        <v>122.32</v>
      </c>
      <c r="O20" s="13">
        <f>N20*VLOOKUP('Données projet'!$B$9,Paramètres!$A$1:$I$89,3,0)*VLOOKUP('Données projet'!$B$9,Paramètres!$A$1:$I$89,5,0)</f>
        <v>73.147360000000006</v>
      </c>
      <c r="P20" s="13">
        <f t="shared" si="33"/>
        <v>20.453046120222783</v>
      </c>
      <c r="Q20" s="20">
        <f t="shared" si="2"/>
        <v>163.02070732605469</v>
      </c>
      <c r="R20" s="59">
        <f t="shared" si="0"/>
        <v>456.35404065938803</v>
      </c>
      <c r="S20" s="59">
        <f ca="1">AVERAGE(OFFSET($R$3,0,0,'Données projet'!$E$9+1,1))-AVERAGE(OFFSET($H$3,0,0,'Données projet'!$E$9+1,1))</f>
        <v>235.66314579622622</v>
      </c>
      <c r="T20" s="59">
        <f t="shared" si="34"/>
        <v>231.1613577327077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41</v>
      </c>
      <c r="W20" s="16">
        <f>IF(ISNA(VLOOKUP(A20,'Données projet'!$A$35:$I$55,5,0)),0%,VLOOKUP(A20,'Données projet'!$A$35:$I$55,5,0)*VLOOKUP('Données projet'!$B$9,Paramètres!$A$1:$I$89,7,0))</f>
        <v>9.0000000000000011E-2</v>
      </c>
      <c r="X20" s="16">
        <f>IF(ISNA(VLOOKUP(A20,'Données projet'!$A$35:$I$55,6,0)),0%,VLOOKUP(A20,'Données projet'!$A$35:$I$55,6,0)*VLOOKUP('Données projet'!$B$9,Paramètres!$A$1:$I$89,7,0))</f>
        <v>0.20250000000000001</v>
      </c>
      <c r="Y20" s="16">
        <f>IF(ISNA(VLOOKUP(A20,'Données projet'!$A$35:$I$55,7,0)),0%,VLOOKUP(A20,'Données projet'!$A$35:$I$55,7,0))</f>
        <v>0.35</v>
      </c>
      <c r="Z20" s="21">
        <f>EXP(-LN(2)/35)*Z19+(1-EXP(-LN(2)/35))/(LN(2)/35)*V20*W20*VLOOKUP('Données projet'!$B$9,Paramètres!$A$1:$I$89,3,0)*0.475*44/12</f>
        <v>2.9272236586619989</v>
      </c>
      <c r="AA20" s="21">
        <f>EXP(-LN(2)/25)*AA19+(1-EXP(-LN(2)/25))/(LN(2)/25)*Calculateur!V20*Calculateur!X20*VLOOKUP('Données projet'!$B$9,Paramètres!$A$1:$I$89,3,0)*0.475*44/12</f>
        <v>6.5603206434559276</v>
      </c>
      <c r="AB20" s="21">
        <f>EXP(-LN(2)/2)*AB19+(1-EXP(-LN(2)/2))/(LN(2)/2)*V20*Y20*VLOOKUP('Données projet'!$B$9,Paramètres!$A$1:$I$89,3,0)*0.475*44/12</f>
        <v>9.7160250147638632</v>
      </c>
      <c r="AC20" s="22">
        <f t="shared" si="3"/>
        <v>19.20356931688179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17.72666666666667</v>
      </c>
      <c r="N21" s="13">
        <f>IF('Données projet'!$A$36&gt;35,N20+M21-V20,IF(A21&lt;'Données projet'!$A$36,$K$205^A21,IF(A21='Données projet'!$A$36,'Données projet'!$B$36,N20+M21-V20)))</f>
        <v>99.046666666666653</v>
      </c>
      <c r="O21" s="13">
        <f>N21*VLOOKUP('Données projet'!$B$9,Paramètres!$A$1:$I$89,3,0)*VLOOKUP('Données projet'!$B$9,Paramètres!$A$1:$I$89,5,0)</f>
        <v>59.229906666666658</v>
      </c>
      <c r="P21" s="13">
        <f t="shared" si="33"/>
        <v>16.973419114868605</v>
      </c>
      <c r="Q21" s="20">
        <f t="shared" si="2"/>
        <v>132.72079240284057</v>
      </c>
      <c r="R21" s="59">
        <f t="shared" si="0"/>
        <v>426.05412573617389</v>
      </c>
      <c r="S21" s="59">
        <f ca="1">AVERAGE(OFFSET($R$3,0,0,'Données projet'!$E$9+1,1))-AVERAGE(OFFSET($H$3,0,0,'Données projet'!$E$9+1,1))</f>
        <v>235.66314579622622</v>
      </c>
      <c r="T21" s="59">
        <f t="shared" si="34"/>
        <v>231.1613577327077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2.8698225881457722</v>
      </c>
      <c r="AA21" s="21">
        <f>EXP(-LN(2)/25)*AA20+(1-EXP(-LN(2)/25))/(LN(2)/25)*Calculateur!V21*Calculateur!X21*VLOOKUP('Données projet'!$B$9,Paramètres!$A$1:$I$89,3,0)*0.475*44/12</f>
        <v>6.3809283304683566</v>
      </c>
      <c r="AB21" s="21">
        <f>EXP(-LN(2)/2)*AB20+(1-EXP(-LN(2)/2))/(LN(2)/2)*V21*Y21*VLOOKUP('Données projet'!$B$9,Paramètres!$A$1:$I$89,3,0)*0.475*44/12</f>
        <v>6.8702671741176538</v>
      </c>
      <c r="AC21" s="22">
        <f t="shared" si="3"/>
        <v>16.121018092731781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17.72666666666667</v>
      </c>
      <c r="N22" s="13">
        <f>IF('Données projet'!$A$36&gt;35,N21+M22-V21,IF(A22&lt;'Données projet'!$A$36,$K$205^A22,IF(A22='Données projet'!$A$36,'Données projet'!$B$36,N21+M22-V21)))</f>
        <v>116.77333333333333</v>
      </c>
      <c r="O22" s="13">
        <f>N22*VLOOKUP('Données projet'!$B$9,Paramètres!$A$1:$I$89,3,0)*VLOOKUP('Données projet'!$B$9,Paramètres!$A$1:$I$89,5,0)</f>
        <v>69.830453333333338</v>
      </c>
      <c r="P22" s="13">
        <f t="shared" si="33"/>
        <v>19.631347217825276</v>
      </c>
      <c r="Q22" s="20">
        <f t="shared" si="2"/>
        <v>155.8126359599346</v>
      </c>
      <c r="R22" s="59">
        <f t="shared" si="0"/>
        <v>449.14596929326791</v>
      </c>
      <c r="S22" s="59">
        <f ca="1">AVERAGE(OFFSET($R$3,0,0,'Données projet'!$E$9+1,1))-AVERAGE(OFFSET($H$3,0,0,'Données projet'!$E$9+1,1))</f>
        <v>235.66314579622622</v>
      </c>
      <c r="T22" s="59">
        <f t="shared" si="34"/>
        <v>231.1613577327077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2.813547117611173</v>
      </c>
      <c r="AA22" s="21">
        <f>EXP(-LN(2)/25)*AA21+(1-EXP(-LN(2)/25))/(LN(2)/25)*Calculateur!V22*Calculateur!X22*VLOOKUP('Données projet'!$B$9,Paramètres!$A$1:$I$89,3,0)*0.475*44/12</f>
        <v>6.2064415097132626</v>
      </c>
      <c r="AB22" s="21">
        <f>EXP(-LN(2)/2)*AB21+(1-EXP(-LN(2)/2))/(LN(2)/2)*V22*Y22*VLOOKUP('Données projet'!$B$9,Paramètres!$A$1:$I$89,3,0)*0.475*44/12</f>
        <v>4.8580125073819325</v>
      </c>
      <c r="AC22" s="22">
        <f t="shared" si="3"/>
        <v>13.878001134706368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17.72666666666667</v>
      </c>
      <c r="N23" s="13">
        <f>IF('Données projet'!$A$36&gt;35,N22+M23-V22,IF(A23&lt;'Données projet'!$A$36,$K$205^A23,IF(A23='Données projet'!$A$36,'Données projet'!$B$36,N22+M23-V22)))</f>
        <v>134.5</v>
      </c>
      <c r="O23" s="13">
        <f>N23*VLOOKUP('Données projet'!$B$9,Paramètres!$A$1:$I$89,3,0)*VLOOKUP('Données projet'!$B$9,Paramètres!$A$1:$I$89,5,0)</f>
        <v>80.431000000000012</v>
      </c>
      <c r="P23" s="13">
        <f t="shared" si="33"/>
        <v>22.242532892651344</v>
      </c>
      <c r="Q23" s="20">
        <f t="shared" si="2"/>
        <v>178.82306978803445</v>
      </c>
      <c r="R23" s="59">
        <f t="shared" si="0"/>
        <v>472.15640312136776</v>
      </c>
      <c r="S23" s="59">
        <f ca="1">AVERAGE(OFFSET($R$3,0,0,'Données projet'!$E$9+1,1))-AVERAGE(OFFSET($H$3,0,0,'Données projet'!$E$9+1,1))</f>
        <v>235.66314579622622</v>
      </c>
      <c r="T23" s="59">
        <f t="shared" si="34"/>
        <v>231.1613577327077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2.7583751747291094</v>
      </c>
      <c r="AA23" s="21">
        <f>EXP(-LN(2)/25)*AA22+(1-EXP(-LN(2)/25))/(LN(2)/25)*Calculateur!V23*Calculateur!X23*VLOOKUP('Données projet'!$B$9,Paramètres!$A$1:$I$89,3,0)*0.475*44/12</f>
        <v>6.0367260402475793</v>
      </c>
      <c r="AB23" s="21">
        <f>EXP(-LN(2)/2)*AB22+(1-EXP(-LN(2)/2))/(LN(2)/2)*V23*Y23*VLOOKUP('Données projet'!$B$9,Paramètres!$A$1:$I$89,3,0)*0.475*44/12</f>
        <v>3.4351335870588273</v>
      </c>
      <c r="AC23" s="22">
        <f t="shared" si="3"/>
        <v>12.230234802035516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17.72666666666667</v>
      </c>
      <c r="N24" s="13">
        <f>IF('Données projet'!$A$36&gt;35,N23+M24-V23,IF(A24&lt;'Données projet'!$A$36,$K$205^A24,IF(A24='Données projet'!$A$36,'Données projet'!$B$36,N23+M24-V23)))</f>
        <v>152.22666666666666</v>
      </c>
      <c r="O24" s="13">
        <f>N24*VLOOKUP('Données projet'!$B$9,Paramètres!$A$1:$I$89,3,0)*VLOOKUP('Données projet'!$B$9,Paramètres!$A$1:$I$89,5,0)</f>
        <v>91.031546666666671</v>
      </c>
      <c r="P24" s="13">
        <f t="shared" si="33"/>
        <v>24.813843958197563</v>
      </c>
      <c r="Q24" s="20">
        <f t="shared" si="2"/>
        <v>201.76405533830518</v>
      </c>
      <c r="R24" s="59">
        <f t="shared" si="0"/>
        <v>495.0973886716385</v>
      </c>
      <c r="S24" s="59">
        <f ca="1">AVERAGE(OFFSET($R$3,0,0,'Données projet'!$E$9+1,1))-AVERAGE(OFFSET($H$3,0,0,'Données projet'!$E$9+1,1))</f>
        <v>235.66314579622622</v>
      </c>
      <c r="T24" s="59">
        <f t="shared" si="34"/>
        <v>231.1613577327077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2.7042851199954008</v>
      </c>
      <c r="AA24" s="21">
        <f>EXP(-LN(2)/25)*AA23+(1-EXP(-LN(2)/25))/(LN(2)/25)*Calculateur!V24*Calculateur!X24*VLOOKUP('Données projet'!$B$9,Paramètres!$A$1:$I$89,3,0)*0.475*44/12</f>
        <v>5.8716514492193843</v>
      </c>
      <c r="AB24" s="21">
        <f>EXP(-LN(2)/2)*AB23+(1-EXP(-LN(2)/2))/(LN(2)/2)*V24*Y24*VLOOKUP('Données projet'!$B$9,Paramètres!$A$1:$I$89,3,0)*0.475*44/12</f>
        <v>2.4290062536909667</v>
      </c>
      <c r="AC24" s="22">
        <f t="shared" si="3"/>
        <v>11.004942822905752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17.72666666666667</v>
      </c>
      <c r="N25" s="13">
        <f>IF('Données projet'!$A$36&gt;35,N24+M25-V24,IF(A25&lt;'Données projet'!$A$36,$K$205^A25,IF(A25='Données projet'!$A$36,'Données projet'!$B$36,N24+M25-V24)))</f>
        <v>169.95333333333332</v>
      </c>
      <c r="O25" s="13">
        <f>N25*VLOOKUP('Données projet'!$B$9,Paramètres!$A$1:$I$89,3,0)*VLOOKUP('Données projet'!$B$9,Paramètres!$A$1:$I$89,5,0)</f>
        <v>101.63209333333334</v>
      </c>
      <c r="P25" s="13">
        <f t="shared" si="33"/>
        <v>27.35045416777394</v>
      </c>
      <c r="Q25" s="20">
        <f t="shared" si="2"/>
        <v>224.64460356442851</v>
      </c>
      <c r="R25" s="59">
        <f t="shared" si="0"/>
        <v>517.97793689776177</v>
      </c>
      <c r="S25" s="59">
        <f ca="1">AVERAGE(OFFSET($R$3,0,0,'Données projet'!$E$9+1,1))-AVERAGE(OFFSET($H$3,0,0,'Données projet'!$E$9+1,1))</f>
        <v>235.66314579622622</v>
      </c>
      <c r="T25" s="59">
        <f t="shared" si="34"/>
        <v>231.1613577327077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2.6512557382433446</v>
      </c>
      <c r="AA25" s="21">
        <f>EXP(-LN(2)/25)*AA24+(1-EXP(-LN(2)/25))/(LN(2)/25)*Calculateur!V25*Calculateur!X25*VLOOKUP('Données projet'!$B$9,Paramètres!$A$1:$I$89,3,0)*0.475*44/12</f>
        <v>5.7110908315637507</v>
      </c>
      <c r="AB25" s="21">
        <f>EXP(-LN(2)/2)*AB24+(1-EXP(-LN(2)/2))/(LN(2)/2)*V25*Y25*VLOOKUP('Données projet'!$B$9,Paramètres!$A$1:$I$89,3,0)*0.475*44/12</f>
        <v>1.7175667935294141</v>
      </c>
      <c r="AC25" s="22">
        <f t="shared" si="3"/>
        <v>10.079913363336509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187.68</v>
      </c>
      <c r="L26" s="12">
        <f>VLOOKUP(A26,'Données projet'!$A$35:$I$55,9,0)</f>
        <v>17.72666666666667</v>
      </c>
      <c r="M26" s="12">
        <f t="array" ref="M26">INDEX(L:L,MIN(IF(ISNUMBER(L26:L222),ROW(L26:L222),"")))</f>
        <v>17.72666666666667</v>
      </c>
      <c r="N26" s="13">
        <f>IF('Données projet'!$A$36&gt;35,N25+M26-V25,IF(A26&lt;'Données projet'!$A$36,$K$205^A26,IF(A26='Données projet'!$A$36,'Données projet'!$B$36,N25+M26-V25)))</f>
        <v>187.67999999999998</v>
      </c>
      <c r="O26" s="13">
        <f>N26*VLOOKUP('Données projet'!$B$9,Paramètres!$A$1:$I$89,3,0)*VLOOKUP('Données projet'!$B$9,Paramètres!$A$1:$I$89,5,0)</f>
        <v>112.23263999999999</v>
      </c>
      <c r="P26" s="13">
        <f t="shared" si="33"/>
        <v>29.85639523393861</v>
      </c>
      <c r="Q26" s="20">
        <f t="shared" si="2"/>
        <v>247.47173636577637</v>
      </c>
      <c r="R26" s="59">
        <f t="shared" si="0"/>
        <v>540.80506969910971</v>
      </c>
      <c r="S26" s="59">
        <f ca="1">AVERAGE(OFFSET($R$3,0,0,'Données projet'!$E$9+1,1))-AVERAGE(OFFSET($H$3,0,0,'Données projet'!$E$9+1,1))</f>
        <v>235.66314579622622</v>
      </c>
      <c r="T26" s="59">
        <f t="shared" si="34"/>
        <v>231.1613577327077</v>
      </c>
      <c r="U26" s="15">
        <f>IF(ISNA(VLOOKUP(A26,'Données projet'!$A$35:$I$55,3,0)),0,VLOOKUP(A26,'Données projet'!$A$35:$I$55,3,0))</f>
        <v>1</v>
      </c>
      <c r="V26" s="15">
        <f>IF(ISNA(VLOOKUP(A26,'Données projet'!$A$35:$I$55,4,0)),0,VLOOKUP(A26,'Données projet'!$A$35:$I$55,4,0))</f>
        <v>57.75</v>
      </c>
      <c r="W26" s="16">
        <f>IF(ISNA(VLOOKUP(A26,'Données projet'!$A$35:$I$55,5,0)),0%,VLOOKUP(A26,'Données projet'!$A$35:$I$55,5,0)*VLOOKUP('Données projet'!$B$9,Paramètres!$A$1:$I$89,7,0))</f>
        <v>9.0000000000000011E-2</v>
      </c>
      <c r="X26" s="16">
        <f>IF(ISNA(VLOOKUP(A26,'Données projet'!$A$35:$I$55,6,0)),0%,VLOOKUP(A26,'Données projet'!$A$35:$I$55,6,0)*VLOOKUP('Données projet'!$B$9,Paramètres!$A$1:$I$89,7,0))</f>
        <v>0.20250000000000001</v>
      </c>
      <c r="Y26" s="16">
        <f>IF(ISNA(VLOOKUP(A26,'Données projet'!$A$35:$I$55,7,0)),0%,VLOOKUP(A26,'Données projet'!$A$35:$I$55,7,0))</f>
        <v>0.35</v>
      </c>
      <c r="Z26" s="21">
        <f>EXP(-LN(2)/35)*Z25+(1-EXP(-LN(2)/35))/(LN(2)/35)*V26*W26*VLOOKUP('Données projet'!$B$9,Paramètres!$A$1:$I$89,3,0)*0.475*44/12</f>
        <v>6.7223678470966295</v>
      </c>
      <c r="AA26" s="21">
        <f>EXP(-LN(2)/25)*AA25+(1-EXP(-LN(2)/25))/(LN(2)/25)*Calculateur!V26*Calculateur!X26*VLOOKUP('Données projet'!$B$9,Paramètres!$A$1:$I$89,3,0)*0.475*44/12</f>
        <v>14.795372390479956</v>
      </c>
      <c r="AB26" s="21">
        <f>EXP(-LN(2)/2)*AB25+(1-EXP(-LN(2)/2))/(LN(2)/2)*V26*Y26*VLOOKUP('Données projet'!$B$9,Paramètres!$A$1:$I$89,3,0)*0.475*44/12</f>
        <v>14.89987982447019</v>
      </c>
      <c r="AC26" s="22">
        <f t="shared" si="3"/>
        <v>36.41762006204678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19.274999999999991</v>
      </c>
      <c r="N27" s="13">
        <f>IF('Données projet'!$A$36&gt;35,N26+M27-V26,IF(A27&lt;'Données projet'!$A$36,$K$205^A27,IF(A27='Données projet'!$A$36,'Données projet'!$B$36,N26+M27-V26)))</f>
        <v>149.20499999999998</v>
      </c>
      <c r="O27" s="13">
        <f>N27*VLOOKUP('Données projet'!$B$9,Paramètres!$A$1:$I$89,3,0)*VLOOKUP('Données projet'!$B$9,Paramètres!$A$1:$I$89,5,0)</f>
        <v>89.224589999999992</v>
      </c>
      <c r="P27" s="13">
        <f t="shared" si="33"/>
        <v>24.378120698840782</v>
      </c>
      <c r="Q27" s="20">
        <f t="shared" si="2"/>
        <v>197.8580544671477</v>
      </c>
      <c r="R27" s="59">
        <f t="shared" si="0"/>
        <v>491.19138780048104</v>
      </c>
      <c r="S27" s="59">
        <f ca="1">AVERAGE(OFFSET($R$3,0,0,'Données projet'!$E$9+1,1))-AVERAGE(OFFSET($H$3,0,0,'Données projet'!$E$9+1,1))</f>
        <v>235.66314579622622</v>
      </c>
      <c r="T27" s="59">
        <f t="shared" si="34"/>
        <v>231.1613577327077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6.5905463138545866</v>
      </c>
      <c r="AA27" s="21">
        <f>EXP(-LN(2)/25)*AA26+(1-EXP(-LN(2)/25))/(LN(2)/25)*Calculateur!V27*Calculateur!X27*VLOOKUP('Données projet'!$B$9,Paramètres!$A$1:$I$89,3,0)*0.475*44/12</f>
        <v>14.390792154407464</v>
      </c>
      <c r="AB27" s="21">
        <f>EXP(-LN(2)/2)*AB26+(1-EXP(-LN(2)/2))/(LN(2)/2)*V27*Y27*VLOOKUP('Données projet'!$B$9,Paramètres!$A$1:$I$89,3,0)*0.475*44/12</f>
        <v>10.535806062747497</v>
      </c>
      <c r="AC27" s="22">
        <f t="shared" si="3"/>
        <v>31.517144531009549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168.48</v>
      </c>
      <c r="L28" s="12">
        <f>VLOOKUP(A28,'Données projet'!$A$35:$I$55,9,0)</f>
        <v>19.274999999999991</v>
      </c>
      <c r="M28" s="12">
        <f t="array" ref="M28">INDEX(L:L,MIN(IF(ISNUMBER(L28:L224),ROW(L28:L224),"")))</f>
        <v>19.274999999999991</v>
      </c>
      <c r="N28" s="13">
        <f>IF('Données projet'!$A$36&gt;35,N27+M28-V27,IF(A28&lt;'Données projet'!$A$36,$K$205^A28,IF(A28='Données projet'!$A$36,'Données projet'!$B$36,N27+M28-V27)))</f>
        <v>168.47999999999996</v>
      </c>
      <c r="O28" s="13">
        <f>N28*VLOOKUP('Données projet'!$B$9,Paramètres!$A$1:$I$89,3,0)*VLOOKUP('Données projet'!$B$9,Paramètres!$A$1:$I$89,5,0)</f>
        <v>100.75103999999999</v>
      </c>
      <c r="P28" s="13">
        <f t="shared" si="33"/>
        <v>27.140844480453442</v>
      </c>
      <c r="Q28" s="20">
        <f t="shared" si="2"/>
        <v>222.74503213678972</v>
      </c>
      <c r="R28" s="59">
        <f t="shared" si="0"/>
        <v>516.078365470123</v>
      </c>
      <c r="S28" s="59">
        <f ca="1">AVERAGE(OFFSET($R$3,0,0,'Données projet'!$E$9+1,1))-AVERAGE(OFFSET($H$3,0,0,'Données projet'!$E$9+1,1))</f>
        <v>235.66314579622622</v>
      </c>
      <c r="T28" s="59">
        <f t="shared" si="34"/>
        <v>231.1613577327077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6.4613097204762235</v>
      </c>
      <c r="AA28" s="21">
        <f>EXP(-LN(2)/25)*AA27+(1-EXP(-LN(2)/25))/(LN(2)/25)*Calculateur!V28*Calculateur!X28*VLOOKUP('Données projet'!$B$9,Paramètres!$A$1:$I$89,3,0)*0.475*44/12</f>
        <v>13.997275186166323</v>
      </c>
      <c r="AB28" s="21">
        <f>EXP(-LN(2)/2)*AB27+(1-EXP(-LN(2)/2))/(LN(2)/2)*V28*Y28*VLOOKUP('Données projet'!$B$9,Paramètres!$A$1:$I$89,3,0)*0.475*44/12</f>
        <v>7.449939912235096</v>
      </c>
      <c r="AC28" s="22">
        <f t="shared" si="3"/>
        <v>27.908524818877641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18.282500000000006</v>
      </c>
      <c r="N29" s="13">
        <f>IF('Données projet'!$A$36&gt;35,N28+M29-V28,IF(A29&lt;'Données projet'!$A$36,$K$205^A29,IF(A29='Données projet'!$A$36,'Données projet'!$B$36,N28+M29-V28)))</f>
        <v>186.76249999999996</v>
      </c>
      <c r="O29" s="13">
        <f>N29*VLOOKUP('Données projet'!$B$9,Paramètres!$A$1:$I$89,3,0)*VLOOKUP('Données projet'!$B$9,Paramètres!$A$1:$I$89,5,0)</f>
        <v>111.68397499999998</v>
      </c>
      <c r="P29" s="13">
        <f t="shared" si="33"/>
        <v>29.727390713311976</v>
      </c>
      <c r="Q29" s="20">
        <f t="shared" si="2"/>
        <v>246.29146195068498</v>
      </c>
      <c r="R29" s="59">
        <f t="shared" si="0"/>
        <v>539.62479528401832</v>
      </c>
      <c r="S29" s="59">
        <f ca="1">AVERAGE(OFFSET($R$3,0,0,'Données projet'!$E$9+1,1))-AVERAGE(OFFSET($H$3,0,0,'Données projet'!$E$9+1,1))</f>
        <v>235.66314579622622</v>
      </c>
      <c r="T29" s="59">
        <f t="shared" si="34"/>
        <v>231.1613577327077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6.3346073778674716</v>
      </c>
      <c r="AA29" s="21">
        <f>EXP(-LN(2)/25)*AA28+(1-EXP(-LN(2)/25))/(LN(2)/25)*Calculateur!V29*Calculateur!X29*VLOOKUP('Données projet'!$B$9,Paramètres!$A$1:$I$89,3,0)*0.475*44/12</f>
        <v>13.614518960115895</v>
      </c>
      <c r="AB29" s="21">
        <f>EXP(-LN(2)/2)*AB28+(1-EXP(-LN(2)/2))/(LN(2)/2)*V29*Y29*VLOOKUP('Données projet'!$B$9,Paramètres!$A$1:$I$89,3,0)*0.475*44/12</f>
        <v>5.2679030313737494</v>
      </c>
      <c r="AC29" s="22">
        <f t="shared" si="3"/>
        <v>25.217029369357114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18.282500000000006</v>
      </c>
      <c r="N30" s="13">
        <f>IF('Données projet'!$A$36&gt;35,N29+M30-V29,IF(A30&lt;'Données projet'!$A$36,$K$205^A30,IF(A30='Données projet'!$A$36,'Données projet'!$B$36,N29+M30-V29)))</f>
        <v>205.04499999999996</v>
      </c>
      <c r="O30" s="13">
        <f>N30*VLOOKUP('Données projet'!$B$9,Paramètres!$A$1:$I$89,3,0)*VLOOKUP('Données projet'!$B$9,Paramètres!$A$1:$I$89,5,0)</f>
        <v>122.61690999999999</v>
      </c>
      <c r="P30" s="13">
        <f t="shared" si="33"/>
        <v>32.284582133453711</v>
      </c>
      <c r="Q30" s="20">
        <f t="shared" si="2"/>
        <v>269.7867654657652</v>
      </c>
      <c r="R30" s="59">
        <f t="shared" si="0"/>
        <v>563.12009879909851</v>
      </c>
      <c r="S30" s="59">
        <f ca="1">AVERAGE(OFFSET($R$3,0,0,'Données projet'!$E$9+1,1))-AVERAGE(OFFSET($H$3,0,0,'Données projet'!$E$9+1,1))</f>
        <v>235.66314579622622</v>
      </c>
      <c r="T30" s="59">
        <f t="shared" si="34"/>
        <v>231.1613577327077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6.2103895909164795</v>
      </c>
      <c r="AA30" s="21">
        <f>EXP(-LN(2)/25)*AA29+(1-EXP(-LN(2)/25))/(LN(2)/25)*Calculateur!V30*Calculateur!X30*VLOOKUP('Données projet'!$B$9,Paramètres!$A$1:$I$89,3,0)*0.475*44/12</f>
        <v>13.242229223195089</v>
      </c>
      <c r="AB30" s="21">
        <f>EXP(-LN(2)/2)*AB29+(1-EXP(-LN(2)/2))/(LN(2)/2)*V30*Y30*VLOOKUP('Données projet'!$B$9,Paramètres!$A$1:$I$89,3,0)*0.475*44/12</f>
        <v>3.7249699561175484</v>
      </c>
      <c r="AC30" s="22">
        <f t="shared" si="3"/>
        <v>23.177588770229114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18.282500000000006</v>
      </c>
      <c r="N31" s="13">
        <f>IF('Données projet'!$A$36&gt;35,N30+M31-V30,IF(A31&lt;'Données projet'!$A$36,$K$205^A31,IF(A31='Données projet'!$A$36,'Données projet'!$B$36,N30+M31-V30)))</f>
        <v>223.32749999999996</v>
      </c>
      <c r="O31" s="13">
        <f>N31*VLOOKUP('Données projet'!$B$9,Paramètres!$A$1:$I$89,3,0)*VLOOKUP('Données projet'!$B$9,Paramètres!$A$1:$I$89,5,0)</f>
        <v>133.54984499999998</v>
      </c>
      <c r="P31" s="13">
        <f t="shared" si="33"/>
        <v>34.815333747868884</v>
      </c>
      <c r="Q31" s="20">
        <f t="shared" si="2"/>
        <v>293.23601965253823</v>
      </c>
      <c r="R31" s="59">
        <f t="shared" si="0"/>
        <v>586.56935298587155</v>
      </c>
      <c r="S31" s="59">
        <f ca="1">AVERAGE(OFFSET($R$3,0,0,'Données projet'!$E$9+1,1))-AVERAGE(OFFSET($H$3,0,0,'Données projet'!$E$9+1,1))</f>
        <v>235.66314579622622</v>
      </c>
      <c r="T31" s="59">
        <f t="shared" si="34"/>
        <v>231.1613577327077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6.0886076390022277</v>
      </c>
      <c r="AA31" s="21">
        <f>EXP(-LN(2)/25)*AA30+(1-EXP(-LN(2)/25))/(LN(2)/25)*Calculateur!V31*Calculateur!X31*VLOOKUP('Données projet'!$B$9,Paramètres!$A$1:$I$89,3,0)*0.475*44/12</f>
        <v>12.88011976870825</v>
      </c>
      <c r="AB31" s="21">
        <f>EXP(-LN(2)/2)*AB30+(1-EXP(-LN(2)/2))/(LN(2)/2)*V31*Y31*VLOOKUP('Données projet'!$B$9,Paramètres!$A$1:$I$89,3,0)*0.475*44/12</f>
        <v>2.6339515156868751</v>
      </c>
      <c r="AC31" s="22">
        <f t="shared" si="3"/>
        <v>21.602678923397352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241.61</v>
      </c>
      <c r="L32" s="12">
        <f>VLOOKUP(A32,'Données projet'!$A$35:$I$55,9,0)</f>
        <v>18.282500000000006</v>
      </c>
      <c r="M32" s="12">
        <f t="array" ref="M32">INDEX(L:L,MIN(IF(ISNUMBER(L32:L228),ROW(L32:L228),"")))</f>
        <v>18.282500000000006</v>
      </c>
      <c r="N32" s="13">
        <f>IF('Données projet'!$A$36&gt;35,N31+M32-V31,IF(A32&lt;'Données projet'!$A$36,$K$205^A32,IF(A32='Données projet'!$A$36,'Données projet'!$B$36,N31+M32-V31)))</f>
        <v>241.60999999999996</v>
      </c>
      <c r="O32" s="13">
        <f>N32*VLOOKUP('Données projet'!$B$9,Paramètres!$A$1:$I$89,3,0)*VLOOKUP('Données projet'!$B$9,Paramètres!$A$1:$I$89,5,0)</f>
        <v>144.48277999999996</v>
      </c>
      <c r="P32" s="13">
        <f t="shared" si="33"/>
        <v>37.322056105193184</v>
      </c>
      <c r="Q32" s="20">
        <f t="shared" si="2"/>
        <v>316.64342288321137</v>
      </c>
      <c r="R32" s="59">
        <f t="shared" si="0"/>
        <v>609.97675621654469</v>
      </c>
      <c r="S32" s="59">
        <f ca="1">AVERAGE(OFFSET($R$3,0,0,'Données projet'!$E$9+1,1))-AVERAGE(OFFSET($H$3,0,0,'Données projet'!$E$9+1,1))</f>
        <v>235.66314579622622</v>
      </c>
      <c r="T32" s="59">
        <f t="shared" si="34"/>
        <v>231.1613577327077</v>
      </c>
      <c r="U32" s="15">
        <f>IF(ISNA(VLOOKUP(A32,'Données projet'!$A$35:$I$55,3,0)),0,VLOOKUP(A32,'Données projet'!$A$35:$I$55,3,0))</f>
        <v>3</v>
      </c>
      <c r="V32" s="15">
        <f>IF(ISNA(VLOOKUP(A32,'Données projet'!$A$35:$I$55,4,0)),0,VLOOKUP(A32,'Données projet'!$A$35:$I$55,4,0))</f>
        <v>54.64</v>
      </c>
      <c r="W32" s="16">
        <f>IF(ISNA(VLOOKUP(A32,'Données projet'!$A$35:$I$55,5,0)),0%,VLOOKUP(A32,'Données projet'!$A$35:$I$55,5,0)*VLOOKUP('Données projet'!$B$9,Paramètres!$A$1:$I$89,7,0))</f>
        <v>0.18000000000000002</v>
      </c>
      <c r="X32" s="16">
        <f>IF(ISNA(VLOOKUP(A32,'Données projet'!$A$35:$I$55,6,0)),0%,VLOOKUP(A32,'Données projet'!$A$35:$I$55,6,0)*VLOOKUP('Données projet'!$B$9,Paramètres!$A$1:$I$89,7,0))</f>
        <v>0.15300000000000002</v>
      </c>
      <c r="Y32" s="16">
        <f>IF(ISNA(VLOOKUP(A32,'Données projet'!$A$35:$I$55,7,0)),0%,VLOOKUP(A32,'Données projet'!$A$35:$I$55,7,0))</f>
        <v>0.26</v>
      </c>
      <c r="Z32" s="21">
        <f>EXP(-LN(2)/35)*Z31+(1-EXP(-LN(2)/35))/(LN(2)/35)*V32*W32*VLOOKUP('Données projet'!$B$9,Paramètres!$A$1:$I$89,3,0)*0.475*44/12</f>
        <v>13.77133574270446</v>
      </c>
      <c r="AA32" s="21">
        <f>EXP(-LN(2)/25)*AA31+(1-EXP(-LN(2)/25))/(LN(2)/25)*Calculateur!V32*Calculateur!X32*VLOOKUP('Données projet'!$B$9,Paramètres!$A$1:$I$89,3,0)*0.475*44/12</f>
        <v>19.133603966208344</v>
      </c>
      <c r="AB32" s="21">
        <f>EXP(-LN(2)/2)*AB31+(1-EXP(-LN(2)/2))/(LN(2)/2)*V32*Y32*VLOOKUP('Données projet'!$B$9,Paramètres!$A$1:$I$89,3,0)*0.475*44/12</f>
        <v>11.481282035183606</v>
      </c>
      <c r="AC32" s="22">
        <f t="shared" si="3"/>
        <v>44.38622174409641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17.605999999999995</v>
      </c>
      <c r="N33" s="13">
        <f>IF('Données projet'!$A$36&gt;35,N32+M33-V32,IF(A33&lt;'Données projet'!$A$36,$K$205^A33,IF(A33='Données projet'!$A$36,'Données projet'!$B$36,N32+M33-V32)))</f>
        <v>204.57599999999996</v>
      </c>
      <c r="O33" s="13">
        <f>N33*VLOOKUP('Données projet'!$B$9,Paramètres!$A$1:$I$89,3,0)*VLOOKUP('Données projet'!$B$9,Paramètres!$A$1:$I$89,5,0)</f>
        <v>122.33644799999999</v>
      </c>
      <c r="P33" s="13">
        <f t="shared" si="33"/>
        <v>32.219324338477811</v>
      </c>
      <c r="Q33" s="20">
        <f t="shared" si="2"/>
        <v>269.1846368228488</v>
      </c>
      <c r="R33" s="59">
        <f t="shared" si="0"/>
        <v>562.51797015618217</v>
      </c>
      <c r="S33" s="59">
        <f ca="1">AVERAGE(OFFSET($R$3,0,0,'Données projet'!$E$9+1,1))-AVERAGE(OFFSET($H$3,0,0,'Données projet'!$E$9+1,1))</f>
        <v>235.66314579622622</v>
      </c>
      <c r="T33" s="59">
        <f t="shared" si="34"/>
        <v>231.1613577327077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13.501288248475429</v>
      </c>
      <c r="AA33" s="21">
        <f>EXP(-LN(2)/25)*AA32+(1-EXP(-LN(2)/25))/(LN(2)/25)*Calculateur!V33*Calculateur!X33*VLOOKUP('Données projet'!$B$9,Paramètres!$A$1:$I$89,3,0)*0.475*44/12</f>
        <v>18.610394559559875</v>
      </c>
      <c r="AB33" s="21">
        <f>EXP(-LN(2)/2)*AB32+(1-EXP(-LN(2)/2))/(LN(2)/2)*V33*Y33*VLOOKUP('Données projet'!$B$9,Paramètres!$A$1:$I$89,3,0)*0.475*44/12</f>
        <v>8.1184923837936136</v>
      </c>
      <c r="AC33" s="22">
        <f t="shared" si="3"/>
        <v>40.23017519182892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17.605999999999995</v>
      </c>
      <c r="N34" s="13">
        <f>IF('Données projet'!$A$36&gt;35,N33+M34-V33,IF(A34&lt;'Données projet'!$A$36,$K$205^A34,IF(A34='Données projet'!$A$36,'Données projet'!$B$36,N33+M34-V33)))</f>
        <v>222.18199999999996</v>
      </c>
      <c r="O34" s="13">
        <f>N34*VLOOKUP('Données projet'!$B$9,Paramètres!$A$1:$I$89,3,0)*VLOOKUP('Données projet'!$B$9,Paramètres!$A$1:$I$89,5,0)</f>
        <v>132.864836</v>
      </c>
      <c r="P34" s="13">
        <f t="shared" si="33"/>
        <v>34.657496669182599</v>
      </c>
      <c r="Q34" s="20">
        <f t="shared" si="2"/>
        <v>291.76806273215965</v>
      </c>
      <c r="R34" s="59">
        <f t="shared" si="0"/>
        <v>585.10139606549296</v>
      </c>
      <c r="S34" s="59">
        <f ca="1">AVERAGE(OFFSET($R$3,0,0,'Données projet'!$E$9+1,1))-AVERAGE(OFFSET($H$3,0,0,'Données projet'!$E$9+1,1))</f>
        <v>235.66314579622622</v>
      </c>
      <c r="T34" s="59">
        <f t="shared" si="34"/>
        <v>231.1613577327077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13.236536220895522</v>
      </c>
      <c r="AA34" s="21">
        <f>EXP(-LN(2)/25)*AA33+(1-EXP(-LN(2)/25))/(LN(2)/25)*Calculateur!V34*Calculateur!X34*VLOOKUP('Données projet'!$B$9,Paramètres!$A$1:$I$89,3,0)*0.475*44/12</f>
        <v>18.101492341650594</v>
      </c>
      <c r="AB34" s="21">
        <f>EXP(-LN(2)/2)*AB33+(1-EXP(-LN(2)/2))/(LN(2)/2)*V34*Y34*VLOOKUP('Données projet'!$B$9,Paramètres!$A$1:$I$89,3,0)*0.475*44/12</f>
        <v>5.7406410175918037</v>
      </c>
      <c r="AC34" s="22">
        <f t="shared" si="3"/>
        <v>37.07866958013792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17.605999999999995</v>
      </c>
      <c r="N35" s="13">
        <f>IF('Données projet'!$A$36&gt;35,N34+M35-V34,IF(A35&lt;'Données projet'!$A$36,$K$205^A35,IF(A35='Données projet'!$A$36,'Données projet'!$B$36,N34+M35-V34)))</f>
        <v>239.78799999999995</v>
      </c>
      <c r="O35" s="13">
        <f>N35*VLOOKUP('Données projet'!$B$9,Paramètres!$A$1:$I$89,3,0)*VLOOKUP('Données projet'!$B$9,Paramètres!$A$1:$I$89,5,0)</f>
        <v>143.393224</v>
      </c>
      <c r="P35" s="13">
        <f t="shared" si="33"/>
        <v>37.073258704515631</v>
      </c>
      <c r="Q35" s="20">
        <f t="shared" ref="Q35:Q66" si="53">(O35+P35)*0.475*44/12</f>
        <v>314.31245737703142</v>
      </c>
      <c r="R35" s="59">
        <f t="shared" si="0"/>
        <v>607.64579071036474</v>
      </c>
      <c r="S35" s="59">
        <f ca="1">AVERAGE(OFFSET($R$3,0,0,'Données projet'!$E$9+1,1))-AVERAGE(OFFSET($H$3,0,0,'Données projet'!$E$9+1,1))</f>
        <v>235.66314579622622</v>
      </c>
      <c r="T35" s="59">
        <f t="shared" si="34"/>
        <v>231.1613577327077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12.976975819093663</v>
      </c>
      <c r="AA35" s="21">
        <f>EXP(-LN(2)/25)*AA34+(1-EXP(-LN(2)/25))/(LN(2)/25)*Calculateur!V35*Calculateur!X35*VLOOKUP('Données projet'!$B$9,Paramètres!$A$1:$I$89,3,0)*0.475*44/12</f>
        <v>17.606506081652046</v>
      </c>
      <c r="AB35" s="21">
        <f>EXP(-LN(2)/2)*AB34+(1-EXP(-LN(2)/2))/(LN(2)/2)*V35*Y35*VLOOKUP('Données projet'!$B$9,Paramètres!$A$1:$I$89,3,0)*0.475*44/12</f>
        <v>4.0592461918968077</v>
      </c>
      <c r="AC35" s="22">
        <f t="shared" si="3"/>
        <v>34.642728092642514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17.605999999999995</v>
      </c>
      <c r="N36" s="13">
        <f>IF('Données projet'!$A$36&gt;35,N35+M36-V35,IF(A36&lt;'Données projet'!$A$36,$K$205^A36,IF(A36='Données projet'!$A$36,'Données projet'!$B$36,N35+M36-V35)))</f>
        <v>257.39399999999995</v>
      </c>
      <c r="O36" s="13">
        <f>N36*VLOOKUP('Données projet'!$B$9,Paramètres!$A$1:$I$89,3,0)*VLOOKUP('Données projet'!$B$9,Paramètres!$A$1:$I$89,5,0)</f>
        <v>153.92161199999998</v>
      </c>
      <c r="P36" s="13">
        <f t="shared" si="33"/>
        <v>39.468442995886647</v>
      </c>
      <c r="Q36" s="20">
        <f t="shared" si="53"/>
        <v>336.82101245116922</v>
      </c>
      <c r="R36" s="59">
        <f t="shared" si="0"/>
        <v>630.15434578450254</v>
      </c>
      <c r="S36" s="59">
        <f ca="1">AVERAGE(OFFSET($R$3,0,0,'Données projet'!$E$9+1,1))-AVERAGE(OFFSET($H$3,0,0,'Données projet'!$E$9+1,1))</f>
        <v>235.66314579622622</v>
      </c>
      <c r="T36" s="59">
        <f t="shared" si="34"/>
        <v>231.1613577327077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12.722505238454929</v>
      </c>
      <c r="AA36" s="21">
        <f>EXP(-LN(2)/25)*AA35+(1-EXP(-LN(2)/25))/(LN(2)/25)*Calculateur!V36*Calculateur!X36*VLOOKUP('Données projet'!$B$9,Paramètres!$A$1:$I$89,3,0)*0.475*44/12</f>
        <v>17.125055246963356</v>
      </c>
      <c r="AB36" s="21">
        <f>EXP(-LN(2)/2)*AB35+(1-EXP(-LN(2)/2))/(LN(2)/2)*V36*Y36*VLOOKUP('Données projet'!$B$9,Paramètres!$A$1:$I$89,3,0)*0.475*44/12</f>
        <v>2.8703205087959023</v>
      </c>
      <c r="AC36" s="22">
        <f t="shared" si="3"/>
        <v>32.717880994214184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275</v>
      </c>
      <c r="L37" s="12">
        <f>VLOOKUP(A37,'Données projet'!$A$35:$I$55,9,0)</f>
        <v>17.605999999999995</v>
      </c>
      <c r="M37" s="12">
        <f t="array" ref="M37">INDEX(L:L,MIN(IF(ISNUMBER(L37:L233),ROW(L37:L233),"")))</f>
        <v>17.605999999999995</v>
      </c>
      <c r="N37" s="13">
        <f>IF('Données projet'!$A$36&gt;35,N36+M37-V36,IF(A37&lt;'Données projet'!$A$36,$K$205^A37,IF(A37='Données projet'!$A$36,'Données projet'!$B$36,N36+M37-V36)))</f>
        <v>274.99999999999994</v>
      </c>
      <c r="O37" s="13">
        <f>N37*VLOOKUP('Données projet'!$B$9,Paramètres!$A$1:$I$89,3,0)*VLOOKUP('Données projet'!$B$9,Paramètres!$A$1:$I$89,5,0)</f>
        <v>164.45</v>
      </c>
      <c r="P37" s="13">
        <f t="shared" si="33"/>
        <v>41.844617207687371</v>
      </c>
      <c r="Q37" s="20">
        <f t="shared" si="53"/>
        <v>359.29645830338882</v>
      </c>
      <c r="R37" s="59">
        <f t="shared" si="0"/>
        <v>652.62979163672208</v>
      </c>
      <c r="S37" s="59">
        <f ca="1">AVERAGE(OFFSET($R$3,0,0,'Données projet'!$E$9+1,1))-AVERAGE(OFFSET($H$3,0,0,'Données projet'!$E$9+1,1))</f>
        <v>235.66314579622622</v>
      </c>
      <c r="T37" s="59">
        <f t="shared" si="34"/>
        <v>231.1613577327077</v>
      </c>
      <c r="U37" s="15">
        <f>IF(ISNA(VLOOKUP(A37,'Données projet'!$A$35:$I$55,3,0)),0,VLOOKUP(A37,'Données projet'!$A$35:$I$55,3,0))</f>
        <v>4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12.473024670690791</v>
      </c>
      <c r="AA37" s="21">
        <f>EXP(-LN(2)/25)*AA36+(1-EXP(-LN(2)/25))/(LN(2)/25)*Calculateur!V37*Calculateur!X37*VLOOKUP('Données projet'!$B$9,Paramètres!$A$1:$I$89,3,0)*0.475*44/12</f>
        <v>16.656769710667628</v>
      </c>
      <c r="AB37" s="21">
        <f>EXP(-LN(2)/2)*AB36+(1-EXP(-LN(2)/2))/(LN(2)/2)*V37*Y37*VLOOKUP('Données projet'!$B$9,Paramètres!$A$1:$I$89,3,0)*0.475*44/12</f>
        <v>2.0296230959484038</v>
      </c>
      <c r="AC37" s="22">
        <f t="shared" si="3"/>
        <v>31.159417477306825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18.064999999999998</v>
      </c>
      <c r="N38" s="13">
        <f>IF('Données projet'!$A$36&gt;35,N37+M38-V37,IF(A38&lt;'Données projet'!$A$36,$K$205^A38,IF(A38='Données projet'!$A$36,'Données projet'!$B$36,N37+M38-V37)))</f>
        <v>293.06499999999994</v>
      </c>
      <c r="O38" s="13">
        <f>N38*VLOOKUP('Données projet'!$B$9,Paramètres!$A$1:$I$89,3,0)*VLOOKUP('Données projet'!$B$9,Paramètres!$A$1:$I$89,5,0)</f>
        <v>175.25286999999997</v>
      </c>
      <c r="P38" s="13">
        <f t="shared" si="33"/>
        <v>44.264399978038341</v>
      </c>
      <c r="Q38" s="20">
        <f t="shared" si="53"/>
        <v>382.32591187841672</v>
      </c>
      <c r="R38" s="59">
        <f t="shared" si="0"/>
        <v>675.65924521174998</v>
      </c>
      <c r="S38" s="59">
        <f ca="1">AVERAGE(OFFSET($R$3,0,0,'Données projet'!$E$9+1,1))-AVERAGE(OFFSET($H$3,0,0,'Données projet'!$E$9+1,1))</f>
        <v>235.66314579622622</v>
      </c>
      <c r="T38" s="59">
        <f t="shared" si="34"/>
        <v>231.1613577327077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12.228436264692386</v>
      </c>
      <c r="AA38" s="21">
        <f>EXP(-LN(2)/25)*AA37+(1-EXP(-LN(2)/25))/(LN(2)/25)*Calculateur!V38*Calculateur!X38*VLOOKUP('Données projet'!$B$9,Paramètres!$A$1:$I$89,3,0)*0.475*44/12</f>
        <v>16.201289466987973</v>
      </c>
      <c r="AB38" s="21">
        <f>EXP(-LN(2)/2)*AB37+(1-EXP(-LN(2)/2))/(LN(2)/2)*V38*Y38*VLOOKUP('Données projet'!$B$9,Paramètres!$A$1:$I$89,3,0)*0.475*44/12</f>
        <v>1.4351602543979511</v>
      </c>
      <c r="AC38" s="22">
        <f t="shared" si="3"/>
        <v>29.864885986078306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311.13</v>
      </c>
      <c r="L39" s="12">
        <f>VLOOKUP(A39,'Données projet'!$A$35:$I$55,9,0)</f>
        <v>18.064999999999998</v>
      </c>
      <c r="M39" s="12">
        <f t="array" ref="M39">INDEX(L:L,MIN(IF(ISNUMBER(L39:L235),ROW(L39:L235),"")))</f>
        <v>18.064999999999998</v>
      </c>
      <c r="N39" s="13">
        <f>IF('Données projet'!$A$36&gt;35,N38+M39-V38,IF(A39&lt;'Données projet'!$A$36,$K$205^A39,IF(A39='Données projet'!$A$36,'Données projet'!$B$36,N38+M39-V38)))</f>
        <v>311.12999999999994</v>
      </c>
      <c r="O39" s="13">
        <f>N39*VLOOKUP('Données projet'!$B$9,Paramètres!$A$1:$I$89,3,0)*VLOOKUP('Données projet'!$B$9,Paramètres!$A$1:$I$89,5,0)</f>
        <v>186.05573999999996</v>
      </c>
      <c r="P39" s="13">
        <f t="shared" si="33"/>
        <v>46.66687117215772</v>
      </c>
      <c r="Q39" s="20">
        <f t="shared" si="53"/>
        <v>405.32521445817457</v>
      </c>
      <c r="R39" s="59">
        <f t="shared" si="0"/>
        <v>698.65854779150789</v>
      </c>
      <c r="S39" s="59">
        <f ca="1">AVERAGE(OFFSET($R$3,0,0,'Données projet'!$E$9+1,1))-AVERAGE(OFFSET($H$3,0,0,'Données projet'!$E$9+1,1))</f>
        <v>235.66314579622622</v>
      </c>
      <c r="T39" s="59">
        <f t="shared" si="34"/>
        <v>231.1613577327077</v>
      </c>
      <c r="U39" s="15">
        <f>IF(ISNA(VLOOKUP(A39,'Données projet'!$A$35:$I$55,3,0)),0,VLOOKUP(A39,'Données projet'!$A$35:$I$55,3,0))</f>
        <v>5</v>
      </c>
      <c r="V39" s="15">
        <f>IF(ISNA(VLOOKUP(A39,'Données projet'!$A$35:$I$55,4,0)),0,VLOOKUP(A39,'Données projet'!$A$35:$I$55,4,0))</f>
        <v>76</v>
      </c>
      <c r="W39" s="16">
        <f>IF(ISNA(VLOOKUP(A39,'Données projet'!$A$35:$I$55,5,0)),0%,VLOOKUP(A39,'Données projet'!$A$35:$I$55,5,0)*VLOOKUP('Données projet'!$B$9,Paramètres!$A$1:$I$89,7,0))</f>
        <v>0.18000000000000002</v>
      </c>
      <c r="X39" s="16">
        <f>IF(ISNA(VLOOKUP(A39,'Données projet'!$A$35:$I$55,6,0)),0%,VLOOKUP(A39,'Données projet'!$A$35:$I$55,6,0)*VLOOKUP('Données projet'!$B$9,Paramètres!$A$1:$I$89,7,0))</f>
        <v>0.15300000000000002</v>
      </c>
      <c r="Y39" s="16">
        <f>IF(ISNA(VLOOKUP(A39,'Données projet'!$A$35:$I$55,7,0)),0%,VLOOKUP(A39,'Données projet'!$A$35:$I$55,7,0))</f>
        <v>0.26</v>
      </c>
      <c r="Z39" s="21">
        <f>EXP(-LN(2)/35)*Z38+(1-EXP(-LN(2)/35))/(LN(2)/35)*V39*W39*VLOOKUP('Données projet'!$B$9,Paramètres!$A$1:$I$89,3,0)*0.475*44/12</f>
        <v>22.840790334898333</v>
      </c>
      <c r="AA39" s="21">
        <f>EXP(-LN(2)/25)*AA38+(1-EXP(-LN(2)/25))/(LN(2)/25)*Calculateur!V39*Calculateur!X39*VLOOKUP('Données projet'!$B$9,Paramètres!$A$1:$I$89,3,0)*0.475*44/12</f>
        <v>24.946268984708745</v>
      </c>
      <c r="AB39" s="21">
        <f>EXP(-LN(2)/2)*AB38+(1-EXP(-LN(2)/2))/(LN(2)/2)*V39*Y39*VLOOKUP('Données projet'!$B$9,Paramètres!$A$1:$I$89,3,0)*0.475*44/12</f>
        <v>14.393811847049736</v>
      </c>
      <c r="AC39" s="22">
        <f t="shared" si="3"/>
        <v>62.180871166656814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16.534285714285716</v>
      </c>
      <c r="N40" s="13">
        <f>IF('Données projet'!$A$36&gt;35,N39+M40-V39,IF(A40&lt;'Données projet'!$A$36,$K$205^A40,IF(A40='Données projet'!$A$36,'Données projet'!$B$36,N39+M40-V39)))</f>
        <v>251.66428571428565</v>
      </c>
      <c r="O40" s="13">
        <f>N40*VLOOKUP('Données projet'!$B$9,Paramètres!$A$1:$I$89,3,0)*VLOOKUP('Données projet'!$B$9,Paramètres!$A$1:$I$89,5,0)</f>
        <v>150.49524285714284</v>
      </c>
      <c r="P40" s="13">
        <f t="shared" si="33"/>
        <v>38.69110973764014</v>
      </c>
      <c r="Q40" s="20">
        <f t="shared" si="53"/>
        <v>329.49956410258034</v>
      </c>
      <c r="R40" s="59">
        <f t="shared" si="0"/>
        <v>622.83289743591365</v>
      </c>
      <c r="S40" s="59">
        <f ca="1">AVERAGE(OFFSET($R$3,0,0,'Données projet'!$E$9+1,1))-AVERAGE(OFFSET($H$3,0,0,'Données projet'!$E$9+1,1))</f>
        <v>235.66314579622622</v>
      </c>
      <c r="T40" s="59">
        <f t="shared" si="34"/>
        <v>231.1613577327077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22.39289636793746</v>
      </c>
      <c r="AA40" s="21">
        <f>EXP(-LN(2)/25)*AA39+(1-EXP(-LN(2)/25))/(LN(2)/25)*Calculateur!V40*Calculateur!X40*VLOOKUP('Données projet'!$B$9,Paramètres!$A$1:$I$89,3,0)*0.475*44/12</f>
        <v>24.264111947454612</v>
      </c>
      <c r="AB40" s="21">
        <f>EXP(-LN(2)/2)*AB39+(1-EXP(-LN(2)/2))/(LN(2)/2)*V40*Y40*VLOOKUP('Données projet'!$B$9,Paramètres!$A$1:$I$89,3,0)*0.475*44/12</f>
        <v>10.177961964172134</v>
      </c>
      <c r="AC40" s="22">
        <f t="shared" si="3"/>
        <v>56.83497027956421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16.534285714285716</v>
      </c>
      <c r="N41" s="13">
        <f>IF('Données projet'!$A$36&gt;35,N40+M41-V40,IF(A41&lt;'Données projet'!$A$36,$K$205^A41,IF(A41='Données projet'!$A$36,'Données projet'!$B$36,N40+M41-V40)))</f>
        <v>268.19857142857137</v>
      </c>
      <c r="O41" s="13">
        <f>N41*VLOOKUP('Données projet'!$B$9,Paramètres!$A$1:$I$89,3,0)*VLOOKUP('Données projet'!$B$9,Paramètres!$A$1:$I$89,5,0)</f>
        <v>160.3827457142857</v>
      </c>
      <c r="P41" s="13">
        <f t="shared" si="33"/>
        <v>40.928832762511696</v>
      </c>
      <c r="Q41" s="20">
        <f t="shared" si="53"/>
        <v>350.6176658470888</v>
      </c>
      <c r="R41" s="59">
        <f t="shared" si="0"/>
        <v>643.95099918042206</v>
      </c>
      <c r="S41" s="59">
        <f ca="1">AVERAGE(OFFSET($R$3,0,0,'Données projet'!$E$9+1,1))-AVERAGE(OFFSET($H$3,0,0,'Données projet'!$E$9+1,1))</f>
        <v>235.66314579622622</v>
      </c>
      <c r="T41" s="59">
        <f t="shared" si="34"/>
        <v>231.1613577327077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21.953785328480343</v>
      </c>
      <c r="AA41" s="21">
        <f>EXP(-LN(2)/25)*AA40+(1-EXP(-LN(2)/25))/(LN(2)/25)*Calculateur!V41*Calculateur!X41*VLOOKUP('Données projet'!$B$9,Paramètres!$A$1:$I$89,3,0)*0.475*44/12</f>
        <v>23.600608530257276</v>
      </c>
      <c r="AB41" s="21">
        <f>EXP(-LN(2)/2)*AB40+(1-EXP(-LN(2)/2))/(LN(2)/2)*V41*Y41*VLOOKUP('Données projet'!$B$9,Paramètres!$A$1:$I$89,3,0)*0.475*44/12</f>
        <v>7.1969059235248691</v>
      </c>
      <c r="AC41" s="22">
        <f t="shared" si="3"/>
        <v>52.751299782262485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16.534285714285716</v>
      </c>
      <c r="N42" s="13">
        <f>IF('Données projet'!$A$36&gt;35,N41+M42-V41,IF(A42&lt;'Données projet'!$A$36,$K$205^A42,IF(A42='Données projet'!$A$36,'Données projet'!$B$36,N41+M42-V41)))</f>
        <v>284.73285714285709</v>
      </c>
      <c r="O42" s="13">
        <f>N42*VLOOKUP('Données projet'!$B$9,Paramètres!$A$1:$I$89,3,0)*VLOOKUP('Données projet'!$B$9,Paramètres!$A$1:$I$89,5,0)</f>
        <v>170.27024857142854</v>
      </c>
      <c r="P42" s="13">
        <f t="shared" si="33"/>
        <v>43.150544678675374</v>
      </c>
      <c r="Q42" s="20">
        <f t="shared" si="53"/>
        <v>371.70788157726429</v>
      </c>
      <c r="R42" s="59">
        <f t="shared" si="0"/>
        <v>665.04121491059755</v>
      </c>
      <c r="S42" s="59">
        <f ca="1">AVERAGE(OFFSET($R$3,0,0,'Données projet'!$E$9+1,1))-AVERAGE(OFFSET($H$3,0,0,'Données projet'!$E$9+1,1))</f>
        <v>235.66314579622622</v>
      </c>
      <c r="T42" s="59">
        <f t="shared" si="34"/>
        <v>231.1613577327077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21.523284988675695</v>
      </c>
      <c r="AA42" s="21">
        <f>EXP(-LN(2)/25)*AA41+(1-EXP(-LN(2)/25))/(LN(2)/25)*Calculateur!V42*Calculateur!X42*VLOOKUP('Données projet'!$B$9,Paramètres!$A$1:$I$89,3,0)*0.475*44/12</f>
        <v>22.955248648895328</v>
      </c>
      <c r="AB42" s="21">
        <f>EXP(-LN(2)/2)*AB41+(1-EXP(-LN(2)/2))/(LN(2)/2)*V42*Y42*VLOOKUP('Données projet'!$B$9,Paramètres!$A$1:$I$89,3,0)*0.475*44/12</f>
        <v>5.0889809820860679</v>
      </c>
      <c r="AC42" s="22">
        <f t="shared" si="3"/>
        <v>49.567514619657089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16.534285714285716</v>
      </c>
      <c r="N43" s="13">
        <f>IF('Données projet'!$A$36&gt;35,N42+M43-V42,IF(A43&lt;'Données projet'!$A$36,$K$205^A43,IF(A43='Données projet'!$A$36,'Données projet'!$B$36,N42+M43-V42)))</f>
        <v>301.2671428571428</v>
      </c>
      <c r="O43" s="13">
        <f>N43*VLOOKUP('Données projet'!$B$9,Paramètres!$A$1:$I$89,3,0)*VLOOKUP('Données projet'!$B$9,Paramètres!$A$1:$I$89,5,0)</f>
        <v>180.1577514285714</v>
      </c>
      <c r="P43" s="13">
        <f t="shared" si="33"/>
        <v>45.357281163450082</v>
      </c>
      <c r="Q43" s="20">
        <f t="shared" si="53"/>
        <v>392.77201509777075</v>
      </c>
      <c r="R43" s="59">
        <f t="shared" si="0"/>
        <v>686.10534843110406</v>
      </c>
      <c r="S43" s="59">
        <f ca="1">AVERAGE(OFFSET($R$3,0,0,'Données projet'!$E$9+1,1))-AVERAGE(OFFSET($H$3,0,0,'Données projet'!$E$9+1,1))</f>
        <v>235.66314579622622</v>
      </c>
      <c r="T43" s="59">
        <f t="shared" si="34"/>
        <v>231.1613577327077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21.101226497955334</v>
      </c>
      <c r="AA43" s="21">
        <f>EXP(-LN(2)/25)*AA42+(1-EXP(-LN(2)/25))/(LN(2)/25)*Calculateur!V43*Calculateur!X43*VLOOKUP('Données projet'!$B$9,Paramètres!$A$1:$I$89,3,0)*0.475*44/12</f>
        <v>22.327536167427223</v>
      </c>
      <c r="AB43" s="21">
        <f>EXP(-LN(2)/2)*AB42+(1-EXP(-LN(2)/2))/(LN(2)/2)*V43*Y43*VLOOKUP('Données projet'!$B$9,Paramètres!$A$1:$I$89,3,0)*0.475*44/12</f>
        <v>3.598452961762435</v>
      </c>
      <c r="AC43" s="22">
        <f t="shared" si="3"/>
        <v>47.02721562714499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16.534285714285716</v>
      </c>
      <c r="N44" s="13">
        <f>IF('Données projet'!$A$36&gt;35,N43+M44-V43,IF(A44&lt;'Données projet'!$A$36,$K$205^A44,IF(A44='Données projet'!$A$36,'Données projet'!$B$36,N43+M44-V43)))</f>
        <v>317.80142857142852</v>
      </c>
      <c r="O44" s="13">
        <f>N44*VLOOKUP('Données projet'!$B$9,Paramètres!$A$1:$I$89,3,0)*VLOOKUP('Données projet'!$B$9,Paramètres!$A$1:$I$89,5,0)</f>
        <v>190.04525428571426</v>
      </c>
      <c r="P44" s="13">
        <f t="shared" si="33"/>
        <v>47.549957792590313</v>
      </c>
      <c r="Q44" s="20">
        <f t="shared" si="53"/>
        <v>413.81166103638043</v>
      </c>
      <c r="R44" s="59">
        <f t="shared" si="0"/>
        <v>707.14499436971369</v>
      </c>
      <c r="S44" s="59">
        <f ca="1">AVERAGE(OFFSET($R$3,0,0,'Données projet'!$E$9+1,1))-AVERAGE(OFFSET($H$3,0,0,'Données projet'!$E$9+1,1))</f>
        <v>235.66314579622622</v>
      </c>
      <c r="T44" s="59">
        <f t="shared" si="34"/>
        <v>231.1613577327077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20.687444316807738</v>
      </c>
      <c r="AA44" s="21">
        <f>EXP(-LN(2)/25)*AA43+(1-EXP(-LN(2)/25))/(LN(2)/25)*Calculateur!V44*Calculateur!X44*VLOOKUP('Données projet'!$B$9,Paramètres!$A$1:$I$89,3,0)*0.475*44/12</f>
        <v>21.71698851677483</v>
      </c>
      <c r="AB44" s="21">
        <f>EXP(-LN(2)/2)*AB43+(1-EXP(-LN(2)/2))/(LN(2)/2)*V44*Y44*VLOOKUP('Données projet'!$B$9,Paramètres!$A$1:$I$89,3,0)*0.475*44/12</f>
        <v>2.5444904910430344</v>
      </c>
      <c r="AC44" s="22">
        <f t="shared" si="3"/>
        <v>44.948923324625603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16.534285714285716</v>
      </c>
      <c r="N45" s="13">
        <f>IF('Données projet'!$A$36&gt;35,N44+M45-V44,IF(A45&lt;'Données projet'!$A$36,$K$205^A45,IF(A45='Données projet'!$A$36,'Données projet'!$B$36,N44+M45-V44)))</f>
        <v>334.33571428571423</v>
      </c>
      <c r="O45" s="13">
        <f>N45*VLOOKUP('Données projet'!$B$9,Paramètres!$A$1:$I$89,3,0)*VLOOKUP('Données projet'!$B$9,Paramètres!$A$1:$I$89,5,0)</f>
        <v>199.9327571428571</v>
      </c>
      <c r="P45" s="13">
        <f t="shared" si="33"/>
        <v>49.729389491415851</v>
      </c>
      <c r="Q45" s="20">
        <f t="shared" si="53"/>
        <v>434.82823872135873</v>
      </c>
      <c r="R45" s="59">
        <f t="shared" si="0"/>
        <v>728.16157205469199</v>
      </c>
      <c r="S45" s="59">
        <f ca="1">AVERAGE(OFFSET($R$3,0,0,'Données projet'!$E$9+1,1))-AVERAGE(OFFSET($H$3,0,0,'Données projet'!$E$9+1,1))</f>
        <v>235.66314579622622</v>
      </c>
      <c r="T45" s="59">
        <f t="shared" si="34"/>
        <v>231.1613577327077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20.281776151850238</v>
      </c>
      <c r="AA45" s="21">
        <f>EXP(-LN(2)/25)*AA44+(1-EXP(-LN(2)/25))/(LN(2)/25)*Calculateur!V45*Calculateur!X45*VLOOKUP('Données projet'!$B$9,Paramètres!$A$1:$I$89,3,0)*0.475*44/12</f>
        <v>21.12313632373683</v>
      </c>
      <c r="AB45" s="21">
        <f>EXP(-LN(2)/2)*AB44+(1-EXP(-LN(2)/2))/(LN(2)/2)*V45*Y45*VLOOKUP('Données projet'!$B$9,Paramètres!$A$1:$I$89,3,0)*0.475*44/12</f>
        <v>1.7992264808812179</v>
      </c>
      <c r="AC45" s="22">
        <f t="shared" si="3"/>
        <v>43.204138956468285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>
        <f>VLOOKUP(A46,'Données projet'!$A$35:$I$55,2,0)</f>
        <v>350.87</v>
      </c>
      <c r="L46" s="12">
        <f>VLOOKUP(A46,'Données projet'!$A$35:$I$55,9,0)</f>
        <v>16.534285714285716</v>
      </c>
      <c r="M46" s="12">
        <f t="array" ref="M46">INDEX(L:L,MIN(IF(ISNUMBER(L46:L242),ROW(L46:L242),"")))</f>
        <v>16.534285714285716</v>
      </c>
      <c r="N46" s="13">
        <f>IF('Données projet'!$A$36&gt;35,N45+M46-V45,IF(A46&lt;'Données projet'!$A$36,$K$205^A46,IF(A46='Données projet'!$A$36,'Données projet'!$B$36,N45+M46-V45)))</f>
        <v>350.86999999999995</v>
      </c>
      <c r="O46" s="13">
        <f>N46*VLOOKUP('Données projet'!$B$9,Paramètres!$A$1:$I$89,3,0)*VLOOKUP('Données projet'!$B$9,Paramètres!$A$1:$I$89,5,0)</f>
        <v>209.82025999999999</v>
      </c>
      <c r="P46" s="13">
        <f t="shared" si="33"/>
        <v>51.89630602891846</v>
      </c>
      <c r="Q46" s="20">
        <f t="shared" si="53"/>
        <v>455.82301916703295</v>
      </c>
      <c r="R46" s="59">
        <f t="shared" si="0"/>
        <v>749.15635250036621</v>
      </c>
      <c r="S46" s="59">
        <f ca="1">AVERAGE(OFFSET($R$3,0,0,'Données projet'!$E$9+1,1))-AVERAGE(OFFSET($H$3,0,0,'Données projet'!$E$9+1,1))</f>
        <v>235.66314579622622</v>
      </c>
      <c r="T46" s="59">
        <f t="shared" si="34"/>
        <v>231.1613577327077</v>
      </c>
      <c r="U46" s="15">
        <f>IF(ISNA(VLOOKUP(A46,'Données projet'!$A$35:$I$55,3,0)),0,VLOOKUP(A46,'Données projet'!$A$35:$I$55,3,0))</f>
        <v>6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19.884062892174406</v>
      </c>
      <c r="AA46" s="21">
        <f>EXP(-LN(2)/25)*AA45+(1-EXP(-LN(2)/25))/(LN(2)/25)*Calculateur!V46*Calculateur!X46*VLOOKUP('Données projet'!$B$9,Paramètres!$A$1:$I$89,3,0)*0.475*44/12</f>
        <v>20.545523050146784</v>
      </c>
      <c r="AB46" s="21">
        <f>EXP(-LN(2)/2)*AB45+(1-EXP(-LN(2)/2))/(LN(2)/2)*V46*Y46*VLOOKUP('Données projet'!$B$9,Paramètres!$A$1:$I$89,3,0)*0.475*44/12</f>
        <v>1.2722452455215174</v>
      </c>
      <c r="AC46" s="22">
        <f t="shared" si="3"/>
        <v>41.701831187842707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>
        <f>VLOOKUP(A47,'Données projet'!$A$35:$I$55,2,0)</f>
        <v>367.35</v>
      </c>
      <c r="L47" s="12">
        <f>VLOOKUP(A47,'Données projet'!$A$35:$I$55,9,0)</f>
        <v>16.480000000000018</v>
      </c>
      <c r="M47" s="12">
        <f t="array" ref="M47">INDEX(L:L,MIN(IF(ISNUMBER(L47:L243),ROW(L47:L243),"")))</f>
        <v>16.480000000000018</v>
      </c>
      <c r="N47" s="13">
        <f>IF('Données projet'!$A$36&gt;35,N46+M47-V46,IF(A47&lt;'Données projet'!$A$36,$K$205^A47,IF(A47='Données projet'!$A$36,'Données projet'!$B$36,N46+M47-V46)))</f>
        <v>367.34999999999997</v>
      </c>
      <c r="O47" s="13">
        <f>N47*VLOOKUP('Données projet'!$B$9,Paramètres!$A$1:$I$89,3,0)*VLOOKUP('Données projet'!$B$9,Paramètres!$A$1:$I$89,5,0)</f>
        <v>219.67529999999999</v>
      </c>
      <c r="P47" s="13">
        <f t="shared" si="33"/>
        <v>54.044307714561441</v>
      </c>
      <c r="Q47" s="20">
        <f t="shared" si="53"/>
        <v>476.72831676952779</v>
      </c>
      <c r="R47" s="59">
        <f t="shared" si="0"/>
        <v>770.06165010286111</v>
      </c>
      <c r="S47" s="59">
        <f ca="1">AVERAGE(OFFSET($R$3,0,0,'Données projet'!$E$9+1,1))-AVERAGE(OFFSET($H$3,0,0,'Données projet'!$E$9+1,1))</f>
        <v>235.66314579622622</v>
      </c>
      <c r="T47" s="59">
        <f t="shared" si="34"/>
        <v>231.1613577327077</v>
      </c>
      <c r="U47" s="15">
        <f>IF(ISNA(VLOOKUP(A47,'Données projet'!$A$35:$I$55,3,0)),0,VLOOKUP(A47,'Données projet'!$A$35:$I$55,3,0))</f>
        <v>7</v>
      </c>
      <c r="V47" s="15">
        <f>IF(ISNA(VLOOKUP(A47,'Données projet'!$A$35:$I$55,4,0)),0,VLOOKUP(A47,'Données projet'!$A$35:$I$55,4,0))</f>
        <v>78</v>
      </c>
      <c r="W47" s="16">
        <f>IF(ISNA(VLOOKUP(A47,'Données projet'!$A$35:$I$55,5,0)),0%,VLOOKUP(A47,'Données projet'!$A$35:$I$55,5,0)*VLOOKUP('Données projet'!$B$9,Paramètres!$A$1:$I$89,7,0))</f>
        <v>0.27</v>
      </c>
      <c r="X47" s="16">
        <f>IF(ISNA(VLOOKUP(A47,'Données projet'!$A$35:$I$55,6,0)),0%,VLOOKUP(A47,'Données projet'!$A$35:$I$55,6,0)*VLOOKUP('Données projet'!$B$9,Paramètres!$A$1:$I$89,7,0))</f>
        <v>9.9000000000000005E-2</v>
      </c>
      <c r="Y47" s="16">
        <f>IF(ISNA(VLOOKUP(A47,'Données projet'!$A$35:$I$55,7,0)),0%,VLOOKUP(A47,'Données projet'!$A$35:$I$55,7,0))</f>
        <v>0.18</v>
      </c>
      <c r="Z47" s="21">
        <f>EXP(-LN(2)/35)*Z46+(1-EXP(-LN(2)/35))/(LN(2)/35)*V47*W47*VLOOKUP('Données projet'!$B$9,Paramètres!$A$1:$I$89,3,0)*0.475*44/12</f>
        <v>36.200742111010598</v>
      </c>
      <c r="AA47" s="21">
        <f>EXP(-LN(2)/25)*AA46+(1-EXP(-LN(2)/25))/(LN(2)/25)*Calculateur!V47*Calculateur!X47*VLOOKUP('Données projet'!$B$9,Paramètres!$A$1:$I$89,3,0)*0.475*44/12</f>
        <v>26.085336199714337</v>
      </c>
      <c r="AB47" s="21">
        <f>EXP(-LN(2)/2)*AB46+(1-EXP(-LN(2)/2))/(LN(2)/2)*V47*Y47*VLOOKUP('Données projet'!$B$9,Paramètres!$A$1:$I$89,3,0)*0.475*44/12</f>
        <v>10.405745031889014</v>
      </c>
      <c r="AC47" s="22">
        <f t="shared" si="3"/>
        <v>72.691823342613944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14.654999999999994</v>
      </c>
      <c r="N48" s="13">
        <f>IF('Données projet'!$A$36&gt;35,N47+M48-V47,IF(A48&lt;'Données projet'!$A$36,$K$205^A48,IF(A48='Données projet'!$A$36,'Données projet'!$B$36,N47+M48-V47)))</f>
        <v>304.00499999999994</v>
      </c>
      <c r="O48" s="13">
        <f>N48*VLOOKUP('Données projet'!$B$9,Paramètres!$A$1:$I$89,3,0)*VLOOKUP('Données projet'!$B$9,Paramètres!$A$1:$I$89,5,0)</f>
        <v>181.79498999999996</v>
      </c>
      <c r="P48" s="13">
        <f t="shared" si="33"/>
        <v>45.721307450368478</v>
      </c>
      <c r="Q48" s="20">
        <f t="shared" si="53"/>
        <v>396.25755139272502</v>
      </c>
      <c r="R48" s="59">
        <f t="shared" si="0"/>
        <v>689.59088472605833</v>
      </c>
      <c r="S48" s="59">
        <f ca="1">AVERAGE(OFFSET($R$3,0,0,'Données projet'!$E$9+1,1))-AVERAGE(OFFSET($H$3,0,0,'Données projet'!$E$9+1,1))</f>
        <v>235.66314579622622</v>
      </c>
      <c r="T48" s="59">
        <f t="shared" si="34"/>
        <v>231.1613577327077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35.490867638486122</v>
      </c>
      <c r="AA48" s="21">
        <f>EXP(-LN(2)/25)*AA47+(1-EXP(-LN(2)/25))/(LN(2)/25)*Calculateur!V48*Calculateur!X48*VLOOKUP('Données projet'!$B$9,Paramètres!$A$1:$I$89,3,0)*0.475*44/12</f>
        <v>25.372031309564935</v>
      </c>
      <c r="AB48" s="21">
        <f>EXP(-LN(2)/2)*AB47+(1-EXP(-LN(2)/2))/(LN(2)/2)*V48*Y48*VLOOKUP('Données projet'!$B$9,Paramètres!$A$1:$I$89,3,0)*0.475*44/12</f>
        <v>7.3579728753469489</v>
      </c>
      <c r="AC48" s="22">
        <f t="shared" si="3"/>
        <v>68.220871823397999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14.654999999999994</v>
      </c>
      <c r="N49" s="13">
        <f>IF('Données projet'!$A$36&gt;35,N48+M49-V48,IF(A49&lt;'Données projet'!$A$36,$K$205^A49,IF(A49='Données projet'!$A$36,'Données projet'!$B$36,N48+M49-V48)))</f>
        <v>318.65999999999991</v>
      </c>
      <c r="O49" s="13">
        <f>N49*VLOOKUP('Données projet'!$B$9,Paramètres!$A$1:$I$89,3,0)*VLOOKUP('Données projet'!$B$9,Paramètres!$A$1:$I$89,5,0)</f>
        <v>190.55867999999995</v>
      </c>
      <c r="P49" s="13">
        <f t="shared" si="33"/>
        <v>47.663447952423908</v>
      </c>
      <c r="Q49" s="20">
        <f t="shared" si="53"/>
        <v>414.9035395171382</v>
      </c>
      <c r="R49" s="59">
        <f t="shared" si="0"/>
        <v>708.23687285047151</v>
      </c>
      <c r="S49" s="59">
        <f ca="1">AVERAGE(OFFSET($R$3,0,0,'Données projet'!$E$9+1,1))-AVERAGE(OFFSET($H$3,0,0,'Données projet'!$E$9+1,1))</f>
        <v>235.66314579622622</v>
      </c>
      <c r="T49" s="59">
        <f t="shared" si="34"/>
        <v>231.1613577327077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34.794913371387175</v>
      </c>
      <c r="AA49" s="21">
        <f>EXP(-LN(2)/25)*AA48+(1-EXP(-LN(2)/25))/(LN(2)/25)*Calculateur!V49*Calculateur!X49*VLOOKUP('Données projet'!$B$9,Paramètres!$A$1:$I$89,3,0)*0.475*44/12</f>
        <v>24.678231779147744</v>
      </c>
      <c r="AB49" s="21">
        <f>EXP(-LN(2)/2)*AB48+(1-EXP(-LN(2)/2))/(LN(2)/2)*V49*Y49*VLOOKUP('Données projet'!$B$9,Paramètres!$A$1:$I$89,3,0)*0.475*44/12</f>
        <v>5.2028725159445068</v>
      </c>
      <c r="AC49" s="22">
        <f t="shared" si="3"/>
        <v>64.676017666479424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14.654999999999994</v>
      </c>
      <c r="N50" s="13">
        <f>IF('Données projet'!$A$36&gt;35,N49+M50-V49,IF(A50&lt;'Données projet'!$A$36,$K$205^A50,IF(A50='Données projet'!$A$36,'Données projet'!$B$36,N49+M50-V49)))</f>
        <v>333.31499999999988</v>
      </c>
      <c r="O50" s="13">
        <f>N50*VLOOKUP('Données projet'!$B$9,Paramètres!$A$1:$I$89,3,0)*VLOOKUP('Données projet'!$B$9,Paramètres!$A$1:$I$89,5,0)</f>
        <v>199.32236999999995</v>
      </c>
      <c r="P50" s="13">
        <f t="shared" si="33"/>
        <v>49.595215758020977</v>
      </c>
      <c r="Q50" s="20">
        <f t="shared" si="53"/>
        <v>433.53146186188638</v>
      </c>
      <c r="R50" s="59">
        <f t="shared" si="0"/>
        <v>726.8647951952197</v>
      </c>
      <c r="S50" s="59">
        <f ca="1">AVERAGE(OFFSET($R$3,0,0,'Données projet'!$E$9+1,1))-AVERAGE(OFFSET($H$3,0,0,'Données projet'!$E$9+1,1))</f>
        <v>235.66314579622622</v>
      </c>
      <c r="T50" s="59">
        <f t="shared" si="34"/>
        <v>231.1613577327077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34.112606342975852</v>
      </c>
      <c r="AA50" s="21">
        <f>EXP(-LN(2)/25)*AA49+(1-EXP(-LN(2)/25))/(LN(2)/25)*Calculateur!V50*Calculateur!X50*VLOOKUP('Données projet'!$B$9,Paramètres!$A$1:$I$89,3,0)*0.475*44/12</f>
        <v>24.003404233375143</v>
      </c>
      <c r="AB50" s="21">
        <f>EXP(-LN(2)/2)*AB49+(1-EXP(-LN(2)/2))/(LN(2)/2)*V50*Y50*VLOOKUP('Données projet'!$B$9,Paramètres!$A$1:$I$89,3,0)*0.475*44/12</f>
        <v>3.6789864376734744</v>
      </c>
      <c r="AC50" s="22">
        <f t="shared" si="3"/>
        <v>61.794997014024467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14.654999999999994</v>
      </c>
      <c r="N51" s="13">
        <f>IF('Données projet'!$A$36&gt;35,N50+M51-V50,IF(A51&lt;'Données projet'!$A$36,$K$205^A51,IF(A51='Données projet'!$A$36,'Données projet'!$B$36,N50+M51-V50)))</f>
        <v>347.96999999999986</v>
      </c>
      <c r="O51" s="13">
        <f>N51*VLOOKUP('Données projet'!$B$9,Paramètres!$A$1:$I$89,3,0)*VLOOKUP('Données projet'!$B$9,Paramètres!$A$1:$I$89,5,0)</f>
        <v>208.08605999999995</v>
      </c>
      <c r="P51" s="13">
        <f t="shared" si="33"/>
        <v>51.517119046991489</v>
      </c>
      <c r="Q51" s="20">
        <f t="shared" si="53"/>
        <v>452.14220350684337</v>
      </c>
      <c r="R51" s="59">
        <f t="shared" si="0"/>
        <v>745.47553684017669</v>
      </c>
      <c r="S51" s="59">
        <f ca="1">AVERAGE(OFFSET($R$3,0,0,'Données projet'!$E$9+1,1))-AVERAGE(OFFSET($H$3,0,0,'Données projet'!$E$9+1,1))</f>
        <v>235.66314579622622</v>
      </c>
      <c r="T51" s="59">
        <f t="shared" si="34"/>
        <v>231.1613577327077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33.443678939225478</v>
      </c>
      <c r="AA51" s="21">
        <f>EXP(-LN(2)/25)*AA50+(1-EXP(-LN(2)/25))/(LN(2)/25)*Calculateur!V51*Calculateur!X51*VLOOKUP('Données projet'!$B$9,Paramètres!$A$1:$I$89,3,0)*0.475*44/12</f>
        <v>23.347029882329331</v>
      </c>
      <c r="AB51" s="21">
        <f>EXP(-LN(2)/2)*AB50+(1-EXP(-LN(2)/2))/(LN(2)/2)*V51*Y51*VLOOKUP('Données projet'!$B$9,Paramètres!$A$1:$I$89,3,0)*0.475*44/12</f>
        <v>2.6014362579722534</v>
      </c>
      <c r="AC51" s="22">
        <f t="shared" si="3"/>
        <v>59.392145079527062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14.654999999999994</v>
      </c>
      <c r="N52" s="13">
        <f>IF('Données projet'!$A$36&gt;35,N51+M52-V51,IF(A52&lt;'Données projet'!$A$36,$K$205^A52,IF(A52='Données projet'!$A$36,'Données projet'!$B$36,N51+M52-V51)))</f>
        <v>362.62499999999983</v>
      </c>
      <c r="O52" s="13">
        <f>N52*VLOOKUP('Données projet'!$B$9,Paramètres!$A$1:$I$89,3,0)*VLOOKUP('Données projet'!$B$9,Paramètres!$A$1:$I$89,5,0)</f>
        <v>216.84974999999991</v>
      </c>
      <c r="P52" s="13">
        <f t="shared" si="33"/>
        <v>53.429620773043496</v>
      </c>
      <c r="Q52" s="20">
        <f t="shared" si="53"/>
        <v>470.73657076305057</v>
      </c>
      <c r="R52" s="59">
        <f t="shared" si="0"/>
        <v>764.06990409638388</v>
      </c>
      <c r="S52" s="59">
        <f ca="1">AVERAGE(OFFSET($R$3,0,0,'Données projet'!$E$9+1,1))-AVERAGE(OFFSET($H$3,0,0,'Données projet'!$E$9+1,1))</f>
        <v>235.66314579622622</v>
      </c>
      <c r="T52" s="59">
        <f t="shared" si="34"/>
        <v>231.1613577327077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32.787868793857221</v>
      </c>
      <c r="AA52" s="21">
        <f>EXP(-LN(2)/25)*AA51+(1-EXP(-LN(2)/25))/(LN(2)/25)*Calculateur!V52*Calculateur!X52*VLOOKUP('Données projet'!$B$9,Paramètres!$A$1:$I$89,3,0)*0.475*44/12</f>
        <v>22.708604122430092</v>
      </c>
      <c r="AB52" s="21">
        <f>EXP(-LN(2)/2)*AB51+(1-EXP(-LN(2)/2))/(LN(2)/2)*V52*Y52*VLOOKUP('Données projet'!$B$9,Paramètres!$A$1:$I$89,3,0)*0.475*44/12</f>
        <v>1.8394932188367372</v>
      </c>
      <c r="AC52" s="22">
        <f t="shared" si="3"/>
        <v>57.335966135124053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14.654999999999994</v>
      </c>
      <c r="N53" s="13">
        <f>IF('Données projet'!$A$36&gt;35,N52+M53-V52,IF(A53&lt;'Données projet'!$A$36,$K$205^A53,IF(A53='Données projet'!$A$36,'Données projet'!$B$36,N52+M53-V52)))</f>
        <v>377.2799999999998</v>
      </c>
      <c r="O53" s="13">
        <f>N53*VLOOKUP('Données projet'!$B$9,Paramètres!$A$1:$I$89,3,0)*VLOOKUP('Données projet'!$B$9,Paramètres!$A$1:$I$89,5,0)</f>
        <v>225.61343999999988</v>
      </c>
      <c r="P53" s="13">
        <f t="shared" si="33"/>
        <v>55.333144352799167</v>
      </c>
      <c r="Q53" s="20">
        <f t="shared" si="53"/>
        <v>489.31530108112497</v>
      </c>
      <c r="R53" s="59">
        <f t="shared" si="0"/>
        <v>782.64863441445823</v>
      </c>
      <c r="S53" s="59">
        <f ca="1">AVERAGE(OFFSET($R$3,0,0,'Données projet'!$E$9+1,1))-AVERAGE(OFFSET($H$3,0,0,'Données projet'!$E$9+1,1))</f>
        <v>235.66314579622622</v>
      </c>
      <c r="T53" s="59">
        <f t="shared" si="34"/>
        <v>231.1613577327077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32.144918685434945</v>
      </c>
      <c r="AA53" s="21">
        <f>EXP(-LN(2)/25)*AA52+(1-EXP(-LN(2)/25))/(LN(2)/25)*Calculateur!V53*Calculateur!X53*VLOOKUP('Données projet'!$B$9,Paramètres!$A$1:$I$89,3,0)*0.475*44/12</f>
        <v>22.087636148508651</v>
      </c>
      <c r="AB53" s="21">
        <f>EXP(-LN(2)/2)*AB52+(1-EXP(-LN(2)/2))/(LN(2)/2)*V53*Y53*VLOOKUP('Données projet'!$B$9,Paramètres!$A$1:$I$89,3,0)*0.475*44/12</f>
        <v>1.3007181289861267</v>
      </c>
      <c r="AC53" s="22">
        <f t="shared" si="3"/>
        <v>55.533272962929722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14.654999999999994</v>
      </c>
      <c r="N54" s="13">
        <f>IF('Données projet'!$A$36&gt;35,N53+M54-V53,IF(A54&lt;'Données projet'!$A$36,$K$205^A54,IF(A54='Données projet'!$A$36,'Données projet'!$B$36,N53+M54-V53)))</f>
        <v>391.93499999999977</v>
      </c>
      <c r="O54" s="13">
        <f>N54*VLOOKUP('Données projet'!$B$9,Paramètres!$A$1:$I$89,3,0)*VLOOKUP('Données projet'!$B$9,Paramètres!$A$1:$I$89,5,0)</f>
        <v>234.37712999999988</v>
      </c>
      <c r="P54" s="13">
        <f t="shared" si="33"/>
        <v>57.228078446029841</v>
      </c>
      <c r="Q54" s="20">
        <f t="shared" si="53"/>
        <v>507.87907137683516</v>
      </c>
      <c r="R54" s="59">
        <f t="shared" si="0"/>
        <v>801.21240471016847</v>
      </c>
      <c r="S54" s="59">
        <f ca="1">AVERAGE(OFFSET($R$3,0,0,'Données projet'!$E$9+1,1))-AVERAGE(OFFSET($H$3,0,0,'Données projet'!$E$9+1,1))</f>
        <v>235.66314579622622</v>
      </c>
      <c r="T54" s="59">
        <f t="shared" si="34"/>
        <v>231.1613577327077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31.514576436477988</v>
      </c>
      <c r="AA54" s="21">
        <f>EXP(-LN(2)/25)*AA53+(1-EXP(-LN(2)/25))/(LN(2)/25)*Calculateur!V54*Calculateur!X54*VLOOKUP('Données projet'!$B$9,Paramètres!$A$1:$I$89,3,0)*0.475*44/12</f>
        <v>21.483648576489379</v>
      </c>
      <c r="AB54" s="21">
        <f>EXP(-LN(2)/2)*AB53+(1-EXP(-LN(2)/2))/(LN(2)/2)*V54*Y54*VLOOKUP('Données projet'!$B$9,Paramètres!$A$1:$I$89,3,0)*0.475*44/12</f>
        <v>0.91974660941836861</v>
      </c>
      <c r="AC54" s="22">
        <f t="shared" si="3"/>
        <v>53.917971622385735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>
        <f>VLOOKUP(A55,'Données projet'!$A$35:$I$55,2,0)</f>
        <v>406.59</v>
      </c>
      <c r="L55" s="12">
        <f>VLOOKUP(A55,'Données projet'!$A$35:$I$55,9,0)</f>
        <v>14.654999999999994</v>
      </c>
      <c r="M55" s="12">
        <f t="array" ref="M55">INDEX(L:L,MIN(IF(ISNUMBER(L55:L251),ROW(L55:L251),"")))</f>
        <v>14.654999999999994</v>
      </c>
      <c r="N55" s="13">
        <f>IF('Données projet'!$A$36&gt;35,N54+M55-V54,IF(A55&lt;'Données projet'!$A$36,$K$205^A55,IF(A55='Données projet'!$A$36,'Données projet'!$B$36,N54+M55-V54)))</f>
        <v>406.58999999999975</v>
      </c>
      <c r="O55" s="13">
        <f>N55*VLOOKUP('Données projet'!$B$9,Paramètres!$A$1:$I$89,3,0)*VLOOKUP('Données projet'!$B$9,Paramètres!$A$1:$I$89,5,0)</f>
        <v>243.14081999999988</v>
      </c>
      <c r="P55" s="13">
        <f t="shared" si="33"/>
        <v>59.114781000830845</v>
      </c>
      <c r="Q55" s="20">
        <f t="shared" si="53"/>
        <v>526.42850507644687</v>
      </c>
      <c r="R55" s="59">
        <f t="shared" si="0"/>
        <v>819.76183840978024</v>
      </c>
      <c r="S55" s="59">
        <f ca="1">AVERAGE(OFFSET($R$3,0,0,'Données projet'!$E$9+1,1))-AVERAGE(OFFSET($H$3,0,0,'Données projet'!$E$9+1,1))</f>
        <v>235.66314579622622</v>
      </c>
      <c r="T55" s="59">
        <f t="shared" si="34"/>
        <v>231.1613577327077</v>
      </c>
      <c r="U55" s="15">
        <f>IF(ISNA(VLOOKUP(A55,'Données projet'!$A$35:$I$55,3,0)),0,VLOOKUP(A55,'Données projet'!$A$35:$I$55,3,0))</f>
        <v>8</v>
      </c>
      <c r="V55" s="15">
        <f>IF(ISNA(VLOOKUP(A55,'Données projet'!$A$35:$I$55,4,0)),0,VLOOKUP(A55,'Données projet'!$A$35:$I$55,4,0))</f>
        <v>75.37</v>
      </c>
      <c r="W55" s="16">
        <f>IF(ISNA(VLOOKUP(A55,'Données projet'!$A$35:$I$55,5,0)),0%,VLOOKUP(A55,'Données projet'!$A$35:$I$55,5,0)*VLOOKUP('Données projet'!$B$9,Paramètres!$A$1:$I$89,7,0))</f>
        <v>0.27</v>
      </c>
      <c r="X55" s="16">
        <f>IF(ISNA(VLOOKUP(A55,'Données projet'!$A$35:$I$55,6,0)),0%,VLOOKUP(A55,'Données projet'!$A$35:$I$55,6,0)*VLOOKUP('Données projet'!$B$9,Paramètres!$A$1:$I$89,7,0))</f>
        <v>9.9000000000000005E-2</v>
      </c>
      <c r="Y55" s="16">
        <f>IF(ISNA(VLOOKUP(A55,'Données projet'!$A$35:$I$55,7,0)),0%,VLOOKUP(A55,'Données projet'!$A$35:$I$55,7,0))</f>
        <v>0.18</v>
      </c>
      <c r="Z55" s="21">
        <f>EXP(-LN(2)/35)*Z54+(1-EXP(-LN(2)/35))/(LN(2)/35)*V55*W55*VLOOKUP('Données projet'!$B$9,Paramètres!$A$1:$I$89,3,0)*0.475*44/12</f>
        <v>47.039876313578233</v>
      </c>
      <c r="AA55" s="21">
        <f>EXP(-LN(2)/25)*AA54+(1-EXP(-LN(2)/25))/(LN(2)/25)*Calculateur!V55*Calculateur!X55*VLOOKUP('Données projet'!$B$9,Paramètres!$A$1:$I$89,3,0)*0.475*44/12</f>
        <v>26.792074134242963</v>
      </c>
      <c r="AB55" s="21">
        <f>EXP(-LN(2)/2)*AB54+(1-EXP(-LN(2)/2))/(LN(2)/2)*V55*Y55*VLOOKUP('Données projet'!$B$9,Paramètres!$A$1:$I$89,3,0)*0.475*44/12</f>
        <v>9.8359635916913479</v>
      </c>
      <c r="AC55" s="22">
        <f t="shared" si="3"/>
        <v>83.667914039512553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13.14</v>
      </c>
      <c r="N56" s="13">
        <f>IF('Données projet'!$A$36&gt;35,N55+M56-V55,IF(A56&lt;'Données projet'!$A$36,$K$205^A56,IF(A56='Données projet'!$A$36,'Données projet'!$B$36,N55+M56-V55)))</f>
        <v>344.35999999999973</v>
      </c>
      <c r="O56" s="13">
        <f>N56*VLOOKUP('Données projet'!$B$9,Paramètres!$A$1:$I$89,3,0)*VLOOKUP('Données projet'!$B$9,Paramètres!$A$1:$I$89,5,0)</f>
        <v>205.92727999999985</v>
      </c>
      <c r="P56" s="13">
        <f t="shared" si="33"/>
        <v>51.04458202864167</v>
      </c>
      <c r="Q56" s="20">
        <f t="shared" si="53"/>
        <v>447.55932636655058</v>
      </c>
      <c r="R56" s="59">
        <f t="shared" si="0"/>
        <v>740.89265969988389</v>
      </c>
      <c r="S56" s="59">
        <f ca="1">AVERAGE(OFFSET($R$3,0,0,'Données projet'!$E$9+1,1))-AVERAGE(OFFSET($H$3,0,0,'Données projet'!$E$9+1,1))</f>
        <v>235.66314579622622</v>
      </c>
      <c r="T56" s="59">
        <f t="shared" si="34"/>
        <v>231.1613577327077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46.117453030560469</v>
      </c>
      <c r="AA56" s="21">
        <f>EXP(-LN(2)/25)*AA55+(1-EXP(-LN(2)/25))/(LN(2)/25)*Calculateur!V56*Calculateur!X56*VLOOKUP('Données projet'!$B$9,Paramètres!$A$1:$I$89,3,0)*0.475*44/12</f>
        <v>26.059443458108145</v>
      </c>
      <c r="AB56" s="21">
        <f>EXP(-LN(2)/2)*AB55+(1-EXP(-LN(2)/2))/(LN(2)/2)*V56*Y56*VLOOKUP('Données projet'!$B$9,Paramètres!$A$1:$I$89,3,0)*0.475*44/12</f>
        <v>6.9550765551889429</v>
      </c>
      <c r="AC56" s="22">
        <f t="shared" si="3"/>
        <v>79.131973043857556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13.14</v>
      </c>
      <c r="N57" s="13">
        <f>IF('Données projet'!$A$36&gt;35,N56+M57-V56,IF(A57&lt;'Données projet'!$A$36,$K$205^A57,IF(A57='Données projet'!$A$36,'Données projet'!$B$36,N56+M57-V56)))</f>
        <v>357.49999999999972</v>
      </c>
      <c r="O57" s="13">
        <f>N57*VLOOKUP('Données projet'!$B$9,Paramètres!$A$1:$I$89,3,0)*VLOOKUP('Données projet'!$B$9,Paramètres!$A$1:$I$89,5,0)</f>
        <v>213.78499999999985</v>
      </c>
      <c r="P57" s="13">
        <f t="shared" si="33"/>
        <v>52.761841557402377</v>
      </c>
      <c r="Q57" s="20">
        <f t="shared" si="53"/>
        <v>464.23574904580886</v>
      </c>
      <c r="R57" s="59">
        <f t="shared" si="0"/>
        <v>757.56908237914217</v>
      </c>
      <c r="S57" s="59">
        <f ca="1">AVERAGE(OFFSET($R$3,0,0,'Données projet'!$E$9+1,1))-AVERAGE(OFFSET($H$3,0,0,'Données projet'!$E$9+1,1))</f>
        <v>235.66314579622622</v>
      </c>
      <c r="T57" s="59">
        <f t="shared" si="34"/>
        <v>231.1613577327077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45.213117905500035</v>
      </c>
      <c r="AA57" s="21">
        <f>EXP(-LN(2)/25)*AA56+(1-EXP(-LN(2)/25))/(LN(2)/25)*Calculateur!V57*Calculateur!X57*VLOOKUP('Données projet'!$B$9,Paramètres!$A$1:$I$89,3,0)*0.475*44/12</f>
        <v>25.346846606339607</v>
      </c>
      <c r="AB57" s="21">
        <f>EXP(-LN(2)/2)*AB56+(1-EXP(-LN(2)/2))/(LN(2)/2)*V57*Y57*VLOOKUP('Données projet'!$B$9,Paramètres!$A$1:$I$89,3,0)*0.475*44/12</f>
        <v>4.9179817958456749</v>
      </c>
      <c r="AC57" s="22">
        <f t="shared" si="3"/>
        <v>75.477946307685315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13.14</v>
      </c>
      <c r="N58" s="13">
        <f>IF('Données projet'!$A$36&gt;35,N57+M58-V57,IF(A58&lt;'Données projet'!$A$36,$K$205^A58,IF(A58='Données projet'!$A$36,'Données projet'!$B$36,N57+M58-V57)))</f>
        <v>370.6399999999997</v>
      </c>
      <c r="O58" s="13">
        <f>N58*VLOOKUP('Données projet'!$B$9,Paramètres!$A$1:$I$89,3,0)*VLOOKUP('Données projet'!$B$9,Paramètres!$A$1:$I$89,5,0)</f>
        <v>221.64271999999983</v>
      </c>
      <c r="P58" s="13">
        <f t="shared" si="33"/>
        <v>54.471768066609229</v>
      </c>
      <c r="Q58" s="20">
        <f t="shared" si="53"/>
        <v>480.89940004934402</v>
      </c>
      <c r="R58" s="59">
        <f t="shared" si="0"/>
        <v>774.23273338267734</v>
      </c>
      <c r="S58" s="59">
        <f ca="1">AVERAGE(OFFSET($R$3,0,0,'Données projet'!$E$9+1,1))-AVERAGE(OFFSET($H$3,0,0,'Données projet'!$E$9+1,1))</f>
        <v>235.66314579622622</v>
      </c>
      <c r="T58" s="59">
        <f t="shared" si="34"/>
        <v>231.1613577327077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44.326516240652069</v>
      </c>
      <c r="AA58" s="21">
        <f>EXP(-LN(2)/25)*AA57+(1-EXP(-LN(2)/25))/(LN(2)/25)*Calculateur!V58*Calculateur!X58*VLOOKUP('Données projet'!$B$9,Paramètres!$A$1:$I$89,3,0)*0.475*44/12</f>
        <v>24.653735752956518</v>
      </c>
      <c r="AB58" s="21">
        <f>EXP(-LN(2)/2)*AB57+(1-EXP(-LN(2)/2))/(LN(2)/2)*V58*Y58*VLOOKUP('Données projet'!$B$9,Paramètres!$A$1:$I$89,3,0)*0.475*44/12</f>
        <v>3.4775382775944719</v>
      </c>
      <c r="AC58" s="22">
        <f t="shared" si="3"/>
        <v>72.457790271203066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13.14</v>
      </c>
      <c r="N59" s="13">
        <f>IF('Données projet'!$A$36&gt;35,N58+M59-V58,IF(A59&lt;'Données projet'!$A$36,$K$205^A59,IF(A59='Données projet'!$A$36,'Données projet'!$B$36,N58+M59-V58)))</f>
        <v>383.77999999999969</v>
      </c>
      <c r="O59" s="13">
        <f>N59*VLOOKUP('Données projet'!$B$9,Paramètres!$A$1:$I$89,3,0)*VLOOKUP('Données projet'!$B$9,Paramètres!$A$1:$I$89,5,0)</f>
        <v>229.50043999999983</v>
      </c>
      <c r="P59" s="13">
        <f t="shared" si="33"/>
        <v>56.174651313961498</v>
      </c>
      <c r="Q59" s="20">
        <f t="shared" si="53"/>
        <v>497.55078403848262</v>
      </c>
      <c r="R59" s="59">
        <f t="shared" si="0"/>
        <v>790.88411737181593</v>
      </c>
      <c r="S59" s="59">
        <f ca="1">AVERAGE(OFFSET($R$3,0,0,'Données projet'!$E$9+1,1))-AVERAGE(OFFSET($H$3,0,0,'Données projet'!$E$9+1,1))</f>
        <v>235.66314579622622</v>
      </c>
      <c r="T59" s="59">
        <f t="shared" si="34"/>
        <v>231.1613577327077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43.457300293678152</v>
      </c>
      <c r="AA59" s="21">
        <f>EXP(-LN(2)/25)*AA58+(1-EXP(-LN(2)/25))/(LN(2)/25)*Calculateur!V59*Calculateur!X59*VLOOKUP('Données projet'!$B$9,Paramètres!$A$1:$I$89,3,0)*0.475*44/12</f>
        <v>23.979578052308305</v>
      </c>
      <c r="AB59" s="21">
        <f>EXP(-LN(2)/2)*AB58+(1-EXP(-LN(2)/2))/(LN(2)/2)*V59*Y59*VLOOKUP('Données projet'!$B$9,Paramètres!$A$1:$I$89,3,0)*0.475*44/12</f>
        <v>2.4589908979228379</v>
      </c>
      <c r="AC59" s="22">
        <f t="shared" si="3"/>
        <v>69.895869243909289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13.14</v>
      </c>
      <c r="N60" s="13">
        <f>IF('Données projet'!$A$36&gt;35,N59+M60-V59,IF(A60&lt;'Données projet'!$A$36,$K$205^A60,IF(A60='Données projet'!$A$36,'Données projet'!$B$36,N59+M60-V59)))</f>
        <v>396.91999999999967</v>
      </c>
      <c r="O60" s="13">
        <f>N60*VLOOKUP('Données projet'!$B$9,Paramètres!$A$1:$I$89,3,0)*VLOOKUP('Données projet'!$B$9,Paramètres!$A$1:$I$89,5,0)</f>
        <v>237.35815999999983</v>
      </c>
      <c r="P60" s="13">
        <f t="shared" si="33"/>
        <v>57.870760090028412</v>
      </c>
      <c r="Q60" s="20">
        <f t="shared" si="53"/>
        <v>514.19036915679919</v>
      </c>
      <c r="R60" s="59">
        <f t="shared" si="0"/>
        <v>807.52370249013256</v>
      </c>
      <c r="S60" s="59">
        <f ca="1">AVERAGE(OFFSET($R$3,0,0,'Données projet'!$E$9+1,1))-AVERAGE(OFFSET($H$3,0,0,'Données projet'!$E$9+1,1))</f>
        <v>235.66314579622622</v>
      </c>
      <c r="T60" s="59">
        <f t="shared" si="34"/>
        <v>231.1613577327077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42.60512914125502</v>
      </c>
      <c r="AA60" s="21">
        <f>EXP(-LN(2)/25)*AA59+(1-EXP(-LN(2)/25))/(LN(2)/25)*Calculateur!V60*Calculateur!X60*VLOOKUP('Données projet'!$B$9,Paramètres!$A$1:$I$89,3,0)*0.475*44/12</f>
        <v>23.323855229436731</v>
      </c>
      <c r="AB60" s="21">
        <f>EXP(-LN(2)/2)*AB59+(1-EXP(-LN(2)/2))/(LN(2)/2)*V60*Y60*VLOOKUP('Données projet'!$B$9,Paramètres!$A$1:$I$89,3,0)*0.475*44/12</f>
        <v>1.7387691387972362</v>
      </c>
      <c r="AC60" s="22">
        <f t="shared" si="3"/>
        <v>67.667753509488989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13.14</v>
      </c>
      <c r="N61" s="13">
        <f>IF('Données projet'!$A$36&gt;35,N60+M61-V60,IF(A61&lt;'Données projet'!$A$36,$K$205^A61,IF(A61='Données projet'!$A$36,'Données projet'!$B$36,N60+M61-V60)))</f>
        <v>410.05999999999966</v>
      </c>
      <c r="O61" s="13">
        <f>N61*VLOOKUP('Données projet'!$B$9,Paramètres!$A$1:$I$89,3,0)*VLOOKUP('Données projet'!$B$9,Paramètres!$A$1:$I$89,5,0)</f>
        <v>245.21587999999983</v>
      </c>
      <c r="P61" s="13">
        <f t="shared" si="33"/>
        <v>59.560344378839609</v>
      </c>
      <c r="Q61" s="20">
        <f t="shared" si="53"/>
        <v>530.8185907931454</v>
      </c>
      <c r="R61" s="59">
        <f t="shared" si="0"/>
        <v>824.15192412647866</v>
      </c>
      <c r="S61" s="59">
        <f ca="1">AVERAGE(OFFSET($R$3,0,0,'Données projet'!$E$9+1,1))-AVERAGE(OFFSET($H$3,0,0,'Données projet'!$E$9+1,1))</f>
        <v>235.66314579622622</v>
      </c>
      <c r="T61" s="59">
        <f t="shared" si="34"/>
        <v>231.1613577327077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41.769668545357824</v>
      </c>
      <c r="AA61" s="21">
        <f>EXP(-LN(2)/25)*AA60+(1-EXP(-LN(2)/25))/(LN(2)/25)*Calculateur!V61*Calculateur!X61*VLOOKUP('Données projet'!$B$9,Paramètres!$A$1:$I$89,3,0)*0.475*44/12</f>
        <v>22.686063181639543</v>
      </c>
      <c r="AB61" s="21">
        <f>EXP(-LN(2)/2)*AB60+(1-EXP(-LN(2)/2))/(LN(2)/2)*V61*Y61*VLOOKUP('Données projet'!$B$9,Paramètres!$A$1:$I$89,3,0)*0.475*44/12</f>
        <v>1.2294954489614189</v>
      </c>
      <c r="AC61" s="22">
        <f t="shared" si="3"/>
        <v>65.685227175958786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13.14</v>
      </c>
      <c r="N62" s="13">
        <f>IF('Données projet'!$A$36&gt;35,N61+M62-V61,IF(A62&lt;'Données projet'!$A$36,$K$205^A62,IF(A62='Données projet'!$A$36,'Données projet'!$B$36,N61+M62-V61)))</f>
        <v>423.19999999999965</v>
      </c>
      <c r="O62" s="13">
        <f>N62*VLOOKUP('Données projet'!$B$9,Paramètres!$A$1:$I$89,3,0)*VLOOKUP('Données projet'!$B$9,Paramètres!$A$1:$I$89,5,0)</f>
        <v>253.07359999999983</v>
      </c>
      <c r="P62" s="13">
        <f t="shared" si="33"/>
        <v>61.243637233758569</v>
      </c>
      <c r="Q62" s="20">
        <f t="shared" si="53"/>
        <v>547.43585484879588</v>
      </c>
      <c r="R62" s="59">
        <f t="shared" si="0"/>
        <v>840.76918818212926</v>
      </c>
      <c r="S62" s="59">
        <f ca="1">AVERAGE(OFFSET($R$3,0,0,'Données projet'!$E$9+1,1))-AVERAGE(OFFSET($H$3,0,0,'Données projet'!$E$9+1,1))</f>
        <v>235.66314579622622</v>
      </c>
      <c r="T62" s="59">
        <f t="shared" si="34"/>
        <v>231.1613577327077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40.950590822165523</v>
      </c>
      <c r="AA62" s="21">
        <f>EXP(-LN(2)/25)*AA61+(1-EXP(-LN(2)/25))/(LN(2)/25)*Calculateur!V62*Calculateur!X62*VLOOKUP('Données projet'!$B$9,Paramètres!$A$1:$I$89,3,0)*0.475*44/12</f>
        <v>22.065711590929396</v>
      </c>
      <c r="AB62" s="21">
        <f>EXP(-LN(2)/2)*AB61+(1-EXP(-LN(2)/2))/(LN(2)/2)*V62*Y62*VLOOKUP('Données projet'!$B$9,Paramètres!$A$1:$I$89,3,0)*0.475*44/12</f>
        <v>0.86938456939861808</v>
      </c>
      <c r="AC62" s="22">
        <f t="shared" si="3"/>
        <v>63.885686982493539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436.34</v>
      </c>
      <c r="L63" s="12">
        <f>VLOOKUP(A63,'Données projet'!$A$35:$I$55,9,0)</f>
        <v>13.14</v>
      </c>
      <c r="M63" s="12">
        <f t="array" ref="M63">INDEX(L:L,MIN(IF(ISNUMBER(L63:L259),ROW(L63:L259),"")))</f>
        <v>13.14</v>
      </c>
      <c r="N63" s="13">
        <f>IF('Données projet'!$A$36&gt;35,N62+M63-V62,IF(A63&lt;'Données projet'!$A$36,$K$205^A63,IF(A63='Données projet'!$A$36,'Données projet'!$B$36,N62+M63-V62)))</f>
        <v>436.33999999999963</v>
      </c>
      <c r="O63" s="13">
        <f>N63*VLOOKUP('Données projet'!$B$9,Paramètres!$A$1:$I$89,3,0)*VLOOKUP('Données projet'!$B$9,Paramètres!$A$1:$I$89,5,0)</f>
        <v>260.9313199999998</v>
      </c>
      <c r="P63" s="13">
        <f t="shared" si="33"/>
        <v>62.92085641383472</v>
      </c>
      <c r="Q63" s="20">
        <f t="shared" si="53"/>
        <v>564.04254058742833</v>
      </c>
      <c r="R63" s="59">
        <f t="shared" si="0"/>
        <v>857.37587392076171</v>
      </c>
      <c r="S63" s="59">
        <f ca="1">AVERAGE(OFFSET($R$3,0,0,'Données projet'!$E$9+1,1))-AVERAGE(OFFSET($H$3,0,0,'Données projet'!$E$9+1,1))</f>
        <v>235.66314579622622</v>
      </c>
      <c r="T63" s="59">
        <f t="shared" si="34"/>
        <v>231.1613577327077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436</v>
      </c>
      <c r="W63" s="16">
        <f>IF(ISNA(VLOOKUP(A63,'Données projet'!$A$35:$I$55,5,0)),0%,VLOOKUP(A63,'Données projet'!$A$35:$I$55,5,0)*VLOOKUP('Données projet'!$B$9,Paramètres!$A$1:$I$89,7,0))</f>
        <v>0.36000000000000004</v>
      </c>
      <c r="X63" s="16">
        <f>IF(ISNA(VLOOKUP(A63,'Données projet'!$A$35:$I$55,6,0)),0%,VLOOKUP(A63,'Données projet'!$A$35:$I$55,6,0)*VLOOKUP('Données projet'!$B$9,Paramètres!$A$1:$I$89,7,0))</f>
        <v>4.9500000000000002E-2</v>
      </c>
      <c r="Y63" s="16">
        <f>IF(ISNA(VLOOKUP(A63,'Données projet'!$A$35:$I$55,7,0)),0%,VLOOKUP(A63,'Données projet'!$A$35:$I$55,7,0))</f>
        <v>0.09</v>
      </c>
      <c r="Z63" s="21">
        <f>EXP(-LN(2)/35)*Z62+(1-EXP(-LN(2)/35))/(LN(2)/35)*V63*W63*VLOOKUP('Données projet'!$B$9,Paramètres!$A$1:$I$89,3,0)*0.475*44/12</f>
        <v>164.66167375515951</v>
      </c>
      <c r="AA63" s="21">
        <f>EXP(-LN(2)/25)*AA62+(1-EXP(-LN(2)/25))/(LN(2)/25)*Calculateur!V63*Calculateur!X63*VLOOKUP('Données projet'!$B$9,Paramètres!$A$1:$I$89,3,0)*0.475*44/12</f>
        <v>38.515601490729452</v>
      </c>
      <c r="AB63" s="21">
        <f>EXP(-LN(2)/2)*AB62+(1-EXP(-LN(2)/2))/(LN(2)/2)*V63*Y63*VLOOKUP('Données projet'!$B$9,Paramètres!$A$1:$I$89,3,0)*0.475*44/12</f>
        <v>27.183167346733942</v>
      </c>
      <c r="AC63" s="22">
        <f t="shared" si="3"/>
        <v>230.36044259262289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0.33999999999963393</v>
      </c>
      <c r="O64" s="13">
        <f>N64*VLOOKUP('Données projet'!$B$9,Paramètres!$A$1:$I$89,3,0)*VLOOKUP('Données projet'!$B$9,Paramètres!$A$1:$I$89,5,0)</f>
        <v>0.20331999999978112</v>
      </c>
      <c r="P64" s="13">
        <f t="shared" si="33"/>
        <v>0.112787248546695</v>
      </c>
      <c r="Q64" s="20">
        <f t="shared" si="53"/>
        <v>0.55055345788511245</v>
      </c>
      <c r="R64" s="59">
        <f t="shared" si="0"/>
        <v>293.8838867912184</v>
      </c>
      <c r="S64" s="59">
        <f ca="1">AVERAGE(OFFSET($R$3,0,0,'Données projet'!$E$9+1,1))-AVERAGE(OFFSET($H$3,0,0,'Données projet'!$E$9+1,1))</f>
        <v>235.66314579622622</v>
      </c>
      <c r="T64" s="59">
        <f t="shared" si="34"/>
        <v>231.1613577327077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161.43275876652481</v>
      </c>
      <c r="AA64" s="21">
        <f>EXP(-LN(2)/25)*AA63+(1-EXP(-LN(2)/25))/(LN(2)/25)*Calculateur!V64*Calculateur!X64*VLOOKUP('Données projet'!$B$9,Paramètres!$A$1:$I$89,3,0)*0.475*44/12</f>
        <v>37.462390342517999</v>
      </c>
      <c r="AB64" s="21">
        <f>EXP(-LN(2)/2)*AB63+(1-EXP(-LN(2)/2))/(LN(2)/2)*V64*Y64*VLOOKUP('Données projet'!$B$9,Paramètres!$A$1:$I$89,3,0)*0.475*44/12</f>
        <v>19.221401965004304</v>
      </c>
      <c r="AC64" s="22">
        <f t="shared" si="3"/>
        <v>218.11655107404712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0.33999999999963393</v>
      </c>
      <c r="O65" s="13">
        <f>N65*VLOOKUP('Données projet'!$B$9,Paramètres!$A$1:$I$89,3,0)*VLOOKUP('Données projet'!$B$9,Paramètres!$A$1:$I$89,5,0)</f>
        <v>0.20331999999978112</v>
      </c>
      <c r="P65" s="13">
        <f t="shared" si="33"/>
        <v>0.112787248546695</v>
      </c>
      <c r="Q65" s="20">
        <f t="shared" si="53"/>
        <v>0.55055345788511245</v>
      </c>
      <c r="R65" s="59">
        <f t="shared" si="0"/>
        <v>293.8838867912184</v>
      </c>
      <c r="S65" s="59">
        <f ca="1">AVERAGE(OFFSET($R$3,0,0,'Données projet'!$E$9+1,1))-AVERAGE(OFFSET($H$3,0,0,'Données projet'!$E$9+1,1))</f>
        <v>235.66314579622622</v>
      </c>
      <c r="T65" s="59">
        <f t="shared" si="34"/>
        <v>231.1613577327077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158.26716083137356</v>
      </c>
      <c r="AA65" s="21">
        <f>EXP(-LN(2)/25)*AA64+(1-EXP(-LN(2)/25))/(LN(2)/25)*Calculateur!V65*Calculateur!X65*VLOOKUP('Données projet'!$B$9,Paramètres!$A$1:$I$89,3,0)*0.475*44/12</f>
        <v>36.437979308540356</v>
      </c>
      <c r="AB65" s="21">
        <f>EXP(-LN(2)/2)*AB64+(1-EXP(-LN(2)/2))/(LN(2)/2)*V65*Y65*VLOOKUP('Données projet'!$B$9,Paramètres!$A$1:$I$89,3,0)*0.475*44/12</f>
        <v>13.591583673366975</v>
      </c>
      <c r="AC65" s="22">
        <f t="shared" si="3"/>
        <v>208.29672381328089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0.33999999999963393</v>
      </c>
      <c r="O66" s="13">
        <f>N66*VLOOKUP('Données projet'!$B$9,Paramètres!$A$1:$I$89,3,0)*VLOOKUP('Données projet'!$B$9,Paramètres!$A$1:$I$89,5,0)</f>
        <v>0.20331999999978112</v>
      </c>
      <c r="P66" s="13">
        <f t="shared" si="33"/>
        <v>0.112787248546695</v>
      </c>
      <c r="Q66" s="20">
        <f t="shared" si="53"/>
        <v>0.55055345788511245</v>
      </c>
      <c r="R66" s="59">
        <f t="shared" si="0"/>
        <v>293.8838867912184</v>
      </c>
      <c r="S66" s="59">
        <f ca="1">AVERAGE(OFFSET($R$3,0,0,'Données projet'!$E$9+1,1))-AVERAGE(OFFSET($H$3,0,0,'Données projet'!$E$9+1,1))</f>
        <v>235.66314579622622</v>
      </c>
      <c r="T66" s="59">
        <f t="shared" si="34"/>
        <v>231.1613577327077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155.16363834090654</v>
      </c>
      <c r="AA66" s="21">
        <f>EXP(-LN(2)/25)*AA65+(1-EXP(-LN(2)/25))/(LN(2)/25)*Calculateur!V66*Calculateur!X66*VLOOKUP('Données projet'!$B$9,Paramètres!$A$1:$I$89,3,0)*0.475*44/12</f>
        <v>35.441580848158267</v>
      </c>
      <c r="AB66" s="21">
        <f>EXP(-LN(2)/2)*AB65+(1-EXP(-LN(2)/2))/(LN(2)/2)*V66*Y66*VLOOKUP('Données projet'!$B$9,Paramètres!$A$1:$I$89,3,0)*0.475*44/12</f>
        <v>9.6107009825021539</v>
      </c>
      <c r="AC66" s="22">
        <f t="shared" si="3"/>
        <v>200.21592017156698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0.33999999999963393</v>
      </c>
      <c r="O67" s="13">
        <f>N67*VLOOKUP('Données projet'!$B$9,Paramètres!$A$1:$I$89,3,0)*VLOOKUP('Données projet'!$B$9,Paramètres!$A$1:$I$89,5,0)</f>
        <v>0.20331999999978112</v>
      </c>
      <c r="P67" s="13">
        <f t="shared" si="33"/>
        <v>0.112787248546695</v>
      </c>
      <c r="Q67" s="20">
        <f t="shared" ref="Q67:Q98" si="54">(O67+P67)*0.475*44/12</f>
        <v>0.55055345788511245</v>
      </c>
      <c r="R67" s="59">
        <f t="shared" ref="R67:R130" si="55">Q67+(I67+J67)*44/12</f>
        <v>293.8838867912184</v>
      </c>
      <c r="S67" s="59">
        <f ca="1">AVERAGE(OFFSET($R$3,0,0,'Données projet'!$E$9+1,1))-AVERAGE(OFFSET($H$3,0,0,'Données projet'!$E$9+1,1))</f>
        <v>235.66314579622622</v>
      </c>
      <c r="T67" s="59">
        <f t="shared" si="34"/>
        <v>231.1613577327077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152.12097403351578</v>
      </c>
      <c r="AA67" s="21">
        <f>EXP(-LN(2)/25)*AA66+(1-EXP(-LN(2)/25))/(LN(2)/25)*Calculateur!V67*Calculateur!X67*VLOOKUP('Données projet'!$B$9,Paramètres!$A$1:$I$89,3,0)*0.475*44/12</f>
        <v>34.472428956073642</v>
      </c>
      <c r="AB67" s="21">
        <f>EXP(-LN(2)/2)*AB66+(1-EXP(-LN(2)/2))/(LN(2)/2)*V67*Y67*VLOOKUP('Données projet'!$B$9,Paramètres!$A$1:$I$89,3,0)*0.475*44/12</f>
        <v>6.7957918366834882</v>
      </c>
      <c r="AC67" s="22">
        <f t="shared" si="3"/>
        <v>193.38919482627293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0.33999999999963393</v>
      </c>
      <c r="O68" s="13">
        <f>N68*VLOOKUP('Données projet'!$B$9,Paramètres!$A$1:$I$89,3,0)*VLOOKUP('Données projet'!$B$9,Paramètres!$A$1:$I$89,5,0)</f>
        <v>0.20331999999978112</v>
      </c>
      <c r="P68" s="13">
        <f t="shared" si="33"/>
        <v>0.112787248546695</v>
      </c>
      <c r="Q68" s="20">
        <f t="shared" si="54"/>
        <v>0.55055345788511245</v>
      </c>
      <c r="R68" s="59">
        <f t="shared" si="55"/>
        <v>293.8838867912184</v>
      </c>
      <c r="S68" s="59">
        <f ca="1">AVERAGE(OFFSET($R$3,0,0,'Données projet'!$E$9+1,1))-AVERAGE(OFFSET($H$3,0,0,'Données projet'!$E$9+1,1))</f>
        <v>235.66314579622622</v>
      </c>
      <c r="T68" s="59">
        <f t="shared" si="34"/>
        <v>231.1613577327077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149.13797451735098</v>
      </c>
      <c r="AA68" s="21">
        <f>EXP(-LN(2)/25)*AA67+(1-EXP(-LN(2)/25))/(LN(2)/25)*Calculateur!V68*Calculateur!X68*VLOOKUP('Données projet'!$B$9,Paramètres!$A$1:$I$89,3,0)*0.475*44/12</f>
        <v>33.529778573443558</v>
      </c>
      <c r="AB68" s="21">
        <f>EXP(-LN(2)/2)*AB67+(1-EXP(-LN(2)/2))/(LN(2)/2)*V68*Y68*VLOOKUP('Données projet'!$B$9,Paramètres!$A$1:$I$89,3,0)*0.475*44/12</f>
        <v>4.8053504912510778</v>
      </c>
      <c r="AC68" s="22">
        <f t="shared" ref="AC68:AC131" si="57">SUM(Z68:AB68)</f>
        <v>187.47310358204564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0.33999999999963393</v>
      </c>
      <c r="O69" s="13">
        <f>N69*VLOOKUP('Données projet'!$B$9,Paramètres!$A$1:$I$89,3,0)*VLOOKUP('Données projet'!$B$9,Paramètres!$A$1:$I$89,5,0)</f>
        <v>0.20331999999978112</v>
      </c>
      <c r="P69" s="13">
        <f t="shared" ref="P69:P132" si="87">EXP(-1.0587+0.8836*LN(O69)+0.284)</f>
        <v>0.112787248546695</v>
      </c>
      <c r="Q69" s="20">
        <f t="shared" si="54"/>
        <v>0.55055345788511245</v>
      </c>
      <c r="R69" s="59">
        <f t="shared" si="55"/>
        <v>293.8838867912184</v>
      </c>
      <c r="S69" s="59">
        <f ca="1">AVERAGE(OFFSET($R$3,0,0,'Données projet'!$E$9+1,1))-AVERAGE(OFFSET($H$3,0,0,'Données projet'!$E$9+1,1))</f>
        <v>235.66314579622622</v>
      </c>
      <c r="T69" s="59">
        <f t="shared" ref="T69:T132" si="88">$T$3</f>
        <v>231.1613577327077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146.21346980224811</v>
      </c>
      <c r="AA69" s="21">
        <f>EXP(-LN(2)/25)*AA68+(1-EXP(-LN(2)/25))/(LN(2)/25)*Calculateur!V69*Calculateur!X69*VLOOKUP('Données projet'!$B$9,Paramètres!$A$1:$I$89,3,0)*0.475*44/12</f>
        <v>32.61290501509832</v>
      </c>
      <c r="AB69" s="21">
        <f>EXP(-LN(2)/2)*AB68+(1-EXP(-LN(2)/2))/(LN(2)/2)*V69*Y69*VLOOKUP('Données projet'!$B$9,Paramètres!$A$1:$I$89,3,0)*0.475*44/12</f>
        <v>3.397895918341745</v>
      </c>
      <c r="AC69" s="22">
        <f t="shared" si="57"/>
        <v>182.22427073568818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0.33999999999963393</v>
      </c>
      <c r="O70" s="13">
        <f>N70*VLOOKUP('Données projet'!$B$9,Paramètres!$A$1:$I$89,3,0)*VLOOKUP('Données projet'!$B$9,Paramètres!$A$1:$I$89,5,0)</f>
        <v>0.20331999999978112</v>
      </c>
      <c r="P70" s="13">
        <f t="shared" si="87"/>
        <v>0.112787248546695</v>
      </c>
      <c r="Q70" s="20">
        <f t="shared" si="54"/>
        <v>0.55055345788511245</v>
      </c>
      <c r="R70" s="59">
        <f t="shared" si="55"/>
        <v>293.8838867912184</v>
      </c>
      <c r="S70" s="59">
        <f ca="1">AVERAGE(OFFSET($R$3,0,0,'Données projet'!$E$9+1,1))-AVERAGE(OFFSET($H$3,0,0,'Données projet'!$E$9+1,1))</f>
        <v>235.66314579622622</v>
      </c>
      <c r="T70" s="59">
        <f t="shared" si="88"/>
        <v>231.1613577327077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143.34631284083667</v>
      </c>
      <c r="AA70" s="21">
        <f>EXP(-LN(2)/25)*AA69+(1-EXP(-LN(2)/25))/(LN(2)/25)*Calculateur!V70*Calculateur!X70*VLOOKUP('Données projet'!$B$9,Paramètres!$A$1:$I$89,3,0)*0.475*44/12</f>
        <v>31.72110341242232</v>
      </c>
      <c r="AB70" s="21">
        <f>EXP(-LN(2)/2)*AB69+(1-EXP(-LN(2)/2))/(LN(2)/2)*V70*Y70*VLOOKUP('Données projet'!$B$9,Paramètres!$A$1:$I$89,3,0)*0.475*44/12</f>
        <v>2.4026752456255394</v>
      </c>
      <c r="AC70" s="22">
        <f t="shared" si="57"/>
        <v>177.47009149888453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0.33999999999963393</v>
      </c>
      <c r="O71" s="13">
        <f>N71*VLOOKUP('Données projet'!$B$9,Paramètres!$A$1:$I$89,3,0)*VLOOKUP('Données projet'!$B$9,Paramètres!$A$1:$I$89,5,0)</f>
        <v>0.20331999999978112</v>
      </c>
      <c r="P71" s="13">
        <f t="shared" si="87"/>
        <v>0.112787248546695</v>
      </c>
      <c r="Q71" s="20">
        <f t="shared" si="54"/>
        <v>0.55055345788511245</v>
      </c>
      <c r="R71" s="59">
        <f t="shared" si="55"/>
        <v>293.8838867912184</v>
      </c>
      <c r="S71" s="59">
        <f ca="1">AVERAGE(OFFSET($R$3,0,0,'Données projet'!$E$9+1,1))-AVERAGE(OFFSET($H$3,0,0,'Données projet'!$E$9+1,1))</f>
        <v>235.66314579622622</v>
      </c>
      <c r="T71" s="59">
        <f t="shared" si="88"/>
        <v>231.1613577327077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140.53537907864543</v>
      </c>
      <c r="AA71" s="21">
        <f>EXP(-LN(2)/25)*AA70+(1-EXP(-LN(2)/25))/(LN(2)/25)*Calculateur!V71*Calculateur!X71*VLOOKUP('Données projet'!$B$9,Paramètres!$A$1:$I$89,3,0)*0.475*44/12</f>
        <v>30.853688171469301</v>
      </c>
      <c r="AB71" s="21">
        <f>EXP(-LN(2)/2)*AB70+(1-EXP(-LN(2)/2))/(LN(2)/2)*V71*Y71*VLOOKUP('Données projet'!$B$9,Paramètres!$A$1:$I$89,3,0)*0.475*44/12</f>
        <v>1.6989479591708727</v>
      </c>
      <c r="AC71" s="22">
        <f t="shared" si="57"/>
        <v>173.08801520928563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0.33999999999963393</v>
      </c>
      <c r="O72" s="13">
        <f>N72*VLOOKUP('Données projet'!$B$9,Paramètres!$A$1:$I$89,3,0)*VLOOKUP('Données projet'!$B$9,Paramètres!$A$1:$I$89,5,0)</f>
        <v>0.20331999999978112</v>
      </c>
      <c r="P72" s="13">
        <f t="shared" si="87"/>
        <v>0.112787248546695</v>
      </c>
      <c r="Q72" s="20">
        <f t="shared" si="54"/>
        <v>0.55055345788511245</v>
      </c>
      <c r="R72" s="59">
        <f t="shared" si="55"/>
        <v>293.8838867912184</v>
      </c>
      <c r="S72" s="59">
        <f ca="1">AVERAGE(OFFSET($R$3,0,0,'Données projet'!$E$9+1,1))-AVERAGE(OFFSET($H$3,0,0,'Données projet'!$E$9+1,1))</f>
        <v>235.66314579622622</v>
      </c>
      <c r="T72" s="59">
        <f t="shared" si="88"/>
        <v>231.1613577327077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137.77956601303046</v>
      </c>
      <c r="AA72" s="21">
        <f>EXP(-LN(2)/25)*AA71+(1-EXP(-LN(2)/25))/(LN(2)/25)*Calculateur!V72*Calculateur!X72*VLOOKUP('Données projet'!$B$9,Paramètres!$A$1:$I$89,3,0)*0.475*44/12</f>
        <v>30.009992445895531</v>
      </c>
      <c r="AB72" s="21">
        <f>EXP(-LN(2)/2)*AB71+(1-EXP(-LN(2)/2))/(LN(2)/2)*V72*Y72*VLOOKUP('Données projet'!$B$9,Paramètres!$A$1:$I$89,3,0)*0.475*44/12</f>
        <v>1.2013376228127699</v>
      </c>
      <c r="AC72" s="22">
        <f t="shared" si="57"/>
        <v>168.99089608173875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0.33999999999963393</v>
      </c>
      <c r="O73" s="13">
        <f>N73*VLOOKUP('Données projet'!$B$9,Paramètres!$A$1:$I$89,3,0)*VLOOKUP('Données projet'!$B$9,Paramètres!$A$1:$I$89,5,0)</f>
        <v>0.20331999999978112</v>
      </c>
      <c r="P73" s="13">
        <f t="shared" si="87"/>
        <v>0.112787248546695</v>
      </c>
      <c r="Q73" s="20">
        <f t="shared" si="54"/>
        <v>0.55055345788511245</v>
      </c>
      <c r="R73" s="59">
        <f t="shared" si="55"/>
        <v>293.8838867912184</v>
      </c>
      <c r="S73" s="59">
        <f ca="1">AVERAGE(OFFSET($R$3,0,0,'Données projet'!$E$9+1,1))-AVERAGE(OFFSET($H$3,0,0,'Données projet'!$E$9+1,1))</f>
        <v>235.66314579622622</v>
      </c>
      <c r="T73" s="59">
        <f t="shared" si="88"/>
        <v>231.1613577327077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135.0777927607522</v>
      </c>
      <c r="AA73" s="21">
        <f>EXP(-LN(2)/25)*AA72+(1-EXP(-LN(2)/25))/(LN(2)/25)*Calculateur!V73*Calculateur!X73*VLOOKUP('Données projet'!$B$9,Paramètres!$A$1:$I$89,3,0)*0.475*44/12</f>
        <v>29.189367624305603</v>
      </c>
      <c r="AB73" s="21">
        <f>EXP(-LN(2)/2)*AB72+(1-EXP(-LN(2)/2))/(LN(2)/2)*V73*Y73*VLOOKUP('Données projet'!$B$9,Paramètres!$A$1:$I$89,3,0)*0.475*44/12</f>
        <v>0.84947397958543647</v>
      </c>
      <c r="AC73" s="22">
        <f t="shared" si="57"/>
        <v>165.11663436464326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0.33999999999963393</v>
      </c>
      <c r="O74" s="13">
        <f>N74*VLOOKUP('Données projet'!$B$9,Paramètres!$A$1:$I$89,3,0)*VLOOKUP('Données projet'!$B$9,Paramètres!$A$1:$I$89,5,0)</f>
        <v>0.20331999999978112</v>
      </c>
      <c r="P74" s="13">
        <f t="shared" si="87"/>
        <v>0.112787248546695</v>
      </c>
      <c r="Q74" s="20">
        <f t="shared" si="54"/>
        <v>0.55055345788511245</v>
      </c>
      <c r="R74" s="59">
        <f t="shared" si="55"/>
        <v>293.8838867912184</v>
      </c>
      <c r="S74" s="59">
        <f ca="1">AVERAGE(OFFSET($R$3,0,0,'Données projet'!$E$9+1,1))-AVERAGE(OFFSET($H$3,0,0,'Données projet'!$E$9+1,1))</f>
        <v>235.66314579622622</v>
      </c>
      <c r="T74" s="59">
        <f t="shared" si="88"/>
        <v>231.1613577327077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132.42899963403218</v>
      </c>
      <c r="AA74" s="21">
        <f>EXP(-LN(2)/25)*AA73+(1-EXP(-LN(2)/25))/(LN(2)/25)*Calculateur!V74*Calculateur!X74*VLOOKUP('Données projet'!$B$9,Paramètres!$A$1:$I$89,3,0)*0.475*44/12</f>
        <v>28.391182831616838</v>
      </c>
      <c r="AB74" s="21">
        <f>EXP(-LN(2)/2)*AB73+(1-EXP(-LN(2)/2))/(LN(2)/2)*V74*Y74*VLOOKUP('Données projet'!$B$9,Paramètres!$A$1:$I$89,3,0)*0.475*44/12</f>
        <v>0.60066881140638495</v>
      </c>
      <c r="AC74" s="22">
        <f t="shared" si="57"/>
        <v>161.42085127705542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0.33999999999963393</v>
      </c>
      <c r="O75" s="13">
        <f>N75*VLOOKUP('Données projet'!$B$9,Paramètres!$A$1:$I$89,3,0)*VLOOKUP('Données projet'!$B$9,Paramètres!$A$1:$I$89,5,0)</f>
        <v>0.20331999999978112</v>
      </c>
      <c r="P75" s="13">
        <f t="shared" si="87"/>
        <v>0.112787248546695</v>
      </c>
      <c r="Q75" s="20">
        <f t="shared" si="54"/>
        <v>0.55055345788511245</v>
      </c>
      <c r="R75" s="59">
        <f t="shared" si="55"/>
        <v>293.8838867912184</v>
      </c>
      <c r="S75" s="59">
        <f ca="1">AVERAGE(OFFSET($R$3,0,0,'Données projet'!$E$9+1,1))-AVERAGE(OFFSET($H$3,0,0,'Données projet'!$E$9+1,1))</f>
        <v>235.66314579622622</v>
      </c>
      <c r="T75" s="59">
        <f t="shared" si="88"/>
        <v>231.1613577327077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129.83214772492283</v>
      </c>
      <c r="AA75" s="21">
        <f>EXP(-LN(2)/25)*AA74+(1-EXP(-LN(2)/25))/(LN(2)/25)*Calculateur!V75*Calculateur!X75*VLOOKUP('Données projet'!$B$9,Paramètres!$A$1:$I$89,3,0)*0.475*44/12</f>
        <v>27.614824444058861</v>
      </c>
      <c r="AB75" s="21">
        <f>EXP(-LN(2)/2)*AB74+(1-EXP(-LN(2)/2))/(LN(2)/2)*V75*Y75*VLOOKUP('Données projet'!$B$9,Paramètres!$A$1:$I$89,3,0)*0.475*44/12</f>
        <v>0.42473698979271823</v>
      </c>
      <c r="AC75" s="22">
        <f t="shared" si="57"/>
        <v>157.87170915877439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0.33999999999963393</v>
      </c>
      <c r="O76" s="13">
        <f>N76*VLOOKUP('Données projet'!$B$9,Paramètres!$A$1:$I$89,3,0)*VLOOKUP('Données projet'!$B$9,Paramètres!$A$1:$I$89,5,0)</f>
        <v>0.20331999999978112</v>
      </c>
      <c r="P76" s="13">
        <f t="shared" si="87"/>
        <v>0.112787248546695</v>
      </c>
      <c r="Q76" s="20">
        <f t="shared" si="54"/>
        <v>0.55055345788511245</v>
      </c>
      <c r="R76" s="59">
        <f t="shared" si="55"/>
        <v>293.8838867912184</v>
      </c>
      <c r="S76" s="59">
        <f ca="1">AVERAGE(OFFSET($R$3,0,0,'Données projet'!$E$9+1,1))-AVERAGE(OFFSET($H$3,0,0,'Données projet'!$E$9+1,1))</f>
        <v>235.66314579622622</v>
      </c>
      <c r="T76" s="59">
        <f t="shared" si="88"/>
        <v>231.1613577327077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127.28621849782786</v>
      </c>
      <c r="AA76" s="21">
        <f>EXP(-LN(2)/25)*AA75+(1-EXP(-LN(2)/25))/(LN(2)/25)*Calculateur!V76*Calculateur!X76*VLOOKUP('Données projet'!$B$9,Paramètres!$A$1:$I$89,3,0)*0.475*44/12</f>
        <v>26.85969561743557</v>
      </c>
      <c r="AB76" s="21">
        <f>EXP(-LN(2)/2)*AB75+(1-EXP(-LN(2)/2))/(LN(2)/2)*V76*Y76*VLOOKUP('Données projet'!$B$9,Paramètres!$A$1:$I$89,3,0)*0.475*44/12</f>
        <v>0.30033440570319248</v>
      </c>
      <c r="AC76" s="22">
        <f t="shared" si="57"/>
        <v>154.44624852096661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0.33999999999963393</v>
      </c>
      <c r="O77" s="13">
        <f>N77*VLOOKUP('Données projet'!$B$9,Paramètres!$A$1:$I$89,3,0)*VLOOKUP('Données projet'!$B$9,Paramètres!$A$1:$I$89,5,0)</f>
        <v>0.20331999999978112</v>
      </c>
      <c r="P77" s="13">
        <f t="shared" si="87"/>
        <v>0.112787248546695</v>
      </c>
      <c r="Q77" s="20">
        <f t="shared" si="54"/>
        <v>0.55055345788511245</v>
      </c>
      <c r="R77" s="59">
        <f t="shared" si="55"/>
        <v>293.8838867912184</v>
      </c>
      <c r="S77" s="59">
        <f ca="1">AVERAGE(OFFSET($R$3,0,0,'Données projet'!$E$9+1,1))-AVERAGE(OFFSET($H$3,0,0,'Données projet'!$E$9+1,1))</f>
        <v>235.66314579622622</v>
      </c>
      <c r="T77" s="59">
        <f t="shared" si="88"/>
        <v>231.1613577327077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124.79021339001272</v>
      </c>
      <c r="AA77" s="21">
        <f>EXP(-LN(2)/25)*AA76+(1-EXP(-LN(2)/25))/(LN(2)/25)*Calculateur!V77*Calculateur!X77*VLOOKUP('Données projet'!$B$9,Paramètres!$A$1:$I$89,3,0)*0.475*44/12</f>
        <v>26.125215828286791</v>
      </c>
      <c r="AB77" s="21">
        <f>EXP(-LN(2)/2)*AB76+(1-EXP(-LN(2)/2))/(LN(2)/2)*V77*Y77*VLOOKUP('Données projet'!$B$9,Paramètres!$A$1:$I$89,3,0)*0.475*44/12</f>
        <v>0.21236849489635912</v>
      </c>
      <c r="AC77" s="22">
        <f t="shared" si="57"/>
        <v>151.12779771319589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0.33999999999963393</v>
      </c>
      <c r="O78" s="13">
        <f>N78*VLOOKUP('Données projet'!$B$9,Paramètres!$A$1:$I$89,3,0)*VLOOKUP('Données projet'!$B$9,Paramètres!$A$1:$I$89,5,0)</f>
        <v>0.20331999999978112</v>
      </c>
      <c r="P78" s="13">
        <f t="shared" si="87"/>
        <v>0.112787248546695</v>
      </c>
      <c r="Q78" s="20">
        <f t="shared" si="54"/>
        <v>0.55055345788511245</v>
      </c>
      <c r="R78" s="59">
        <f t="shared" si="55"/>
        <v>293.8838867912184</v>
      </c>
      <c r="S78" s="59">
        <f ca="1">AVERAGE(OFFSET($R$3,0,0,'Données projet'!$E$9+1,1))-AVERAGE(OFFSET($H$3,0,0,'Données projet'!$E$9+1,1))</f>
        <v>235.66314579622622</v>
      </c>
      <c r="T78" s="59">
        <f t="shared" si="88"/>
        <v>231.1613577327077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122.34315341994906</v>
      </c>
      <c r="AA78" s="21">
        <f>EXP(-LN(2)/25)*AA77+(1-EXP(-LN(2)/25))/(LN(2)/25)*Calculateur!V78*Calculateur!X78*VLOOKUP('Données projet'!$B$9,Paramètres!$A$1:$I$89,3,0)*0.475*44/12</f>
        <v>25.410820427596899</v>
      </c>
      <c r="AB78" s="21">
        <f>EXP(-LN(2)/2)*AB77+(1-EXP(-LN(2)/2))/(LN(2)/2)*V78*Y78*VLOOKUP('Données projet'!$B$9,Paramètres!$A$1:$I$89,3,0)*0.475*44/12</f>
        <v>0.15016720285159624</v>
      </c>
      <c r="AC78" s="22">
        <f t="shared" si="57"/>
        <v>147.90414105039756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0.33999999999963393</v>
      </c>
      <c r="O79" s="13">
        <f>N79*VLOOKUP('Données projet'!$B$9,Paramètres!$A$1:$I$89,3,0)*VLOOKUP('Données projet'!$B$9,Paramètres!$A$1:$I$89,5,0)</f>
        <v>0.20331999999978112</v>
      </c>
      <c r="P79" s="13">
        <f t="shared" si="87"/>
        <v>0.112787248546695</v>
      </c>
      <c r="Q79" s="20">
        <f t="shared" si="54"/>
        <v>0.55055345788511245</v>
      </c>
      <c r="R79" s="59">
        <f t="shared" si="55"/>
        <v>293.8838867912184</v>
      </c>
      <c r="S79" s="59">
        <f ca="1">AVERAGE(OFFSET($R$3,0,0,'Données projet'!$E$9+1,1))-AVERAGE(OFFSET($H$3,0,0,'Données projet'!$E$9+1,1))</f>
        <v>235.66314579622622</v>
      </c>
      <c r="T79" s="59">
        <f t="shared" si="88"/>
        <v>231.1613577327077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119.94407880333914</v>
      </c>
      <c r="AA79" s="21">
        <f>EXP(-LN(2)/25)*AA78+(1-EXP(-LN(2)/25))/(LN(2)/25)*Calculateur!V79*Calculateur!X79*VLOOKUP('Données projet'!$B$9,Paramètres!$A$1:$I$89,3,0)*0.475*44/12</f>
        <v>24.715960206707294</v>
      </c>
      <c r="AB79" s="21">
        <f>EXP(-LN(2)/2)*AB78+(1-EXP(-LN(2)/2))/(LN(2)/2)*V79*Y79*VLOOKUP('Données projet'!$B$9,Paramètres!$A$1:$I$89,3,0)*0.475*44/12</f>
        <v>0.10618424744817956</v>
      </c>
      <c r="AC79" s="22">
        <f t="shared" si="57"/>
        <v>144.7662232574946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0.33999999999963393</v>
      </c>
      <c r="O80" s="13">
        <f>N80*VLOOKUP('Données projet'!$B$9,Paramètres!$A$1:$I$89,3,0)*VLOOKUP('Données projet'!$B$9,Paramètres!$A$1:$I$89,5,0)</f>
        <v>0.20331999999978112</v>
      </c>
      <c r="P80" s="13">
        <f t="shared" si="87"/>
        <v>0.112787248546695</v>
      </c>
      <c r="Q80" s="20">
        <f t="shared" si="54"/>
        <v>0.55055345788511245</v>
      </c>
      <c r="R80" s="59">
        <f t="shared" si="55"/>
        <v>293.8838867912184</v>
      </c>
      <c r="S80" s="59">
        <f ca="1">AVERAGE(OFFSET($R$3,0,0,'Données projet'!$E$9+1,1))-AVERAGE(OFFSET($H$3,0,0,'Données projet'!$E$9+1,1))</f>
        <v>235.66314579622622</v>
      </c>
      <c r="T80" s="59">
        <f t="shared" si="88"/>
        <v>231.1613577327077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117.59204857666991</v>
      </c>
      <c r="AA80" s="21">
        <f>EXP(-LN(2)/25)*AA79+(1-EXP(-LN(2)/25))/(LN(2)/25)*Calculateur!V80*Calculateur!X80*VLOOKUP('Données projet'!$B$9,Paramètres!$A$1:$I$89,3,0)*0.475*44/12</f>
        <v>24.040100975099026</v>
      </c>
      <c r="AB80" s="21">
        <f>EXP(-LN(2)/2)*AB79+(1-EXP(-LN(2)/2))/(LN(2)/2)*V80*Y80*VLOOKUP('Données projet'!$B$9,Paramètres!$A$1:$I$89,3,0)*0.475*44/12</f>
        <v>7.5083601425798119E-2</v>
      </c>
      <c r="AC80" s="22">
        <f t="shared" si="57"/>
        <v>141.70723315319475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0.33999999999963393</v>
      </c>
      <c r="O81" s="13">
        <f>N81*VLOOKUP('Données projet'!$B$9,Paramètres!$A$1:$I$89,3,0)*VLOOKUP('Données projet'!$B$9,Paramètres!$A$1:$I$89,5,0)</f>
        <v>0.20331999999978112</v>
      </c>
      <c r="P81" s="13">
        <f t="shared" si="87"/>
        <v>0.112787248546695</v>
      </c>
      <c r="Q81" s="20">
        <f t="shared" si="54"/>
        <v>0.55055345788511245</v>
      </c>
      <c r="R81" s="59">
        <f t="shared" si="55"/>
        <v>293.8838867912184</v>
      </c>
      <c r="S81" s="59">
        <f ca="1">AVERAGE(OFFSET($R$3,0,0,'Données projet'!$E$9+1,1))-AVERAGE(OFFSET($H$3,0,0,'Données projet'!$E$9+1,1))</f>
        <v>235.66314579622622</v>
      </c>
      <c r="T81" s="59">
        <f t="shared" si="88"/>
        <v>231.1613577327077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115.28614022814888</v>
      </c>
      <c r="AA81" s="21">
        <f>EXP(-LN(2)/25)*AA80+(1-EXP(-LN(2)/25))/(LN(2)/25)*Calculateur!V81*Calculateur!X81*VLOOKUP('Données projet'!$B$9,Paramètres!$A$1:$I$89,3,0)*0.475*44/12</f>
        <v>23.382723149720977</v>
      </c>
      <c r="AB81" s="21">
        <f>EXP(-LN(2)/2)*AB80+(1-EXP(-LN(2)/2))/(LN(2)/2)*V81*Y81*VLOOKUP('Données projet'!$B$9,Paramètres!$A$1:$I$89,3,0)*0.475*44/12</f>
        <v>5.3092123724089779E-2</v>
      </c>
      <c r="AC81" s="22">
        <f t="shared" si="57"/>
        <v>138.72195550159395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0.33999999999963393</v>
      </c>
      <c r="O82" s="13">
        <f>N82*VLOOKUP('Données projet'!$B$9,Paramètres!$A$1:$I$89,3,0)*VLOOKUP('Données projet'!$B$9,Paramètres!$A$1:$I$89,5,0)</f>
        <v>0.20331999999978112</v>
      </c>
      <c r="P82" s="13">
        <f t="shared" si="87"/>
        <v>0.112787248546695</v>
      </c>
      <c r="Q82" s="20">
        <f t="shared" si="54"/>
        <v>0.55055345788511245</v>
      </c>
      <c r="R82" s="59">
        <f t="shared" si="55"/>
        <v>293.8838867912184</v>
      </c>
      <c r="S82" s="59">
        <f ca="1">AVERAGE(OFFSET($R$3,0,0,'Données projet'!$E$9+1,1))-AVERAGE(OFFSET($H$3,0,0,'Données projet'!$E$9+1,1))</f>
        <v>235.66314579622622</v>
      </c>
      <c r="T82" s="59">
        <f t="shared" si="88"/>
        <v>231.1613577327077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113.02544933587713</v>
      </c>
      <c r="AA82" s="21">
        <f>EXP(-LN(2)/25)*AA81+(1-EXP(-LN(2)/25))/(LN(2)/25)*Calculateur!V82*Calculateur!X82*VLOOKUP('Données projet'!$B$9,Paramètres!$A$1:$I$89,3,0)*0.475*44/12</f>
        <v>22.743321355547888</v>
      </c>
      <c r="AB82" s="21">
        <f>EXP(-LN(2)/2)*AB81+(1-EXP(-LN(2)/2))/(LN(2)/2)*V82*Y82*VLOOKUP('Données projet'!$B$9,Paramètres!$A$1:$I$89,3,0)*0.475*44/12</f>
        <v>3.7541800712899059E-2</v>
      </c>
      <c r="AC82" s="22">
        <f t="shared" si="57"/>
        <v>135.80631249213789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0.33999999999963393</v>
      </c>
      <c r="O83" s="13">
        <f>N83*VLOOKUP('Données projet'!$B$9,Paramètres!$A$1:$I$89,3,0)*VLOOKUP('Données projet'!$B$9,Paramètres!$A$1:$I$89,5,0)</f>
        <v>0.20331999999978112</v>
      </c>
      <c r="P83" s="13">
        <f t="shared" si="87"/>
        <v>0.112787248546695</v>
      </c>
      <c r="Q83" s="20">
        <f t="shared" si="54"/>
        <v>0.55055345788511245</v>
      </c>
      <c r="R83" s="59">
        <f t="shared" si="55"/>
        <v>293.8838867912184</v>
      </c>
      <c r="S83" s="59">
        <f ca="1">AVERAGE(OFFSET($R$3,0,0,'Données projet'!$E$9+1,1))-AVERAGE(OFFSET($H$3,0,0,'Données projet'!$E$9+1,1))</f>
        <v>235.66314579622622</v>
      </c>
      <c r="T83" s="59">
        <f t="shared" si="88"/>
        <v>231.1613577327077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110.80908921311755</v>
      </c>
      <c r="AA83" s="21">
        <f>EXP(-LN(2)/25)*AA82+(1-EXP(-LN(2)/25))/(LN(2)/25)*Calculateur!V83*Calculateur!X83*VLOOKUP('Données projet'!$B$9,Paramètres!$A$1:$I$89,3,0)*0.475*44/12</f>
        <v>22.12140403706114</v>
      </c>
      <c r="AB83" s="21">
        <f>EXP(-LN(2)/2)*AB82+(1-EXP(-LN(2)/2))/(LN(2)/2)*V83*Y83*VLOOKUP('Données projet'!$B$9,Paramètres!$A$1:$I$89,3,0)*0.475*44/12</f>
        <v>2.654606186204489E-2</v>
      </c>
      <c r="AC83" s="22">
        <f t="shared" si="57"/>
        <v>132.95703931204073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0.33999999999963393</v>
      </c>
      <c r="O84" s="13">
        <f>N84*VLOOKUP('Données projet'!$B$9,Paramètres!$A$1:$I$89,3,0)*VLOOKUP('Données projet'!$B$9,Paramètres!$A$1:$I$89,5,0)</f>
        <v>0.20331999999978112</v>
      </c>
      <c r="P84" s="13">
        <f t="shared" si="87"/>
        <v>0.112787248546695</v>
      </c>
      <c r="Q84" s="20">
        <f t="shared" si="54"/>
        <v>0.55055345788511245</v>
      </c>
      <c r="R84" s="59">
        <f t="shared" si="55"/>
        <v>293.8838867912184</v>
      </c>
      <c r="S84" s="59">
        <f ca="1">AVERAGE(OFFSET($R$3,0,0,'Données projet'!$E$9+1,1))-AVERAGE(OFFSET($H$3,0,0,'Données projet'!$E$9+1,1))</f>
        <v>235.66314579622622</v>
      </c>
      <c r="T84" s="59">
        <f t="shared" si="88"/>
        <v>231.1613577327077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108.63619056051908</v>
      </c>
      <c r="AA84" s="21">
        <f>EXP(-LN(2)/25)*AA83+(1-EXP(-LN(2)/25))/(LN(2)/25)*Calculateur!V84*Calculateur!X84*VLOOKUP('Données projet'!$B$9,Paramètres!$A$1:$I$89,3,0)*0.475*44/12</f>
        <v>21.516493080353623</v>
      </c>
      <c r="AB84" s="21">
        <f>EXP(-LN(2)/2)*AB83+(1-EXP(-LN(2)/2))/(LN(2)/2)*V84*Y84*VLOOKUP('Données projet'!$B$9,Paramètres!$A$1:$I$89,3,0)*0.475*44/12</f>
        <v>1.877090035644953E-2</v>
      </c>
      <c r="AC84" s="22">
        <f t="shared" si="57"/>
        <v>130.17145454122917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0.33999999999963393</v>
      </c>
      <c r="O85" s="13">
        <f>N85*VLOOKUP('Données projet'!$B$9,Paramètres!$A$1:$I$89,3,0)*VLOOKUP('Données projet'!$B$9,Paramètres!$A$1:$I$89,5,0)</f>
        <v>0.20331999999978112</v>
      </c>
      <c r="P85" s="13">
        <f t="shared" si="87"/>
        <v>0.112787248546695</v>
      </c>
      <c r="Q85" s="20">
        <f t="shared" si="54"/>
        <v>0.55055345788511245</v>
      </c>
      <c r="R85" s="59">
        <f t="shared" si="55"/>
        <v>293.8838867912184</v>
      </c>
      <c r="S85" s="59">
        <f ca="1">AVERAGE(OFFSET($R$3,0,0,'Données projet'!$E$9+1,1))-AVERAGE(OFFSET($H$3,0,0,'Données projet'!$E$9+1,1))</f>
        <v>235.66314579622622</v>
      </c>
      <c r="T85" s="59">
        <f t="shared" si="88"/>
        <v>231.1613577327077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106.50590112516076</v>
      </c>
      <c r="AA85" s="21">
        <f>EXP(-LN(2)/25)*AA84+(1-EXP(-LN(2)/25))/(LN(2)/25)*Calculateur!V85*Calculateur!X85*VLOOKUP('Données projet'!$B$9,Paramètres!$A$1:$I$89,3,0)*0.475*44/12</f>
        <v>20.928123445568158</v>
      </c>
      <c r="AB85" s="21">
        <f>EXP(-LN(2)/2)*AB84+(1-EXP(-LN(2)/2))/(LN(2)/2)*V85*Y85*VLOOKUP('Données projet'!$B$9,Paramètres!$A$1:$I$89,3,0)*0.475*44/12</f>
        <v>1.3273030931022445E-2</v>
      </c>
      <c r="AC85" s="22">
        <f t="shared" si="57"/>
        <v>127.44729760165994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0.33999999999963393</v>
      </c>
      <c r="O86" s="13">
        <f>N86*VLOOKUP('Données projet'!$B$9,Paramètres!$A$1:$I$89,3,0)*VLOOKUP('Données projet'!$B$9,Paramètres!$A$1:$I$89,5,0)</f>
        <v>0.20331999999978112</v>
      </c>
      <c r="P86" s="13">
        <f t="shared" si="87"/>
        <v>0.112787248546695</v>
      </c>
      <c r="Q86" s="20">
        <f t="shared" si="54"/>
        <v>0.55055345788511245</v>
      </c>
      <c r="R86" s="59">
        <f t="shared" si="55"/>
        <v>293.8838867912184</v>
      </c>
      <c r="S86" s="59">
        <f ca="1">AVERAGE(OFFSET($R$3,0,0,'Données projet'!$E$9+1,1))-AVERAGE(OFFSET($H$3,0,0,'Données projet'!$E$9+1,1))</f>
        <v>235.66314579622622</v>
      </c>
      <c r="T86" s="59">
        <f t="shared" si="88"/>
        <v>231.1613577327077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104.41738536628156</v>
      </c>
      <c r="AA86" s="21">
        <f>EXP(-LN(2)/25)*AA85+(1-EXP(-LN(2)/25))/(LN(2)/25)*Calculateur!V86*Calculateur!X86*VLOOKUP('Données projet'!$B$9,Paramètres!$A$1:$I$89,3,0)*0.475*44/12</f>
        <v>20.355842809386917</v>
      </c>
      <c r="AB86" s="21">
        <f>EXP(-LN(2)/2)*AB85+(1-EXP(-LN(2)/2))/(LN(2)/2)*V86*Y86*VLOOKUP('Données projet'!$B$9,Paramètres!$A$1:$I$89,3,0)*0.475*44/12</f>
        <v>9.3854501782247649E-3</v>
      </c>
      <c r="AC86" s="22">
        <f t="shared" si="57"/>
        <v>124.78261362584671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0.33999999999963393</v>
      </c>
      <c r="O87" s="13">
        <f>N87*VLOOKUP('Données projet'!$B$9,Paramètres!$A$1:$I$89,3,0)*VLOOKUP('Données projet'!$B$9,Paramètres!$A$1:$I$89,5,0)</f>
        <v>0.20331999999978112</v>
      </c>
      <c r="P87" s="13">
        <f t="shared" si="87"/>
        <v>0.112787248546695</v>
      </c>
      <c r="Q87" s="20">
        <f t="shared" si="54"/>
        <v>0.55055345788511245</v>
      </c>
      <c r="R87" s="59">
        <f t="shared" si="55"/>
        <v>293.8838867912184</v>
      </c>
      <c r="S87" s="59">
        <f ca="1">AVERAGE(OFFSET($R$3,0,0,'Données projet'!$E$9+1,1))-AVERAGE(OFFSET($H$3,0,0,'Données projet'!$E$9+1,1))</f>
        <v>235.66314579622622</v>
      </c>
      <c r="T87" s="59">
        <f t="shared" si="88"/>
        <v>231.1613577327077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102.36982412756515</v>
      </c>
      <c r="AA87" s="21">
        <f>EXP(-LN(2)/25)*AA86+(1-EXP(-LN(2)/25))/(LN(2)/25)*Calculateur!V87*Calculateur!X87*VLOOKUP('Données projet'!$B$9,Paramètres!$A$1:$I$89,3,0)*0.475*44/12</f>
        <v>19.799211217296982</v>
      </c>
      <c r="AB87" s="21">
        <f>EXP(-LN(2)/2)*AB86+(1-EXP(-LN(2)/2))/(LN(2)/2)*V87*Y87*VLOOKUP('Données projet'!$B$9,Paramètres!$A$1:$I$89,3,0)*0.475*44/12</f>
        <v>6.6365154655112224E-3</v>
      </c>
      <c r="AC87" s="22">
        <f t="shared" si="57"/>
        <v>122.17567186032765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0.33999999999963393</v>
      </c>
      <c r="O88" s="13">
        <f>N88*VLOOKUP('Données projet'!$B$9,Paramètres!$A$1:$I$89,3,0)*VLOOKUP('Données projet'!$B$9,Paramètres!$A$1:$I$89,5,0)</f>
        <v>0.20331999999978112</v>
      </c>
      <c r="P88" s="13">
        <f t="shared" si="87"/>
        <v>0.112787248546695</v>
      </c>
      <c r="Q88" s="20">
        <f t="shared" si="54"/>
        <v>0.55055345788511245</v>
      </c>
      <c r="R88" s="59">
        <f t="shared" si="55"/>
        <v>293.8838867912184</v>
      </c>
      <c r="S88" s="59">
        <f ca="1">AVERAGE(OFFSET($R$3,0,0,'Données projet'!$E$9+1,1))-AVERAGE(OFFSET($H$3,0,0,'Données projet'!$E$9+1,1))</f>
        <v>235.66314579622622</v>
      </c>
      <c r="T88" s="59">
        <f t="shared" si="88"/>
        <v>231.1613577327077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100.36241431585094</v>
      </c>
      <c r="AA88" s="21">
        <f>EXP(-LN(2)/25)*AA87+(1-EXP(-LN(2)/25))/(LN(2)/25)*Calculateur!V88*Calculateur!X88*VLOOKUP('Données projet'!$B$9,Paramètres!$A$1:$I$89,3,0)*0.475*44/12</f>
        <v>19.25780074536473</v>
      </c>
      <c r="AB88" s="21">
        <f>EXP(-LN(2)/2)*AB87+(1-EXP(-LN(2)/2))/(LN(2)/2)*V88*Y88*VLOOKUP('Données projet'!$B$9,Paramètres!$A$1:$I$89,3,0)*0.475*44/12</f>
        <v>4.6927250891123824E-3</v>
      </c>
      <c r="AC88" s="22">
        <f t="shared" si="57"/>
        <v>119.62490778630479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0.33999999999963393</v>
      </c>
      <c r="O89" s="13">
        <f>N89*VLOOKUP('Données projet'!$B$9,Paramètres!$A$1:$I$89,3,0)*VLOOKUP('Données projet'!$B$9,Paramètres!$A$1:$I$89,5,0)</f>
        <v>0.20331999999978112</v>
      </c>
      <c r="P89" s="13">
        <f t="shared" si="87"/>
        <v>0.112787248546695</v>
      </c>
      <c r="Q89" s="20">
        <f t="shared" si="54"/>
        <v>0.55055345788511245</v>
      </c>
      <c r="R89" s="59">
        <f t="shared" si="55"/>
        <v>293.8838867912184</v>
      </c>
      <c r="S89" s="59">
        <f ca="1">AVERAGE(OFFSET($R$3,0,0,'Données projet'!$E$9+1,1))-AVERAGE(OFFSET($H$3,0,0,'Données projet'!$E$9+1,1))</f>
        <v>235.66314579622622</v>
      </c>
      <c r="T89" s="59">
        <f t="shared" si="88"/>
        <v>231.1613577327077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98.394368586145362</v>
      </c>
      <c r="AA89" s="21">
        <f>EXP(-LN(2)/25)*AA88+(1-EXP(-LN(2)/25))/(LN(2)/25)*Calculateur!V89*Calculateur!X89*VLOOKUP('Données projet'!$B$9,Paramètres!$A$1:$I$89,3,0)*0.475*44/12</f>
        <v>18.731195171259003</v>
      </c>
      <c r="AB89" s="21">
        <f>EXP(-LN(2)/2)*AB88+(1-EXP(-LN(2)/2))/(LN(2)/2)*V89*Y89*VLOOKUP('Données projet'!$B$9,Paramètres!$A$1:$I$89,3,0)*0.475*44/12</f>
        <v>3.3182577327556112E-3</v>
      </c>
      <c r="AC89" s="22">
        <f t="shared" si="57"/>
        <v>117.12888201513712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0.33999999999963393</v>
      </c>
      <c r="O90" s="13">
        <f>N90*VLOOKUP('Données projet'!$B$9,Paramètres!$A$1:$I$89,3,0)*VLOOKUP('Données projet'!$B$9,Paramètres!$A$1:$I$89,5,0)</f>
        <v>0.20331999999978112</v>
      </c>
      <c r="P90" s="13">
        <f t="shared" si="87"/>
        <v>0.112787248546695</v>
      </c>
      <c r="Q90" s="20">
        <f t="shared" si="54"/>
        <v>0.55055345788511245</v>
      </c>
      <c r="R90" s="59">
        <f t="shared" si="55"/>
        <v>293.8838867912184</v>
      </c>
      <c r="S90" s="59">
        <f ca="1">AVERAGE(OFFSET($R$3,0,0,'Données projet'!$E$9+1,1))-AVERAGE(OFFSET($H$3,0,0,'Données projet'!$E$9+1,1))</f>
        <v>235.66314579622622</v>
      </c>
      <c r="T90" s="59">
        <f t="shared" si="88"/>
        <v>231.1613577327077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96.464915032809941</v>
      </c>
      <c r="AA90" s="21">
        <f>EXP(-LN(2)/25)*AA89+(1-EXP(-LN(2)/25))/(LN(2)/25)*Calculateur!V90*Calculateur!X90*VLOOKUP('Données projet'!$B$9,Paramètres!$A$1:$I$89,3,0)*0.475*44/12</f>
        <v>18.218989654270182</v>
      </c>
      <c r="AB90" s="21">
        <f>EXP(-LN(2)/2)*AB89+(1-EXP(-LN(2)/2))/(LN(2)/2)*V90*Y90*VLOOKUP('Données projet'!$B$9,Paramètres!$A$1:$I$89,3,0)*0.475*44/12</f>
        <v>2.3463625445561912E-3</v>
      </c>
      <c r="AC90" s="22">
        <f t="shared" si="57"/>
        <v>114.68625104962467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0.33999999999963393</v>
      </c>
      <c r="O91" s="13">
        <f>N91*VLOOKUP('Données projet'!$B$9,Paramètres!$A$1:$I$89,3,0)*VLOOKUP('Données projet'!$B$9,Paramètres!$A$1:$I$89,5,0)</f>
        <v>0.20331999999978112</v>
      </c>
      <c r="P91" s="13">
        <f t="shared" si="87"/>
        <v>0.112787248546695</v>
      </c>
      <c r="Q91" s="20">
        <f t="shared" si="54"/>
        <v>0.55055345788511245</v>
      </c>
      <c r="R91" s="59">
        <f t="shared" si="55"/>
        <v>293.8838867912184</v>
      </c>
      <c r="S91" s="59">
        <f ca="1">AVERAGE(OFFSET($R$3,0,0,'Données projet'!$E$9+1,1))-AVERAGE(OFFSET($H$3,0,0,'Données projet'!$E$9+1,1))</f>
        <v>235.66314579622622</v>
      </c>
      <c r="T91" s="59">
        <f t="shared" si="88"/>
        <v>231.1613577327077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94.573296886804954</v>
      </c>
      <c r="AA91" s="21">
        <f>EXP(-LN(2)/25)*AA90+(1-EXP(-LN(2)/25))/(LN(2)/25)*Calculateur!V91*Calculateur!X91*VLOOKUP('Données projet'!$B$9,Paramètres!$A$1:$I$89,3,0)*0.475*44/12</f>
        <v>17.720790424079137</v>
      </c>
      <c r="AB91" s="21">
        <f>EXP(-LN(2)/2)*AB90+(1-EXP(-LN(2)/2))/(LN(2)/2)*V91*Y91*VLOOKUP('Données projet'!$B$9,Paramètres!$A$1:$I$89,3,0)*0.475*44/12</f>
        <v>1.6591288663778056E-3</v>
      </c>
      <c r="AC91" s="22">
        <f t="shared" si="57"/>
        <v>112.29574643975047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0.33999999999963393</v>
      </c>
      <c r="O92" s="13">
        <f>N92*VLOOKUP('Données projet'!$B$9,Paramètres!$A$1:$I$89,3,0)*VLOOKUP('Données projet'!$B$9,Paramètres!$A$1:$I$89,5,0)</f>
        <v>0.20331999999978112</v>
      </c>
      <c r="P92" s="13">
        <f t="shared" si="87"/>
        <v>0.112787248546695</v>
      </c>
      <c r="Q92" s="20">
        <f t="shared" si="54"/>
        <v>0.55055345788511245</v>
      </c>
      <c r="R92" s="59">
        <f t="shared" si="55"/>
        <v>293.8838867912184</v>
      </c>
      <c r="S92" s="59">
        <f ca="1">AVERAGE(OFFSET($R$3,0,0,'Données projet'!$E$9+1,1))-AVERAGE(OFFSET($H$3,0,0,'Données projet'!$E$9+1,1))</f>
        <v>235.66314579622622</v>
      </c>
      <c r="T92" s="59">
        <f t="shared" si="88"/>
        <v>231.1613577327077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92.718772218869987</v>
      </c>
      <c r="AA92" s="21">
        <f>EXP(-LN(2)/25)*AA91+(1-EXP(-LN(2)/25))/(LN(2)/25)*Calculateur!V92*Calculateur!X92*VLOOKUP('Données projet'!$B$9,Paramètres!$A$1:$I$89,3,0)*0.475*44/12</f>
        <v>17.236214478036825</v>
      </c>
      <c r="AB92" s="21">
        <f>EXP(-LN(2)/2)*AB91+(1-EXP(-LN(2)/2))/(LN(2)/2)*V92*Y92*VLOOKUP('Données projet'!$B$9,Paramètres!$A$1:$I$89,3,0)*0.475*44/12</f>
        <v>1.1731812722780956E-3</v>
      </c>
      <c r="AC92" s="22">
        <f t="shared" si="57"/>
        <v>109.95615987817909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0.33999999999963393</v>
      </c>
      <c r="O93" s="13">
        <f>N93*VLOOKUP('Données projet'!$B$9,Paramètres!$A$1:$I$89,3,0)*VLOOKUP('Données projet'!$B$9,Paramètres!$A$1:$I$89,5,0)</f>
        <v>0.20331999999978112</v>
      </c>
      <c r="P93" s="13">
        <f t="shared" si="87"/>
        <v>0.112787248546695</v>
      </c>
      <c r="Q93" s="20">
        <f t="shared" si="54"/>
        <v>0.55055345788511245</v>
      </c>
      <c r="R93" s="59">
        <f t="shared" si="55"/>
        <v>293.8838867912184</v>
      </c>
      <c r="S93" s="59">
        <f ca="1">AVERAGE(OFFSET($R$3,0,0,'Données projet'!$E$9+1,1))-AVERAGE(OFFSET($H$3,0,0,'Données projet'!$E$9+1,1))</f>
        <v>235.66314579622622</v>
      </c>
      <c r="T93" s="59">
        <f t="shared" si="88"/>
        <v>231.1613577327077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90.900613648524867</v>
      </c>
      <c r="AA93" s="21">
        <f>EXP(-LN(2)/25)*AA92+(1-EXP(-LN(2)/25))/(LN(2)/25)*Calculateur!V93*Calculateur!X93*VLOOKUP('Données projet'!$B$9,Paramètres!$A$1:$I$89,3,0)*0.475*44/12</f>
        <v>16.764889286721782</v>
      </c>
      <c r="AB93" s="21">
        <f>EXP(-LN(2)/2)*AB92+(1-EXP(-LN(2)/2))/(LN(2)/2)*V93*Y93*VLOOKUP('Données projet'!$B$9,Paramètres!$A$1:$I$89,3,0)*0.475*44/12</f>
        <v>8.295644331889028E-4</v>
      </c>
      <c r="AC93" s="22">
        <f t="shared" si="57"/>
        <v>107.66633249967984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0.33999999999963393</v>
      </c>
      <c r="O94" s="13">
        <f>N94*VLOOKUP('Données projet'!$B$9,Paramètres!$A$1:$I$89,3,0)*VLOOKUP('Données projet'!$B$9,Paramètres!$A$1:$I$89,5,0)</f>
        <v>0.20331999999978112</v>
      </c>
      <c r="P94" s="13">
        <f t="shared" si="87"/>
        <v>0.112787248546695</v>
      </c>
      <c r="Q94" s="20">
        <f t="shared" si="54"/>
        <v>0.55055345788511245</v>
      </c>
      <c r="R94" s="59">
        <f t="shared" si="55"/>
        <v>293.8838867912184</v>
      </c>
      <c r="S94" s="59">
        <f ca="1">AVERAGE(OFFSET($R$3,0,0,'Données projet'!$E$9+1,1))-AVERAGE(OFFSET($H$3,0,0,'Données projet'!$E$9+1,1))</f>
        <v>235.66314579622622</v>
      </c>
      <c r="T94" s="59">
        <f t="shared" si="88"/>
        <v>231.1613577327077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89.118108058776997</v>
      </c>
      <c r="AA94" s="21">
        <f>EXP(-LN(2)/25)*AA93+(1-EXP(-LN(2)/25))/(LN(2)/25)*Calculateur!V94*Calculateur!X94*VLOOKUP('Données projet'!$B$9,Paramètres!$A$1:$I$89,3,0)*0.475*44/12</f>
        <v>16.306452507549164</v>
      </c>
      <c r="AB94" s="21">
        <f>EXP(-LN(2)/2)*AB93+(1-EXP(-LN(2)/2))/(LN(2)/2)*V94*Y94*VLOOKUP('Données projet'!$B$9,Paramètres!$A$1:$I$89,3,0)*0.475*44/12</f>
        <v>5.865906361390478E-4</v>
      </c>
      <c r="AC94" s="22">
        <f t="shared" si="57"/>
        <v>105.4251471569623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0.33999999999963393</v>
      </c>
      <c r="O95" s="13">
        <f>N95*VLOOKUP('Données projet'!$B$9,Paramètres!$A$1:$I$89,3,0)*VLOOKUP('Données projet'!$B$9,Paramètres!$A$1:$I$89,5,0)</f>
        <v>0.20331999999978112</v>
      </c>
      <c r="P95" s="13">
        <f t="shared" si="87"/>
        <v>0.112787248546695</v>
      </c>
      <c r="Q95" s="20">
        <f t="shared" si="54"/>
        <v>0.55055345788511245</v>
      </c>
      <c r="R95" s="59">
        <f t="shared" si="55"/>
        <v>293.8838867912184</v>
      </c>
      <c r="S95" s="59">
        <f ca="1">AVERAGE(OFFSET($R$3,0,0,'Données projet'!$E$9+1,1))-AVERAGE(OFFSET($H$3,0,0,'Données projet'!$E$9+1,1))</f>
        <v>235.66314579622622</v>
      </c>
      <c r="T95" s="59">
        <f t="shared" si="88"/>
        <v>231.1613577327077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87.37055631642302</v>
      </c>
      <c r="AA95" s="21">
        <f>EXP(-LN(2)/25)*AA94+(1-EXP(-LN(2)/25))/(LN(2)/25)*Calculateur!V95*Calculateur!X95*VLOOKUP('Données projet'!$B$9,Paramètres!$A$1:$I$89,3,0)*0.475*44/12</f>
        <v>15.860551706211163</v>
      </c>
      <c r="AB95" s="21">
        <f>EXP(-LN(2)/2)*AB94+(1-EXP(-LN(2)/2))/(LN(2)/2)*V95*Y95*VLOOKUP('Données projet'!$B$9,Paramètres!$A$1:$I$89,3,0)*0.475*44/12</f>
        <v>4.147822165944514E-4</v>
      </c>
      <c r="AC95" s="22">
        <f t="shared" si="57"/>
        <v>103.23152280485078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0.33999999999963393</v>
      </c>
      <c r="O96" s="13">
        <f>N96*VLOOKUP('Données projet'!$B$9,Paramètres!$A$1:$I$89,3,0)*VLOOKUP('Données projet'!$B$9,Paramètres!$A$1:$I$89,5,0)</f>
        <v>0.20331999999978112</v>
      </c>
      <c r="P96" s="13">
        <f t="shared" si="87"/>
        <v>0.112787248546695</v>
      </c>
      <c r="Q96" s="20">
        <f t="shared" si="54"/>
        <v>0.55055345788511245</v>
      </c>
      <c r="R96" s="59">
        <f t="shared" si="55"/>
        <v>293.8838867912184</v>
      </c>
      <c r="S96" s="59">
        <f ca="1">AVERAGE(OFFSET($R$3,0,0,'Données projet'!$E$9+1,1))-AVERAGE(OFFSET($H$3,0,0,'Données projet'!$E$9+1,1))</f>
        <v>235.66314579622622</v>
      </c>
      <c r="T96" s="59">
        <f t="shared" si="88"/>
        <v>231.1613577327077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85.657272997835292</v>
      </c>
      <c r="AA96" s="21">
        <f>EXP(-LN(2)/25)*AA95+(1-EXP(-LN(2)/25))/(LN(2)/25)*Calculateur!V96*Calculateur!X96*VLOOKUP('Données projet'!$B$9,Paramètres!$A$1:$I$89,3,0)*0.475*44/12</f>
        <v>15.426844085734654</v>
      </c>
      <c r="AB96" s="21">
        <f>EXP(-LN(2)/2)*AB95+(1-EXP(-LN(2)/2))/(LN(2)/2)*V96*Y96*VLOOKUP('Données projet'!$B$9,Paramètres!$A$1:$I$89,3,0)*0.475*44/12</f>
        <v>2.932953180695239E-4</v>
      </c>
      <c r="AC96" s="22">
        <f t="shared" si="57"/>
        <v>101.08441037888802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0.33999999999963393</v>
      </c>
      <c r="O97" s="13">
        <f>N97*VLOOKUP('Données projet'!$B$9,Paramètres!$A$1:$I$89,3,0)*VLOOKUP('Données projet'!$B$9,Paramètres!$A$1:$I$89,5,0)</f>
        <v>0.20331999999978112</v>
      </c>
      <c r="P97" s="13">
        <f t="shared" si="87"/>
        <v>0.112787248546695</v>
      </c>
      <c r="Q97" s="20">
        <f t="shared" si="54"/>
        <v>0.55055345788511245</v>
      </c>
      <c r="R97" s="59">
        <f t="shared" si="55"/>
        <v>293.8838867912184</v>
      </c>
      <c r="S97" s="59">
        <f ca="1">AVERAGE(OFFSET($R$3,0,0,'Données projet'!$E$9+1,1))-AVERAGE(OFFSET($H$3,0,0,'Données projet'!$E$9+1,1))</f>
        <v>235.66314579622622</v>
      </c>
      <c r="T97" s="59">
        <f t="shared" si="88"/>
        <v>231.1613577327077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83.977586120125423</v>
      </c>
      <c r="AA97" s="21">
        <f>EXP(-LN(2)/25)*AA96+(1-EXP(-LN(2)/25))/(LN(2)/25)*Calculateur!V97*Calculateur!X97*VLOOKUP('Données projet'!$B$9,Paramètres!$A$1:$I$89,3,0)*0.475*44/12</f>
        <v>15.004996222947767</v>
      </c>
      <c r="AB97" s="21">
        <f>EXP(-LN(2)/2)*AB96+(1-EXP(-LN(2)/2))/(LN(2)/2)*V97*Y97*VLOOKUP('Données projet'!$B$9,Paramètres!$A$1:$I$89,3,0)*0.475*44/12</f>
        <v>2.073911082972257E-4</v>
      </c>
      <c r="AC97" s="22">
        <f t="shared" si="57"/>
        <v>98.98278973418148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0.33999999999963393</v>
      </c>
      <c r="O98" s="13">
        <f>N98*VLOOKUP('Données projet'!$B$9,Paramètres!$A$1:$I$89,3,0)*VLOOKUP('Données projet'!$B$9,Paramètres!$A$1:$I$89,5,0)</f>
        <v>0.20331999999978112</v>
      </c>
      <c r="P98" s="13">
        <f t="shared" si="87"/>
        <v>0.112787248546695</v>
      </c>
      <c r="Q98" s="20">
        <f t="shared" si="54"/>
        <v>0.55055345788511245</v>
      </c>
      <c r="R98" s="59">
        <f t="shared" si="55"/>
        <v>293.8838867912184</v>
      </c>
      <c r="S98" s="59">
        <f ca="1">AVERAGE(OFFSET($R$3,0,0,'Données projet'!$E$9+1,1))-AVERAGE(OFFSET($H$3,0,0,'Données projet'!$E$9+1,1))</f>
        <v>235.66314579622622</v>
      </c>
      <c r="T98" s="59">
        <f t="shared" si="88"/>
        <v>231.1613577327077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82.330836877579614</v>
      </c>
      <c r="AA98" s="21">
        <f>EXP(-LN(2)/25)*AA97+(1-EXP(-LN(2)/25))/(LN(2)/25)*Calculateur!V98*Calculateur!X98*VLOOKUP('Données projet'!$B$9,Paramètres!$A$1:$I$89,3,0)*0.475*44/12</f>
        <v>14.594683812152804</v>
      </c>
      <c r="AB98" s="21">
        <f>EXP(-LN(2)/2)*AB97+(1-EXP(-LN(2)/2))/(LN(2)/2)*V98*Y98*VLOOKUP('Données projet'!$B$9,Paramètres!$A$1:$I$89,3,0)*0.475*44/12</f>
        <v>1.4664765903476195E-4</v>
      </c>
      <c r="AC98" s="22">
        <f t="shared" si="57"/>
        <v>96.925667337391459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0.33999999999963393</v>
      </c>
      <c r="O99" s="13">
        <f>N99*VLOOKUP('Données projet'!$B$9,Paramètres!$A$1:$I$89,3,0)*VLOOKUP('Données projet'!$B$9,Paramètres!$A$1:$I$89,5,0)</f>
        <v>0.20331999999978112</v>
      </c>
      <c r="P99" s="13">
        <f t="shared" si="87"/>
        <v>0.112787248546695</v>
      </c>
      <c r="Q99" s="20">
        <f t="shared" ref="Q99:Q130" si="107">(O99+P99)*0.475*44/12</f>
        <v>0.55055345788511245</v>
      </c>
      <c r="R99" s="59">
        <f t="shared" si="55"/>
        <v>293.8838867912184</v>
      </c>
      <c r="S99" s="59">
        <f ca="1">AVERAGE(OFFSET($R$3,0,0,'Données projet'!$E$9+1,1))-AVERAGE(OFFSET($H$3,0,0,'Données projet'!$E$9+1,1))</f>
        <v>235.66314579622622</v>
      </c>
      <c r="T99" s="59">
        <f t="shared" si="88"/>
        <v>231.1613577327077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80.716379383262264</v>
      </c>
      <c r="AA99" s="21">
        <f>EXP(-LN(2)/25)*AA98+(1-EXP(-LN(2)/25))/(LN(2)/25)*Calculateur!V99*Calculateur!X99*VLOOKUP('Données projet'!$B$9,Paramètres!$A$1:$I$89,3,0)*0.475*44/12</f>
        <v>14.195591415808421</v>
      </c>
      <c r="AB99" s="21">
        <f>EXP(-LN(2)/2)*AB98+(1-EXP(-LN(2)/2))/(LN(2)/2)*V99*Y99*VLOOKUP('Données projet'!$B$9,Paramètres!$A$1:$I$89,3,0)*0.475*44/12</f>
        <v>1.0369555414861285E-4</v>
      </c>
      <c r="AC99" s="22">
        <f t="shared" si="57"/>
        <v>94.912074494624832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0.33999999999963393</v>
      </c>
      <c r="O100" s="13">
        <f>N100*VLOOKUP('Données projet'!$B$9,Paramètres!$A$1:$I$89,3,0)*VLOOKUP('Données projet'!$B$9,Paramètres!$A$1:$I$89,5,0)</f>
        <v>0.20331999999978112</v>
      </c>
      <c r="P100" s="13">
        <f t="shared" si="87"/>
        <v>0.112787248546695</v>
      </c>
      <c r="Q100" s="20">
        <f t="shared" si="107"/>
        <v>0.55055345788511245</v>
      </c>
      <c r="R100" s="59">
        <f t="shared" si="55"/>
        <v>293.8838867912184</v>
      </c>
      <c r="S100" s="59">
        <f ca="1">AVERAGE(OFFSET($R$3,0,0,'Données projet'!$E$9+1,1))-AVERAGE(OFFSET($H$3,0,0,'Données projet'!$E$9+1,1))</f>
        <v>235.66314579622622</v>
      </c>
      <c r="T100" s="59">
        <f t="shared" si="88"/>
        <v>231.1613577327077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79.133580415686652</v>
      </c>
      <c r="AA100" s="21">
        <f>EXP(-LN(2)/25)*AA99+(1-EXP(-LN(2)/25))/(LN(2)/25)*Calculateur!V100*Calculateur!X100*VLOOKUP('Données projet'!$B$9,Paramètres!$A$1:$I$89,3,0)*0.475*44/12</f>
        <v>13.807412222029431</v>
      </c>
      <c r="AB100" s="21">
        <f>EXP(-LN(2)/2)*AB99+(1-EXP(-LN(2)/2))/(LN(2)/2)*V100*Y100*VLOOKUP('Données projet'!$B$9,Paramètres!$A$1:$I$89,3,0)*0.475*44/12</f>
        <v>7.3323829517380975E-5</v>
      </c>
      <c r="AC100" s="22">
        <f t="shared" si="57"/>
        <v>92.94106596154559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0.33999999999963393</v>
      </c>
      <c r="O101" s="13">
        <f>N101*VLOOKUP('Données projet'!$B$9,Paramètres!$A$1:$I$89,3,0)*VLOOKUP('Données projet'!$B$9,Paramètres!$A$1:$I$89,5,0)</f>
        <v>0.20331999999978112</v>
      </c>
      <c r="P101" s="13">
        <f t="shared" si="87"/>
        <v>0.112787248546695</v>
      </c>
      <c r="Q101" s="20">
        <f t="shared" si="107"/>
        <v>0.55055345788511245</v>
      </c>
      <c r="R101" s="59">
        <f t="shared" si="55"/>
        <v>293.8838867912184</v>
      </c>
      <c r="S101" s="59">
        <f ca="1">AVERAGE(OFFSET($R$3,0,0,'Données projet'!$E$9+1,1))-AVERAGE(OFFSET($H$3,0,0,'Données projet'!$E$9+1,1))</f>
        <v>235.66314579622622</v>
      </c>
      <c r="T101" s="59">
        <f t="shared" si="88"/>
        <v>231.1613577327077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77.581819170453144</v>
      </c>
      <c r="AA101" s="21">
        <f>EXP(-LN(2)/25)*AA100+(1-EXP(-LN(2)/25))/(LN(2)/25)*Calculateur!V101*Calculateur!X101*VLOOKUP('Données projet'!$B$9,Paramètres!$A$1:$I$89,3,0)*0.475*44/12</f>
        <v>13.429847808717785</v>
      </c>
      <c r="AB101" s="21">
        <f>EXP(-LN(2)/2)*AB100+(1-EXP(-LN(2)/2))/(LN(2)/2)*V101*Y101*VLOOKUP('Données projet'!$B$9,Paramètres!$A$1:$I$89,3,0)*0.475*44/12</f>
        <v>5.1847777074306425E-5</v>
      </c>
      <c r="AC101" s="22">
        <f t="shared" si="57"/>
        <v>91.011718826947998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0.33999999999963393</v>
      </c>
      <c r="O102" s="13">
        <f>N102*VLOOKUP('Données projet'!$B$9,Paramètres!$A$1:$I$89,3,0)*VLOOKUP('Données projet'!$B$9,Paramètres!$A$1:$I$89,5,0)</f>
        <v>0.20331999999978112</v>
      </c>
      <c r="P102" s="13">
        <f t="shared" si="87"/>
        <v>0.112787248546695</v>
      </c>
      <c r="Q102" s="20">
        <f t="shared" si="107"/>
        <v>0.55055345788511245</v>
      </c>
      <c r="R102" s="59">
        <f t="shared" si="55"/>
        <v>293.8838867912184</v>
      </c>
      <c r="S102" s="59">
        <f ca="1">AVERAGE(OFFSET($R$3,0,0,'Données projet'!$E$9+1,1))-AVERAGE(OFFSET($H$3,0,0,'Données projet'!$E$9+1,1))</f>
        <v>235.66314579622622</v>
      </c>
      <c r="T102" s="59">
        <f t="shared" si="88"/>
        <v>231.1613577327077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76.060487016757762</v>
      </c>
      <c r="AA102" s="21">
        <f>EXP(-LN(2)/25)*AA101+(1-EXP(-LN(2)/25))/(LN(2)/25)*Calculateur!V102*Calculateur!X102*VLOOKUP('Données projet'!$B$9,Paramètres!$A$1:$I$89,3,0)*0.475*44/12</f>
        <v>13.062607914143396</v>
      </c>
      <c r="AB102" s="21">
        <f>EXP(-LN(2)/2)*AB101+(1-EXP(-LN(2)/2))/(LN(2)/2)*V102*Y102*VLOOKUP('Données projet'!$B$9,Paramètres!$A$1:$I$89,3,0)*0.475*44/12</f>
        <v>3.6661914758690488E-5</v>
      </c>
      <c r="AC102" s="22">
        <f t="shared" si="57"/>
        <v>89.123131592815923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0.33999999999963393</v>
      </c>
      <c r="O103" s="13">
        <f>N103*VLOOKUP('Données projet'!$B$9,Paramètres!$A$1:$I$89,3,0)*VLOOKUP('Données projet'!$B$9,Paramètres!$A$1:$I$89,5,0)</f>
        <v>0.20331999999978112</v>
      </c>
      <c r="P103" s="13">
        <f t="shared" si="87"/>
        <v>0.112787248546695</v>
      </c>
      <c r="Q103" s="20">
        <f t="shared" si="107"/>
        <v>0.55055345788511245</v>
      </c>
      <c r="R103" s="59">
        <f t="shared" si="55"/>
        <v>293.8838867912184</v>
      </c>
      <c r="S103" s="59">
        <f ca="1">AVERAGE(OFFSET($R$3,0,0,'Données projet'!$E$9+1,1))-AVERAGE(OFFSET($H$3,0,0,'Données projet'!$E$9+1,1))</f>
        <v>235.66314579622622</v>
      </c>
      <c r="T103" s="59">
        <f t="shared" si="88"/>
        <v>231.1613577327077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74.568987258675364</v>
      </c>
      <c r="AA103" s="21">
        <f>EXP(-LN(2)/25)*AA102+(1-EXP(-LN(2)/25))/(LN(2)/25)*Calculateur!V103*Calculateur!X103*VLOOKUP('Données projet'!$B$9,Paramètres!$A$1:$I$89,3,0)*0.475*44/12</f>
        <v>12.70541021379845</v>
      </c>
      <c r="AB103" s="21">
        <f>EXP(-LN(2)/2)*AB102+(1-EXP(-LN(2)/2))/(LN(2)/2)*V103*Y103*VLOOKUP('Données projet'!$B$9,Paramètres!$A$1:$I$89,3,0)*0.475*44/12</f>
        <v>2.5923888537153213E-5</v>
      </c>
      <c r="AC103" s="22">
        <f t="shared" si="57"/>
        <v>87.274423396362351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0.33999999999963393</v>
      </c>
      <c r="O104" s="13">
        <f>N104*VLOOKUP('Données projet'!$B$9,Paramètres!$A$1:$I$89,3,0)*VLOOKUP('Données projet'!$B$9,Paramètres!$A$1:$I$89,5,0)</f>
        <v>0.20331999999978112</v>
      </c>
      <c r="P104" s="13">
        <f t="shared" si="87"/>
        <v>0.112787248546695</v>
      </c>
      <c r="Q104" s="20">
        <f t="shared" si="107"/>
        <v>0.55055345788511245</v>
      </c>
      <c r="R104" s="59">
        <f t="shared" si="55"/>
        <v>293.8838867912184</v>
      </c>
      <c r="S104" s="59">
        <f ca="1">AVERAGE(OFFSET($R$3,0,0,'Données projet'!$E$9+1,1))-AVERAGE(OFFSET($H$3,0,0,'Données projet'!$E$9+1,1))</f>
        <v>235.66314579622622</v>
      </c>
      <c r="T104" s="59">
        <f t="shared" si="88"/>
        <v>231.1613577327077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73.106734901123929</v>
      </c>
      <c r="AA104" s="21">
        <f>EXP(-LN(2)/25)*AA103+(1-EXP(-LN(2)/25))/(LN(2)/25)*Calculateur!V104*Calculateur!X104*VLOOKUP('Données projet'!$B$9,Paramètres!$A$1:$I$89,3,0)*0.475*44/12</f>
        <v>12.357980103353647</v>
      </c>
      <c r="AB104" s="21">
        <f>EXP(-LN(2)/2)*AB103+(1-EXP(-LN(2)/2))/(LN(2)/2)*V104*Y104*VLOOKUP('Données projet'!$B$9,Paramètres!$A$1:$I$89,3,0)*0.475*44/12</f>
        <v>1.8330957379345244E-5</v>
      </c>
      <c r="AC104" s="22">
        <f t="shared" si="57"/>
        <v>85.464733335434943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0.33999999999963393</v>
      </c>
      <c r="O105" s="13">
        <f>N105*VLOOKUP('Données projet'!$B$9,Paramètres!$A$1:$I$89,3,0)*VLOOKUP('Données projet'!$B$9,Paramètres!$A$1:$I$89,5,0)</f>
        <v>0.20331999999978112</v>
      </c>
      <c r="P105" s="13">
        <f t="shared" si="87"/>
        <v>0.112787248546695</v>
      </c>
      <c r="Q105" s="20">
        <f t="shared" si="107"/>
        <v>0.55055345788511245</v>
      </c>
      <c r="R105" s="59">
        <f t="shared" si="55"/>
        <v>293.8838867912184</v>
      </c>
      <c r="S105" s="59">
        <f ca="1">AVERAGE(OFFSET($R$3,0,0,'Données projet'!$E$9+1,1))-AVERAGE(OFFSET($H$3,0,0,'Données projet'!$E$9+1,1))</f>
        <v>235.66314579622622</v>
      </c>
      <c r="T105" s="59">
        <f t="shared" si="88"/>
        <v>231.1613577327077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71.673156420418209</v>
      </c>
      <c r="AA105" s="21">
        <f>EXP(-LN(2)/25)*AA104+(1-EXP(-LN(2)/25))/(LN(2)/25)*Calculateur!V105*Calculateur!X105*VLOOKUP('Données projet'!$B$9,Paramètres!$A$1:$I$89,3,0)*0.475*44/12</f>
        <v>12.020050487549513</v>
      </c>
      <c r="AB105" s="21">
        <f>EXP(-LN(2)/2)*AB104+(1-EXP(-LN(2)/2))/(LN(2)/2)*V105*Y105*VLOOKUP('Données projet'!$B$9,Paramètres!$A$1:$I$89,3,0)*0.475*44/12</f>
        <v>1.2961944268576606E-5</v>
      </c>
      <c r="AC105" s="22">
        <f t="shared" si="57"/>
        <v>83.693219869911985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0.33999999999963393</v>
      </c>
      <c r="O106" s="13">
        <f>N106*VLOOKUP('Données projet'!$B$9,Paramètres!$A$1:$I$89,3,0)*VLOOKUP('Données projet'!$B$9,Paramètres!$A$1:$I$89,5,0)</f>
        <v>0.20331999999978112</v>
      </c>
      <c r="P106" s="13">
        <f t="shared" si="87"/>
        <v>0.112787248546695</v>
      </c>
      <c r="Q106" s="20">
        <f t="shared" si="107"/>
        <v>0.55055345788511245</v>
      </c>
      <c r="R106" s="59">
        <f t="shared" si="55"/>
        <v>293.8838867912184</v>
      </c>
      <c r="S106" s="59">
        <f ca="1">AVERAGE(OFFSET($R$3,0,0,'Données projet'!$E$9+1,1))-AVERAGE(OFFSET($H$3,0,0,'Données projet'!$E$9+1,1))</f>
        <v>235.66314579622622</v>
      </c>
      <c r="T106" s="59">
        <f t="shared" si="88"/>
        <v>231.1613577327077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70.267689539322603</v>
      </c>
      <c r="AA106" s="21">
        <f>EXP(-LN(2)/25)*AA105+(1-EXP(-LN(2)/25))/(LN(2)/25)*Calculateur!V106*Calculateur!X106*VLOOKUP('Données projet'!$B$9,Paramètres!$A$1:$I$89,3,0)*0.475*44/12</f>
        <v>11.691361574860489</v>
      </c>
      <c r="AB106" s="21">
        <f>EXP(-LN(2)/2)*AB105+(1-EXP(-LN(2)/2))/(LN(2)/2)*V106*Y106*VLOOKUP('Données projet'!$B$9,Paramètres!$A$1:$I$89,3,0)*0.475*44/12</f>
        <v>9.1654786896726219E-6</v>
      </c>
      <c r="AC106" s="22">
        <f t="shared" si="57"/>
        <v>81.959060279661784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0.33999999999963393</v>
      </c>
      <c r="O107" s="13">
        <f>N107*VLOOKUP('Données projet'!$B$9,Paramètres!$A$1:$I$89,3,0)*VLOOKUP('Données projet'!$B$9,Paramètres!$A$1:$I$89,5,0)</f>
        <v>0.20331999999978112</v>
      </c>
      <c r="P107" s="13">
        <f t="shared" si="87"/>
        <v>0.112787248546695</v>
      </c>
      <c r="Q107" s="20">
        <f t="shared" si="107"/>
        <v>0.55055345788511245</v>
      </c>
      <c r="R107" s="59">
        <f t="shared" si="55"/>
        <v>293.8838867912184</v>
      </c>
      <c r="S107" s="59">
        <f ca="1">AVERAGE(OFFSET($R$3,0,0,'Données projet'!$E$9+1,1))-AVERAGE(OFFSET($H$3,0,0,'Données projet'!$E$9+1,1))</f>
        <v>235.66314579622622</v>
      </c>
      <c r="T107" s="59">
        <f t="shared" si="88"/>
        <v>231.1613577327077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68.889783006515131</v>
      </c>
      <c r="AA107" s="21">
        <f>EXP(-LN(2)/25)*AA106+(1-EXP(-LN(2)/25))/(LN(2)/25)*Calculateur!V107*Calculateur!X107*VLOOKUP('Données projet'!$B$9,Paramètres!$A$1:$I$89,3,0)*0.475*44/12</f>
        <v>11.371660677773944</v>
      </c>
      <c r="AB107" s="21">
        <f>EXP(-LN(2)/2)*AB106+(1-EXP(-LN(2)/2))/(LN(2)/2)*V107*Y107*VLOOKUP('Données projet'!$B$9,Paramètres!$A$1:$I$89,3,0)*0.475*44/12</f>
        <v>6.4809721342883031E-6</v>
      </c>
      <c r="AC107" s="22">
        <f t="shared" si="57"/>
        <v>80.261450165261209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0.33999999999963393</v>
      </c>
      <c r="O108" s="13">
        <f>N108*VLOOKUP('Données projet'!$B$9,Paramètres!$A$1:$I$89,3,0)*VLOOKUP('Données projet'!$B$9,Paramètres!$A$1:$I$89,5,0)</f>
        <v>0.20331999999978112</v>
      </c>
      <c r="P108" s="13">
        <f t="shared" si="87"/>
        <v>0.112787248546695</v>
      </c>
      <c r="Q108" s="20">
        <f t="shared" si="107"/>
        <v>0.55055345788511245</v>
      </c>
      <c r="R108" s="59">
        <f t="shared" si="55"/>
        <v>293.8838867912184</v>
      </c>
      <c r="S108" s="59">
        <f ca="1">AVERAGE(OFFSET($R$3,0,0,'Données projet'!$E$9+1,1))-AVERAGE(OFFSET($H$3,0,0,'Données projet'!$E$9+1,1))</f>
        <v>235.66314579622622</v>
      </c>
      <c r="T108" s="59">
        <f t="shared" si="88"/>
        <v>231.1613577327077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67.538896380376016</v>
      </c>
      <c r="AA108" s="21">
        <f>EXP(-LN(2)/25)*AA107+(1-EXP(-LN(2)/25))/(LN(2)/25)*Calculateur!V108*Calculateur!X108*VLOOKUP('Données projet'!$B$9,Paramètres!$A$1:$I$89,3,0)*0.475*44/12</f>
        <v>11.06070201853057</v>
      </c>
      <c r="AB108" s="21">
        <f>EXP(-LN(2)/2)*AB107+(1-EXP(-LN(2)/2))/(LN(2)/2)*V108*Y108*VLOOKUP('Données projet'!$B$9,Paramètres!$A$1:$I$89,3,0)*0.475*44/12</f>
        <v>4.582739344836311E-6</v>
      </c>
      <c r="AC108" s="22">
        <f t="shared" si="57"/>
        <v>78.59960298164593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0.33999999999963393</v>
      </c>
      <c r="O109" s="13">
        <f>N109*VLOOKUP('Données projet'!$B$9,Paramètres!$A$1:$I$89,3,0)*VLOOKUP('Données projet'!$B$9,Paramètres!$A$1:$I$89,5,0)</f>
        <v>0.20331999999978112</v>
      </c>
      <c r="P109" s="13">
        <f t="shared" si="87"/>
        <v>0.112787248546695</v>
      </c>
      <c r="Q109" s="20">
        <f t="shared" si="107"/>
        <v>0.55055345788511245</v>
      </c>
      <c r="R109" s="59">
        <f t="shared" si="55"/>
        <v>293.8838867912184</v>
      </c>
      <c r="S109" s="59">
        <f ca="1">AVERAGE(OFFSET($R$3,0,0,'Données projet'!$E$9+1,1))-AVERAGE(OFFSET($H$3,0,0,'Données projet'!$E$9+1,1))</f>
        <v>235.66314579622622</v>
      </c>
      <c r="T109" s="59">
        <f t="shared" si="88"/>
        <v>231.1613577327077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66.214499817016005</v>
      </c>
      <c r="AA109" s="21">
        <f>EXP(-LN(2)/25)*AA108+(1-EXP(-LN(2)/25))/(LN(2)/25)*Calculateur!V109*Calculateur!X109*VLOOKUP('Données projet'!$B$9,Paramètres!$A$1:$I$89,3,0)*0.475*44/12</f>
        <v>10.758246540176811</v>
      </c>
      <c r="AB109" s="21">
        <f>EXP(-LN(2)/2)*AB108+(1-EXP(-LN(2)/2))/(LN(2)/2)*V109*Y109*VLOOKUP('Données projet'!$B$9,Paramètres!$A$1:$I$89,3,0)*0.475*44/12</f>
        <v>3.2404860671441516E-6</v>
      </c>
      <c r="AC109" s="22">
        <f t="shared" si="57"/>
        <v>76.972749597678884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0.33999999999963393</v>
      </c>
      <c r="O110" s="13">
        <f>N110*VLOOKUP('Données projet'!$B$9,Paramètres!$A$1:$I$89,3,0)*VLOOKUP('Données projet'!$B$9,Paramètres!$A$1:$I$89,5,0)</f>
        <v>0.20331999999978112</v>
      </c>
      <c r="P110" s="13">
        <f t="shared" si="87"/>
        <v>0.112787248546695</v>
      </c>
      <c r="Q110" s="20">
        <f t="shared" si="107"/>
        <v>0.55055345788511245</v>
      </c>
      <c r="R110" s="59">
        <f t="shared" si="55"/>
        <v>293.8838867912184</v>
      </c>
      <c r="S110" s="59">
        <f ca="1">AVERAGE(OFFSET($R$3,0,0,'Données projet'!$E$9+1,1))-AVERAGE(OFFSET($H$3,0,0,'Données projet'!$E$9+1,1))</f>
        <v>235.66314579622622</v>
      </c>
      <c r="T110" s="59">
        <f t="shared" si="88"/>
        <v>231.1613577327077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64.916073862461332</v>
      </c>
      <c r="AA110" s="21">
        <f>EXP(-LN(2)/25)*AA109+(1-EXP(-LN(2)/25))/(LN(2)/25)*Calculateur!V110*Calculateur!X110*VLOOKUP('Données projet'!$B$9,Paramètres!$A$1:$I$89,3,0)*0.475*44/12</f>
        <v>10.464061722784079</v>
      </c>
      <c r="AB110" s="21">
        <f>EXP(-LN(2)/2)*AB109+(1-EXP(-LN(2)/2))/(LN(2)/2)*V110*Y110*VLOOKUP('Données projet'!$B$9,Paramètres!$A$1:$I$89,3,0)*0.475*44/12</f>
        <v>2.2913696724181555E-6</v>
      </c>
      <c r="AC110" s="22">
        <f t="shared" si="57"/>
        <v>75.38013787661508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0.33999999999963393</v>
      </c>
      <c r="O111" s="13">
        <f>N111*VLOOKUP('Données projet'!$B$9,Paramètres!$A$1:$I$89,3,0)*VLOOKUP('Données projet'!$B$9,Paramètres!$A$1:$I$89,5,0)</f>
        <v>0.20331999999978112</v>
      </c>
      <c r="P111" s="13">
        <f t="shared" si="87"/>
        <v>0.112787248546695</v>
      </c>
      <c r="Q111" s="20">
        <f t="shared" si="107"/>
        <v>0.55055345788511245</v>
      </c>
      <c r="R111" s="59">
        <f t="shared" si="55"/>
        <v>293.8838867912184</v>
      </c>
      <c r="S111" s="59">
        <f ca="1">AVERAGE(OFFSET($R$3,0,0,'Données projet'!$E$9+1,1))-AVERAGE(OFFSET($H$3,0,0,'Données projet'!$E$9+1,1))</f>
        <v>235.66314579622622</v>
      </c>
      <c r="T111" s="59">
        <f t="shared" si="88"/>
        <v>231.1613577327077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63.643109248913852</v>
      </c>
      <c r="AA111" s="21">
        <f>EXP(-LN(2)/25)*AA110+(1-EXP(-LN(2)/25))/(LN(2)/25)*Calculateur!V111*Calculateur!X111*VLOOKUP('Données projet'!$B$9,Paramètres!$A$1:$I$89,3,0)*0.475*44/12</f>
        <v>10.177921404693459</v>
      </c>
      <c r="AB111" s="21">
        <f>EXP(-LN(2)/2)*AB110+(1-EXP(-LN(2)/2))/(LN(2)/2)*V111*Y111*VLOOKUP('Données projet'!$B$9,Paramètres!$A$1:$I$89,3,0)*0.475*44/12</f>
        <v>1.6202430335720758E-6</v>
      </c>
      <c r="AC111" s="22">
        <f t="shared" si="57"/>
        <v>73.821032273850349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0.33999999999963393</v>
      </c>
      <c r="O112" s="13">
        <f>N112*VLOOKUP('Données projet'!$B$9,Paramètres!$A$1:$I$89,3,0)*VLOOKUP('Données projet'!$B$9,Paramètres!$A$1:$I$89,5,0)</f>
        <v>0.20331999999978112</v>
      </c>
      <c r="P112" s="13">
        <f t="shared" si="87"/>
        <v>0.112787248546695</v>
      </c>
      <c r="Q112" s="20">
        <f t="shared" si="107"/>
        <v>0.55055345788511245</v>
      </c>
      <c r="R112" s="59">
        <f t="shared" si="55"/>
        <v>293.8838867912184</v>
      </c>
      <c r="S112" s="59">
        <f ca="1">AVERAGE(OFFSET($R$3,0,0,'Données projet'!$E$9+1,1))-AVERAGE(OFFSET($H$3,0,0,'Données projet'!$E$9+1,1))</f>
        <v>235.66314579622622</v>
      </c>
      <c r="T112" s="59">
        <f t="shared" si="88"/>
        <v>231.1613577327077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62.395106695006291</v>
      </c>
      <c r="AA112" s="21">
        <f>EXP(-LN(2)/25)*AA111+(1-EXP(-LN(2)/25))/(LN(2)/25)*Calculateur!V112*Calculateur!X112*VLOOKUP('Données projet'!$B$9,Paramètres!$A$1:$I$89,3,0)*0.475*44/12</f>
        <v>9.8996056086484909</v>
      </c>
      <c r="AB112" s="21">
        <f>EXP(-LN(2)/2)*AB111+(1-EXP(-LN(2)/2))/(LN(2)/2)*V112*Y112*VLOOKUP('Données projet'!$B$9,Paramètres!$A$1:$I$89,3,0)*0.475*44/12</f>
        <v>1.1456848362090777E-6</v>
      </c>
      <c r="AC112" s="22">
        <f t="shared" si="57"/>
        <v>72.294713449339611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0.33999999999963393</v>
      </c>
      <c r="O113" s="13">
        <f>N113*VLOOKUP('Données projet'!$B$9,Paramètres!$A$1:$I$89,3,0)*VLOOKUP('Données projet'!$B$9,Paramètres!$A$1:$I$89,5,0)</f>
        <v>0.20331999999978112</v>
      </c>
      <c r="P113" s="13">
        <f t="shared" si="87"/>
        <v>0.112787248546695</v>
      </c>
      <c r="Q113" s="20">
        <f t="shared" si="107"/>
        <v>0.55055345788511245</v>
      </c>
      <c r="R113" s="59">
        <f t="shared" si="55"/>
        <v>293.8838867912184</v>
      </c>
      <c r="S113" s="59">
        <f ca="1">AVERAGE(OFFSET($R$3,0,0,'Données projet'!$E$9+1,1))-AVERAGE(OFFSET($H$3,0,0,'Données projet'!$E$9+1,1))</f>
        <v>235.66314579622622</v>
      </c>
      <c r="T113" s="59">
        <f t="shared" si="88"/>
        <v>231.1613577327077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61.17157670997446</v>
      </c>
      <c r="AA113" s="21">
        <f>EXP(-LN(2)/25)*AA112+(1-EXP(-LN(2)/25))/(LN(2)/25)*Calculateur!V113*Calculateur!X113*VLOOKUP('Données projet'!$B$9,Paramètres!$A$1:$I$89,3,0)*0.475*44/12</f>
        <v>9.6289003726823648</v>
      </c>
      <c r="AB113" s="21">
        <f>EXP(-LN(2)/2)*AB112+(1-EXP(-LN(2)/2))/(LN(2)/2)*V113*Y113*VLOOKUP('Données projet'!$B$9,Paramètres!$A$1:$I$89,3,0)*0.475*44/12</f>
        <v>8.1012151678603789E-7</v>
      </c>
      <c r="AC113" s="22">
        <f t="shared" si="57"/>
        <v>70.800477892778346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0.33999999999963393</v>
      </c>
      <c r="O114" s="13">
        <f>N114*VLOOKUP('Données projet'!$B$9,Paramètres!$A$1:$I$89,3,0)*VLOOKUP('Données projet'!$B$9,Paramètres!$A$1:$I$89,5,0)</f>
        <v>0.20331999999978112</v>
      </c>
      <c r="P114" s="13">
        <f t="shared" si="87"/>
        <v>0.112787248546695</v>
      </c>
      <c r="Q114" s="20">
        <f t="shared" si="107"/>
        <v>0.55055345788511245</v>
      </c>
      <c r="R114" s="59">
        <f t="shared" si="55"/>
        <v>293.8838867912184</v>
      </c>
      <c r="S114" s="59">
        <f ca="1">AVERAGE(OFFSET($R$3,0,0,'Données projet'!$E$9+1,1))-AVERAGE(OFFSET($H$3,0,0,'Données projet'!$E$9+1,1))</f>
        <v>235.66314579622622</v>
      </c>
      <c r="T114" s="59">
        <f t="shared" si="88"/>
        <v>231.1613577327077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59.972039401669498</v>
      </c>
      <c r="AA114" s="21">
        <f>EXP(-LN(2)/25)*AA113+(1-EXP(-LN(2)/25))/(LN(2)/25)*Calculateur!V114*Calculateur!X114*VLOOKUP('Données projet'!$B$9,Paramètres!$A$1:$I$89,3,0)*0.475*44/12</f>
        <v>9.3655975856295015</v>
      </c>
      <c r="AB114" s="21">
        <f>EXP(-LN(2)/2)*AB113+(1-EXP(-LN(2)/2))/(LN(2)/2)*V114*Y114*VLOOKUP('Données projet'!$B$9,Paramètres!$A$1:$I$89,3,0)*0.475*44/12</f>
        <v>5.7284241810453887E-7</v>
      </c>
      <c r="AC114" s="22">
        <f t="shared" si="57"/>
        <v>69.337637560141417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0.33999999999963393</v>
      </c>
      <c r="O115" s="13">
        <f>N115*VLOOKUP('Données projet'!$B$9,Paramètres!$A$1:$I$89,3,0)*VLOOKUP('Données projet'!$B$9,Paramètres!$A$1:$I$89,5,0)</f>
        <v>0.20331999999978112</v>
      </c>
      <c r="P115" s="13">
        <f t="shared" si="87"/>
        <v>0.112787248546695</v>
      </c>
      <c r="Q115" s="20">
        <f t="shared" si="107"/>
        <v>0.55055345788511245</v>
      </c>
      <c r="R115" s="59">
        <f t="shared" si="55"/>
        <v>293.8838867912184</v>
      </c>
      <c r="S115" s="59">
        <f ca="1">AVERAGE(OFFSET($R$3,0,0,'Données projet'!$E$9+1,1))-AVERAGE(OFFSET($H$3,0,0,'Données projet'!$E$9+1,1))</f>
        <v>235.66314579622622</v>
      </c>
      <c r="T115" s="59">
        <f t="shared" si="88"/>
        <v>231.1613577327077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58.796024288334884</v>
      </c>
      <c r="AA115" s="21">
        <f>EXP(-LN(2)/25)*AA114+(1-EXP(-LN(2)/25))/(LN(2)/25)*Calculateur!V115*Calculateur!X115*VLOOKUP('Données projet'!$B$9,Paramètres!$A$1:$I$89,3,0)*0.475*44/12</f>
        <v>9.1094948271350908</v>
      </c>
      <c r="AB115" s="21">
        <f>EXP(-LN(2)/2)*AB114+(1-EXP(-LN(2)/2))/(LN(2)/2)*V115*Y115*VLOOKUP('Données projet'!$B$9,Paramètres!$A$1:$I$89,3,0)*0.475*44/12</f>
        <v>4.0506075839301895E-7</v>
      </c>
      <c r="AC115" s="22">
        <f t="shared" si="57"/>
        <v>67.905519520530731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0.33999999999963393</v>
      </c>
      <c r="O116" s="13">
        <f>N116*VLOOKUP('Données projet'!$B$9,Paramètres!$A$1:$I$89,3,0)*VLOOKUP('Données projet'!$B$9,Paramètres!$A$1:$I$89,5,0)</f>
        <v>0.20331999999978112</v>
      </c>
      <c r="P116" s="13">
        <f t="shared" si="87"/>
        <v>0.112787248546695</v>
      </c>
      <c r="Q116" s="20">
        <f t="shared" si="107"/>
        <v>0.55055345788511245</v>
      </c>
      <c r="R116" s="59">
        <f t="shared" si="55"/>
        <v>293.8838867912184</v>
      </c>
      <c r="S116" s="59">
        <f ca="1">AVERAGE(OFFSET($R$3,0,0,'Données projet'!$E$9+1,1))-AVERAGE(OFFSET($H$3,0,0,'Données projet'!$E$9+1,1))</f>
        <v>235.66314579622622</v>
      </c>
      <c r="T116" s="59">
        <f t="shared" si="88"/>
        <v>231.1613577327077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57.643070114074369</v>
      </c>
      <c r="AA116" s="21">
        <f>EXP(-LN(2)/25)*AA115+(1-EXP(-LN(2)/25))/(LN(2)/25)*Calculateur!V116*Calculateur!X116*VLOOKUP('Données projet'!$B$9,Paramètres!$A$1:$I$89,3,0)*0.475*44/12</f>
        <v>8.8603952120395686</v>
      </c>
      <c r="AB116" s="21">
        <f>EXP(-LN(2)/2)*AB115+(1-EXP(-LN(2)/2))/(LN(2)/2)*V116*Y116*VLOOKUP('Données projet'!$B$9,Paramètres!$A$1:$I$89,3,0)*0.475*44/12</f>
        <v>2.8642120905226944E-7</v>
      </c>
      <c r="AC116" s="22">
        <f t="shared" si="57"/>
        <v>66.503465612535152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0.33999999999963393</v>
      </c>
      <c r="O117" s="13">
        <f>N117*VLOOKUP('Données projet'!$B$9,Paramètres!$A$1:$I$89,3,0)*VLOOKUP('Données projet'!$B$9,Paramètres!$A$1:$I$89,5,0)</f>
        <v>0.20331999999978112</v>
      </c>
      <c r="P117" s="13">
        <f t="shared" si="87"/>
        <v>0.112787248546695</v>
      </c>
      <c r="Q117" s="20">
        <f t="shared" si="107"/>
        <v>0.55055345788511245</v>
      </c>
      <c r="R117" s="59">
        <f t="shared" si="55"/>
        <v>293.8838867912184</v>
      </c>
      <c r="S117" s="59">
        <f ca="1">AVERAGE(OFFSET($R$3,0,0,'Données projet'!$E$9+1,1))-AVERAGE(OFFSET($H$3,0,0,'Données projet'!$E$9+1,1))</f>
        <v>235.66314579622622</v>
      </c>
      <c r="T117" s="59">
        <f t="shared" si="88"/>
        <v>231.1613577327077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56.5127246679385</v>
      </c>
      <c r="AA117" s="21">
        <f>EXP(-LN(2)/25)*AA116+(1-EXP(-LN(2)/25))/(LN(2)/25)*Calculateur!V117*Calculateur!X117*VLOOKUP('Données projet'!$B$9,Paramètres!$A$1:$I$89,3,0)*0.475*44/12</f>
        <v>8.6181072390184124</v>
      </c>
      <c r="AB117" s="21">
        <f>EXP(-LN(2)/2)*AB116+(1-EXP(-LN(2)/2))/(LN(2)/2)*V117*Y117*VLOOKUP('Données projet'!$B$9,Paramètres!$A$1:$I$89,3,0)*0.475*44/12</f>
        <v>2.0253037919650947E-7</v>
      </c>
      <c r="AC117" s="22">
        <f t="shared" si="57"/>
        <v>65.130832109487287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0.33999999999963393</v>
      </c>
      <c r="O118" s="13">
        <f>N118*VLOOKUP('Données projet'!$B$9,Paramètres!$A$1:$I$89,3,0)*VLOOKUP('Données projet'!$B$9,Paramètres!$A$1:$I$89,5,0)</f>
        <v>0.20331999999978112</v>
      </c>
      <c r="P118" s="13">
        <f t="shared" si="87"/>
        <v>0.112787248546695</v>
      </c>
      <c r="Q118" s="20">
        <f t="shared" si="107"/>
        <v>0.55055345788511245</v>
      </c>
      <c r="R118" s="59">
        <f t="shared" si="55"/>
        <v>293.8838867912184</v>
      </c>
      <c r="S118" s="59">
        <f ca="1">AVERAGE(OFFSET($R$3,0,0,'Données projet'!$E$9+1,1))-AVERAGE(OFFSET($H$3,0,0,'Données projet'!$E$9+1,1))</f>
        <v>235.66314579622622</v>
      </c>
      <c r="T118" s="59">
        <f t="shared" si="88"/>
        <v>231.1613577327077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55.404544606558709</v>
      </c>
      <c r="AA118" s="21">
        <f>EXP(-LN(2)/25)*AA117+(1-EXP(-LN(2)/25))/(LN(2)/25)*Calculateur!V118*Calculateur!X118*VLOOKUP('Données projet'!$B$9,Paramètres!$A$1:$I$89,3,0)*0.475*44/12</f>
        <v>8.3824446433608912</v>
      </c>
      <c r="AB118" s="21">
        <f>EXP(-LN(2)/2)*AB117+(1-EXP(-LN(2)/2))/(LN(2)/2)*V118*Y118*VLOOKUP('Données projet'!$B$9,Paramètres!$A$1:$I$89,3,0)*0.475*44/12</f>
        <v>1.4321060452613472E-7</v>
      </c>
      <c r="AC118" s="22">
        <f t="shared" si="57"/>
        <v>63.786989393130206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0.33999999999963393</v>
      </c>
      <c r="O119" s="13">
        <f>N119*VLOOKUP('Données projet'!$B$9,Paramètres!$A$1:$I$89,3,0)*VLOOKUP('Données projet'!$B$9,Paramètres!$A$1:$I$89,5,0)</f>
        <v>0.20331999999978112</v>
      </c>
      <c r="P119" s="13">
        <f t="shared" si="87"/>
        <v>0.112787248546695</v>
      </c>
      <c r="Q119" s="20">
        <f t="shared" si="107"/>
        <v>0.55055345788511245</v>
      </c>
      <c r="R119" s="59">
        <f t="shared" si="55"/>
        <v>293.8838867912184</v>
      </c>
      <c r="S119" s="59">
        <f ca="1">AVERAGE(OFFSET($R$3,0,0,'Données projet'!$E$9+1,1))-AVERAGE(OFFSET($H$3,0,0,'Données projet'!$E$9+1,1))</f>
        <v>235.66314579622622</v>
      </c>
      <c r="T119" s="59">
        <f t="shared" si="88"/>
        <v>231.1613577327077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54.318095280259477</v>
      </c>
      <c r="AA119" s="21">
        <f>EXP(-LN(2)/25)*AA118+(1-EXP(-LN(2)/25))/(LN(2)/25)*Calculateur!V119*Calculateur!X119*VLOOKUP('Données projet'!$B$9,Paramètres!$A$1:$I$89,3,0)*0.475*44/12</f>
        <v>8.1532262537745819</v>
      </c>
      <c r="AB119" s="21">
        <f>EXP(-LN(2)/2)*AB118+(1-EXP(-LN(2)/2))/(LN(2)/2)*V119*Y119*VLOOKUP('Données projet'!$B$9,Paramètres!$A$1:$I$89,3,0)*0.475*44/12</f>
        <v>1.0126518959825474E-7</v>
      </c>
      <c r="AC119" s="22">
        <f t="shared" si="57"/>
        <v>62.471321635299248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0.33999999999963393</v>
      </c>
      <c r="O120" s="13">
        <f>N120*VLOOKUP('Données projet'!$B$9,Paramètres!$A$1:$I$89,3,0)*VLOOKUP('Données projet'!$B$9,Paramètres!$A$1:$I$89,5,0)</f>
        <v>0.20331999999978112</v>
      </c>
      <c r="P120" s="13">
        <f t="shared" si="87"/>
        <v>0.112787248546695</v>
      </c>
      <c r="Q120" s="20">
        <f t="shared" si="107"/>
        <v>0.55055345788511245</v>
      </c>
      <c r="R120" s="59">
        <f t="shared" si="55"/>
        <v>293.8838867912184</v>
      </c>
      <c r="S120" s="59">
        <f ca="1">AVERAGE(OFFSET($R$3,0,0,'Données projet'!$E$9+1,1))-AVERAGE(OFFSET($H$3,0,0,'Données projet'!$E$9+1,1))</f>
        <v>235.66314579622622</v>
      </c>
      <c r="T120" s="59">
        <f t="shared" si="88"/>
        <v>231.1613577327077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53.252950562580317</v>
      </c>
      <c r="AA120" s="21">
        <f>EXP(-LN(2)/25)*AA119+(1-EXP(-LN(2)/25))/(LN(2)/25)*Calculateur!V120*Calculateur!X120*VLOOKUP('Données projet'!$B$9,Paramètres!$A$1:$I$89,3,0)*0.475*44/12</f>
        <v>7.9302758531055817</v>
      </c>
      <c r="AB120" s="21">
        <f>EXP(-LN(2)/2)*AB119+(1-EXP(-LN(2)/2))/(LN(2)/2)*V120*Y120*VLOOKUP('Données projet'!$B$9,Paramètres!$A$1:$I$89,3,0)*0.475*44/12</f>
        <v>7.1605302263067359E-8</v>
      </c>
      <c r="AC120" s="22">
        <f t="shared" si="57"/>
        <v>61.183226487291201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0.33999999999963393</v>
      </c>
      <c r="O121" s="13">
        <f>N121*VLOOKUP('Données projet'!$B$9,Paramètres!$A$1:$I$89,3,0)*VLOOKUP('Données projet'!$B$9,Paramètres!$A$1:$I$89,5,0)</f>
        <v>0.20331999999978112</v>
      </c>
      <c r="P121" s="13">
        <f t="shared" si="87"/>
        <v>0.112787248546695</v>
      </c>
      <c r="Q121" s="20">
        <f t="shared" si="107"/>
        <v>0.55055345788511245</v>
      </c>
      <c r="R121" s="59">
        <f t="shared" si="55"/>
        <v>293.8838867912184</v>
      </c>
      <c r="S121" s="59">
        <f ca="1">AVERAGE(OFFSET($R$3,0,0,'Données projet'!$E$9+1,1))-AVERAGE(OFFSET($H$3,0,0,'Données projet'!$E$9+1,1))</f>
        <v>235.66314579622622</v>
      </c>
      <c r="T121" s="59">
        <f t="shared" si="88"/>
        <v>231.1613577327077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52.208692683140718</v>
      </c>
      <c r="AA121" s="21">
        <f>EXP(-LN(2)/25)*AA120+(1-EXP(-LN(2)/25))/(LN(2)/25)*Calculateur!V121*Calculateur!X121*VLOOKUP('Données projet'!$B$9,Paramètres!$A$1:$I$89,3,0)*0.475*44/12</f>
        <v>7.713422042867327</v>
      </c>
      <c r="AB121" s="21">
        <f>EXP(-LN(2)/2)*AB120+(1-EXP(-LN(2)/2))/(LN(2)/2)*V121*Y121*VLOOKUP('Données projet'!$B$9,Paramètres!$A$1:$I$89,3,0)*0.475*44/12</f>
        <v>5.0632594799127368E-8</v>
      </c>
      <c r="AC121" s="22">
        <f t="shared" si="57"/>
        <v>59.92211477664064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0.33999999999963393</v>
      </c>
      <c r="O122" s="13">
        <f>N122*VLOOKUP('Données projet'!$B$9,Paramètres!$A$1:$I$89,3,0)*VLOOKUP('Données projet'!$B$9,Paramètres!$A$1:$I$89,5,0)</f>
        <v>0.20331999999978112</v>
      </c>
      <c r="P122" s="13">
        <f t="shared" si="87"/>
        <v>0.112787248546695</v>
      </c>
      <c r="Q122" s="20">
        <f t="shared" si="107"/>
        <v>0.55055345788511245</v>
      </c>
      <c r="R122" s="59">
        <f t="shared" si="55"/>
        <v>293.8838867912184</v>
      </c>
      <c r="S122" s="59">
        <f ca="1">AVERAGE(OFFSET($R$3,0,0,'Données projet'!$E$9+1,1))-AVERAGE(OFFSET($H$3,0,0,'Données projet'!$E$9+1,1))</f>
        <v>235.66314579622622</v>
      </c>
      <c r="T122" s="59">
        <f t="shared" si="88"/>
        <v>231.1613577327077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51.184912063782519</v>
      </c>
      <c r="AA122" s="21">
        <f>EXP(-LN(2)/25)*AA121+(1-EXP(-LN(2)/25))/(LN(2)/25)*Calculateur!V122*Calculateur!X122*VLOOKUP('Données projet'!$B$9,Paramètres!$A$1:$I$89,3,0)*0.475*44/12</f>
        <v>7.5024981114738836</v>
      </c>
      <c r="AB122" s="21">
        <f>EXP(-LN(2)/2)*AB121+(1-EXP(-LN(2)/2))/(LN(2)/2)*V122*Y122*VLOOKUP('Données projet'!$B$9,Paramètres!$A$1:$I$89,3,0)*0.475*44/12</f>
        <v>3.5802651131533679E-8</v>
      </c>
      <c r="AC122" s="22">
        <f t="shared" si="57"/>
        <v>58.687410211059053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0.33999999999963393</v>
      </c>
      <c r="O123" s="13">
        <f>N123*VLOOKUP('Données projet'!$B$9,Paramètres!$A$1:$I$89,3,0)*VLOOKUP('Données projet'!$B$9,Paramètres!$A$1:$I$89,5,0)</f>
        <v>0.20331999999978112</v>
      </c>
      <c r="P123" s="13">
        <f t="shared" si="87"/>
        <v>0.112787248546695</v>
      </c>
      <c r="Q123" s="20">
        <f t="shared" si="107"/>
        <v>0.55055345788511245</v>
      </c>
      <c r="R123" s="59">
        <f t="shared" si="55"/>
        <v>293.8838867912184</v>
      </c>
      <c r="S123" s="59">
        <f ca="1">AVERAGE(OFFSET($R$3,0,0,'Données projet'!$E$9+1,1))-AVERAGE(OFFSET($H$3,0,0,'Données projet'!$E$9+1,1))</f>
        <v>235.66314579622622</v>
      </c>
      <c r="T123" s="59">
        <f t="shared" si="88"/>
        <v>231.1613577327077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50.181207157925414</v>
      </c>
      <c r="AA123" s="21">
        <f>EXP(-LN(2)/25)*AA122+(1-EXP(-LN(2)/25))/(LN(2)/25)*Calculateur!V123*Calculateur!X123*VLOOKUP('Données projet'!$B$9,Paramètres!$A$1:$I$89,3,0)*0.475*44/12</f>
        <v>7.2973419060764018</v>
      </c>
      <c r="AB123" s="21">
        <f>EXP(-LN(2)/2)*AB122+(1-EXP(-LN(2)/2))/(LN(2)/2)*V123*Y123*VLOOKUP('Données projet'!$B$9,Paramètres!$A$1:$I$89,3,0)*0.475*44/12</f>
        <v>2.5316297399563684E-8</v>
      </c>
      <c r="AC123" s="22">
        <f t="shared" si="57"/>
        <v>57.478549089318115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0.33999999999963393</v>
      </c>
      <c r="O124" s="13">
        <f>N124*VLOOKUP('Données projet'!$B$9,Paramètres!$A$1:$I$89,3,0)*VLOOKUP('Données projet'!$B$9,Paramètres!$A$1:$I$89,5,0)</f>
        <v>0.20331999999978112</v>
      </c>
      <c r="P124" s="13">
        <f t="shared" si="87"/>
        <v>0.112787248546695</v>
      </c>
      <c r="Q124" s="20">
        <f t="shared" si="107"/>
        <v>0.55055345788511245</v>
      </c>
      <c r="R124" s="59">
        <f t="shared" si="55"/>
        <v>293.8838867912184</v>
      </c>
      <c r="S124" s="59">
        <f ca="1">AVERAGE(OFFSET($R$3,0,0,'Données projet'!$E$9+1,1))-AVERAGE(OFFSET($H$3,0,0,'Données projet'!$E$9+1,1))</f>
        <v>235.66314579622622</v>
      </c>
      <c r="T124" s="59">
        <f t="shared" si="88"/>
        <v>231.1613577327077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49.197184293072624</v>
      </c>
      <c r="AA124" s="21">
        <f>EXP(-LN(2)/25)*AA123+(1-EXP(-LN(2)/25))/(LN(2)/25)*Calculateur!V124*Calculateur!X124*VLOOKUP('Données projet'!$B$9,Paramètres!$A$1:$I$89,3,0)*0.475*44/12</f>
        <v>7.0977957079042104</v>
      </c>
      <c r="AB124" s="21">
        <f>EXP(-LN(2)/2)*AB123+(1-EXP(-LN(2)/2))/(LN(2)/2)*V124*Y124*VLOOKUP('Données projet'!$B$9,Paramètres!$A$1:$I$89,3,0)*0.475*44/12</f>
        <v>1.790132556576684E-8</v>
      </c>
      <c r="AC124" s="22">
        <f t="shared" si="57"/>
        <v>56.294980018878164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0.33999999999963393</v>
      </c>
      <c r="O125" s="13">
        <f>N125*VLOOKUP('Données projet'!$B$9,Paramètres!$A$1:$I$89,3,0)*VLOOKUP('Données projet'!$B$9,Paramètres!$A$1:$I$89,5,0)</f>
        <v>0.20331999999978112</v>
      </c>
      <c r="P125" s="13">
        <f t="shared" si="87"/>
        <v>0.112787248546695</v>
      </c>
      <c r="Q125" s="20">
        <f t="shared" si="107"/>
        <v>0.55055345788511245</v>
      </c>
      <c r="R125" s="59">
        <f t="shared" si="55"/>
        <v>293.8838867912184</v>
      </c>
      <c r="S125" s="59">
        <f ca="1">AVERAGE(OFFSET($R$3,0,0,'Données projet'!$E$9+1,1))-AVERAGE(OFFSET($H$3,0,0,'Données projet'!$E$9+1,1))</f>
        <v>235.66314579622622</v>
      </c>
      <c r="T125" s="59">
        <f t="shared" si="88"/>
        <v>231.1613577327077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48.232457516404914</v>
      </c>
      <c r="AA125" s="21">
        <f>EXP(-LN(2)/25)*AA124+(1-EXP(-LN(2)/25))/(LN(2)/25)*Calculateur!V125*Calculateur!X125*VLOOKUP('Données projet'!$B$9,Paramètres!$A$1:$I$89,3,0)*0.475*44/12</f>
        <v>6.9037061110147153</v>
      </c>
      <c r="AB125" s="21">
        <f>EXP(-LN(2)/2)*AB124+(1-EXP(-LN(2)/2))/(LN(2)/2)*V125*Y125*VLOOKUP('Données projet'!$B$9,Paramètres!$A$1:$I$89,3,0)*0.475*44/12</f>
        <v>1.2658148699781842E-8</v>
      </c>
      <c r="AC125" s="22">
        <f t="shared" si="57"/>
        <v>55.136163640077775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0.33999999999963393</v>
      </c>
      <c r="O126" s="13">
        <f>N126*VLOOKUP('Données projet'!$B$9,Paramètres!$A$1:$I$89,3,0)*VLOOKUP('Données projet'!$B$9,Paramètres!$A$1:$I$89,5,0)</f>
        <v>0.20331999999978112</v>
      </c>
      <c r="P126" s="13">
        <f t="shared" si="87"/>
        <v>0.112787248546695</v>
      </c>
      <c r="Q126" s="20">
        <f t="shared" si="107"/>
        <v>0.55055345788511245</v>
      </c>
      <c r="R126" s="59">
        <f t="shared" si="55"/>
        <v>293.8838867912184</v>
      </c>
      <c r="S126" s="59">
        <f ca="1">AVERAGE(OFFSET($R$3,0,0,'Données projet'!$E$9+1,1))-AVERAGE(OFFSET($H$3,0,0,'Données projet'!$E$9+1,1))</f>
        <v>235.66314579622622</v>
      </c>
      <c r="T126" s="59">
        <f t="shared" si="88"/>
        <v>231.1613577327077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47.286648443402427</v>
      </c>
      <c r="AA126" s="21">
        <f>EXP(-LN(2)/25)*AA125+(1-EXP(-LN(2)/25))/(LN(2)/25)*Calculateur!V126*Calculateur!X126*VLOOKUP('Données projet'!$B$9,Paramètres!$A$1:$I$89,3,0)*0.475*44/12</f>
        <v>6.7149239043588924</v>
      </c>
      <c r="AB126" s="21">
        <f>EXP(-LN(2)/2)*AB125+(1-EXP(-LN(2)/2))/(LN(2)/2)*V126*Y126*VLOOKUP('Données projet'!$B$9,Paramètres!$A$1:$I$89,3,0)*0.475*44/12</f>
        <v>8.9506627828834198E-9</v>
      </c>
      <c r="AC126" s="22">
        <f t="shared" si="57"/>
        <v>54.001572356711982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0.33999999999963393</v>
      </c>
      <c r="O127" s="13">
        <f>N127*VLOOKUP('Données projet'!$B$9,Paramètres!$A$1:$I$89,3,0)*VLOOKUP('Données projet'!$B$9,Paramètres!$A$1:$I$89,5,0)</f>
        <v>0.20331999999978112</v>
      </c>
      <c r="P127" s="13">
        <f t="shared" si="87"/>
        <v>0.112787248546695</v>
      </c>
      <c r="Q127" s="20">
        <f t="shared" si="107"/>
        <v>0.55055345788511245</v>
      </c>
      <c r="R127" s="59">
        <f t="shared" si="55"/>
        <v>293.8838867912184</v>
      </c>
      <c r="S127" s="59">
        <f ca="1">AVERAGE(OFFSET($R$3,0,0,'Données projet'!$E$9+1,1))-AVERAGE(OFFSET($H$3,0,0,'Données projet'!$E$9+1,1))</f>
        <v>235.66314579622622</v>
      </c>
      <c r="T127" s="59">
        <f t="shared" si="88"/>
        <v>231.1613577327077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46.359386109434944</v>
      </c>
      <c r="AA127" s="21">
        <f>EXP(-LN(2)/25)*AA126+(1-EXP(-LN(2)/25))/(LN(2)/25)*Calculateur!V127*Calculateur!X127*VLOOKUP('Données projet'!$B$9,Paramètres!$A$1:$I$89,3,0)*0.475*44/12</f>
        <v>6.5313039570716978</v>
      </c>
      <c r="AB127" s="21">
        <f>EXP(-LN(2)/2)*AB126+(1-EXP(-LN(2)/2))/(LN(2)/2)*V127*Y127*VLOOKUP('Données projet'!$B$9,Paramètres!$A$1:$I$89,3,0)*0.475*44/12</f>
        <v>6.329074349890921E-9</v>
      </c>
      <c r="AC127" s="22">
        <f t="shared" si="57"/>
        <v>52.890690072835717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0.33999999999963393</v>
      </c>
      <c r="O128" s="13">
        <f>N128*VLOOKUP('Données projet'!$B$9,Paramètres!$A$1:$I$89,3,0)*VLOOKUP('Données projet'!$B$9,Paramètres!$A$1:$I$89,5,0)</f>
        <v>0.20331999999978112</v>
      </c>
      <c r="P128" s="13">
        <f t="shared" si="87"/>
        <v>0.112787248546695</v>
      </c>
      <c r="Q128" s="20">
        <f t="shared" si="107"/>
        <v>0.55055345788511245</v>
      </c>
      <c r="R128" s="59">
        <f t="shared" si="55"/>
        <v>293.8838867912184</v>
      </c>
      <c r="S128" s="59">
        <f ca="1">AVERAGE(OFFSET($R$3,0,0,'Données projet'!$E$9+1,1))-AVERAGE(OFFSET($H$3,0,0,'Données projet'!$E$9+1,1))</f>
        <v>235.66314579622622</v>
      </c>
      <c r="T128" s="59">
        <f t="shared" si="88"/>
        <v>231.1613577327077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45.450306824262384</v>
      </c>
      <c r="AA128" s="21">
        <f>EXP(-LN(2)/25)*AA127+(1-EXP(-LN(2)/25))/(LN(2)/25)*Calculateur!V128*Calculateur!X128*VLOOKUP('Données projet'!$B$9,Paramètres!$A$1:$I$89,3,0)*0.475*44/12</f>
        <v>6.3527051068992249</v>
      </c>
      <c r="AB128" s="21">
        <f>EXP(-LN(2)/2)*AB127+(1-EXP(-LN(2)/2))/(LN(2)/2)*V128*Y128*VLOOKUP('Données projet'!$B$9,Paramètres!$A$1:$I$89,3,0)*0.475*44/12</f>
        <v>4.4753313914417099E-9</v>
      </c>
      <c r="AC128" s="22">
        <f t="shared" si="57"/>
        <v>51.803011935636938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0.33999999999963393</v>
      </c>
      <c r="O129" s="13">
        <f>N129*VLOOKUP('Données projet'!$B$9,Paramètres!$A$1:$I$89,3,0)*VLOOKUP('Données projet'!$B$9,Paramètres!$A$1:$I$89,5,0)</f>
        <v>0.20331999999978112</v>
      </c>
      <c r="P129" s="13">
        <f t="shared" si="87"/>
        <v>0.112787248546695</v>
      </c>
      <c r="Q129" s="20">
        <f t="shared" si="107"/>
        <v>0.55055345788511245</v>
      </c>
      <c r="R129" s="59">
        <f t="shared" si="55"/>
        <v>293.8838867912184</v>
      </c>
      <c r="S129" s="59">
        <f ca="1">AVERAGE(OFFSET($R$3,0,0,'Données projet'!$E$9+1,1))-AVERAGE(OFFSET($H$3,0,0,'Données projet'!$E$9+1,1))</f>
        <v>235.66314579622622</v>
      </c>
      <c r="T129" s="59">
        <f t="shared" si="88"/>
        <v>231.1613577327077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44.559054029388449</v>
      </c>
      <c r="AA129" s="21">
        <f>EXP(-LN(2)/25)*AA128+(1-EXP(-LN(2)/25))/(LN(2)/25)*Calculateur!V129*Calculateur!X129*VLOOKUP('Données projet'!$B$9,Paramètres!$A$1:$I$89,3,0)*0.475*44/12</f>
        <v>6.1789900516768235</v>
      </c>
      <c r="AB129" s="21">
        <f>EXP(-LN(2)/2)*AB128+(1-EXP(-LN(2)/2))/(LN(2)/2)*V129*Y129*VLOOKUP('Données projet'!$B$9,Paramètres!$A$1:$I$89,3,0)*0.475*44/12</f>
        <v>3.1645371749454605E-9</v>
      </c>
      <c r="AC129" s="22">
        <f t="shared" si="57"/>
        <v>50.738044084229806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0.33999999999963393</v>
      </c>
      <c r="O130" s="13">
        <f>N130*VLOOKUP('Données projet'!$B$9,Paramètres!$A$1:$I$89,3,0)*VLOOKUP('Données projet'!$B$9,Paramètres!$A$1:$I$89,5,0)</f>
        <v>0.20331999999978112</v>
      </c>
      <c r="P130" s="13">
        <f t="shared" si="87"/>
        <v>0.112787248546695</v>
      </c>
      <c r="Q130" s="20">
        <f t="shared" si="107"/>
        <v>0.55055345788511245</v>
      </c>
      <c r="R130" s="59">
        <f t="shared" si="55"/>
        <v>293.8838867912184</v>
      </c>
      <c r="S130" s="59">
        <f ca="1">AVERAGE(OFFSET($R$3,0,0,'Données projet'!$E$9+1,1))-AVERAGE(OFFSET($H$3,0,0,'Données projet'!$E$9+1,1))</f>
        <v>235.66314579622622</v>
      </c>
      <c r="T130" s="59">
        <f t="shared" si="88"/>
        <v>231.1613577327077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43.68527815821146</v>
      </c>
      <c r="AA130" s="21">
        <f>EXP(-LN(2)/25)*AA129+(1-EXP(-LN(2)/25))/(LN(2)/25)*Calculateur!V130*Calculateur!X130*VLOOKUP('Données projet'!$B$9,Paramètres!$A$1:$I$89,3,0)*0.475*44/12</f>
        <v>6.0100252437747566</v>
      </c>
      <c r="AB130" s="21">
        <f>EXP(-LN(2)/2)*AB129+(1-EXP(-LN(2)/2))/(LN(2)/2)*V130*Y130*VLOOKUP('Données projet'!$B$9,Paramètres!$A$1:$I$89,3,0)*0.475*44/12</f>
        <v>2.237665695720855E-9</v>
      </c>
      <c r="AC130" s="22">
        <f t="shared" si="57"/>
        <v>49.695303404223878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0.33999999999963393</v>
      </c>
      <c r="O131" s="13">
        <f>N131*VLOOKUP('Données projet'!$B$9,Paramètres!$A$1:$I$89,3,0)*VLOOKUP('Données projet'!$B$9,Paramètres!$A$1:$I$89,5,0)</f>
        <v>0.20331999999978112</v>
      </c>
      <c r="P131" s="13">
        <f t="shared" si="87"/>
        <v>0.112787248546695</v>
      </c>
      <c r="Q131" s="20">
        <f t="shared" ref="Q131:Q153" si="108">(O131+P131)*0.475*44/12</f>
        <v>0.55055345788511245</v>
      </c>
      <c r="R131" s="59">
        <f t="shared" ref="R131:R194" si="109">Q131+(I131+J131)*44/12</f>
        <v>293.8838867912184</v>
      </c>
      <c r="S131" s="59">
        <f ca="1">AVERAGE(OFFSET($R$3,0,0,'Données projet'!$E$9+1,1))-AVERAGE(OFFSET($H$3,0,0,'Données projet'!$E$9+1,1))</f>
        <v>235.66314579622622</v>
      </c>
      <c r="T131" s="59">
        <f t="shared" si="88"/>
        <v>231.1613577327077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42.828636498917596</v>
      </c>
      <c r="AA131" s="21">
        <f>EXP(-LN(2)/25)*AA130+(1-EXP(-LN(2)/25))/(LN(2)/25)*Calculateur!V131*Calculateur!X131*VLOOKUP('Données projet'!$B$9,Paramètres!$A$1:$I$89,3,0)*0.475*44/12</f>
        <v>5.8456807874302443</v>
      </c>
      <c r="AB131" s="21">
        <f>EXP(-LN(2)/2)*AB130+(1-EXP(-LN(2)/2))/(LN(2)/2)*V131*Y131*VLOOKUP('Données projet'!$B$9,Paramètres!$A$1:$I$89,3,0)*0.475*44/12</f>
        <v>1.5822685874727303E-9</v>
      </c>
      <c r="AC131" s="22">
        <f t="shared" si="57"/>
        <v>48.674317287930116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0.33999999999963393</v>
      </c>
      <c r="O132" s="13">
        <f>N132*VLOOKUP('Données projet'!$B$9,Paramètres!$A$1:$I$89,3,0)*VLOOKUP('Données projet'!$B$9,Paramètres!$A$1:$I$89,5,0)</f>
        <v>0.20331999999978112</v>
      </c>
      <c r="P132" s="13">
        <f t="shared" si="87"/>
        <v>0.112787248546695</v>
      </c>
      <c r="Q132" s="20">
        <f t="shared" si="108"/>
        <v>0.55055345788511245</v>
      </c>
      <c r="R132" s="59">
        <f t="shared" si="109"/>
        <v>293.8838867912184</v>
      </c>
      <c r="S132" s="59">
        <f ca="1">AVERAGE(OFFSET($R$3,0,0,'Données projet'!$E$9+1,1))-AVERAGE(OFFSET($H$3,0,0,'Données projet'!$E$9+1,1))</f>
        <v>235.66314579622622</v>
      </c>
      <c r="T132" s="59">
        <f t="shared" si="88"/>
        <v>231.1613577327077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41.988793060062669</v>
      </c>
      <c r="AA132" s="21">
        <f>EXP(-LN(2)/25)*AA131+(1-EXP(-LN(2)/25))/(LN(2)/25)*Calculateur!V132*Calculateur!X132*VLOOKUP('Données projet'!$B$9,Paramètres!$A$1:$I$89,3,0)*0.475*44/12</f>
        <v>5.685830338886972</v>
      </c>
      <c r="AB132" s="21">
        <f>EXP(-LN(2)/2)*AB131+(1-EXP(-LN(2)/2))/(LN(2)/2)*V132*Y132*VLOOKUP('Données projet'!$B$9,Paramètres!$A$1:$I$89,3,0)*0.475*44/12</f>
        <v>1.1188328478604275E-9</v>
      </c>
      <c r="AC132" s="22">
        <f t="shared" ref="AC132:AC153" si="111">SUM(Z132:AB132)</f>
        <v>47.674623400068477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0.33999999999963393</v>
      </c>
      <c r="O133" s="13">
        <f>N133*VLOOKUP('Données projet'!$B$9,Paramètres!$A$1:$I$89,3,0)*VLOOKUP('Données projet'!$B$9,Paramètres!$A$1:$I$89,5,0)</f>
        <v>0.20331999999978112</v>
      </c>
      <c r="P133" s="13">
        <f t="shared" ref="P133:P196" si="141">EXP(-1.0587+0.8836*LN(O133)+0.284)</f>
        <v>0.112787248546695</v>
      </c>
      <c r="Q133" s="20">
        <f t="shared" si="108"/>
        <v>0.55055345788511245</v>
      </c>
      <c r="R133" s="59">
        <f t="shared" si="109"/>
        <v>293.8838867912184</v>
      </c>
      <c r="S133" s="59">
        <f ca="1">AVERAGE(OFFSET($R$3,0,0,'Données projet'!$E$9+1,1))-AVERAGE(OFFSET($H$3,0,0,'Données projet'!$E$9+1,1))</f>
        <v>235.66314579622622</v>
      </c>
      <c r="T133" s="59">
        <f t="shared" ref="T133:T196" si="142">$T$3</f>
        <v>231.1613577327077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41.165418438789764</v>
      </c>
      <c r="AA133" s="21">
        <f>EXP(-LN(2)/25)*AA132+(1-EXP(-LN(2)/25))/(LN(2)/25)*Calculateur!V133*Calculateur!X133*VLOOKUP('Données projet'!$B$9,Paramètres!$A$1:$I$89,3,0)*0.475*44/12</f>
        <v>5.530351009265285</v>
      </c>
      <c r="AB133" s="21">
        <f>EXP(-LN(2)/2)*AB132+(1-EXP(-LN(2)/2))/(LN(2)/2)*V133*Y133*VLOOKUP('Données projet'!$B$9,Paramètres!$A$1:$I$89,3,0)*0.475*44/12</f>
        <v>7.9113429373636513E-10</v>
      </c>
      <c r="AC133" s="22">
        <f t="shared" si="111"/>
        <v>46.695769448846178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0.33999999999963393</v>
      </c>
      <c r="O134" s="13">
        <f>N134*VLOOKUP('Données projet'!$B$9,Paramètres!$A$1:$I$89,3,0)*VLOOKUP('Données projet'!$B$9,Paramètres!$A$1:$I$89,5,0)</f>
        <v>0.20331999999978112</v>
      </c>
      <c r="P134" s="13">
        <f t="shared" si="141"/>
        <v>0.112787248546695</v>
      </c>
      <c r="Q134" s="20">
        <f t="shared" si="108"/>
        <v>0.55055345788511245</v>
      </c>
      <c r="R134" s="59">
        <f t="shared" si="109"/>
        <v>293.8838867912184</v>
      </c>
      <c r="S134" s="59">
        <f ca="1">AVERAGE(OFFSET($R$3,0,0,'Données projet'!$E$9+1,1))-AVERAGE(OFFSET($H$3,0,0,'Données projet'!$E$9+1,1))</f>
        <v>235.66314579622622</v>
      </c>
      <c r="T134" s="59">
        <f t="shared" si="142"/>
        <v>231.1613577327077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40.358189691631097</v>
      </c>
      <c r="AA134" s="21">
        <f>EXP(-LN(2)/25)*AA133+(1-EXP(-LN(2)/25))/(LN(2)/25)*Calculateur!V134*Calculateur!X134*VLOOKUP('Données projet'!$B$9,Paramètres!$A$1:$I$89,3,0)*0.475*44/12</f>
        <v>5.3791232700884057</v>
      </c>
      <c r="AB134" s="21">
        <f>EXP(-LN(2)/2)*AB133+(1-EXP(-LN(2)/2))/(LN(2)/2)*V134*Y134*VLOOKUP('Données projet'!$B$9,Paramètres!$A$1:$I$89,3,0)*0.475*44/12</f>
        <v>5.5941642393021374E-10</v>
      </c>
      <c r="AC134" s="22">
        <f t="shared" si="111"/>
        <v>45.737312962278921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0.33999999999963393</v>
      </c>
      <c r="O135" s="13">
        <f>N135*VLOOKUP('Données projet'!$B$9,Paramètres!$A$1:$I$89,3,0)*VLOOKUP('Données projet'!$B$9,Paramètres!$A$1:$I$89,5,0)</f>
        <v>0.20331999999978112</v>
      </c>
      <c r="P135" s="13">
        <f t="shared" si="141"/>
        <v>0.112787248546695</v>
      </c>
      <c r="Q135" s="20">
        <f t="shared" si="108"/>
        <v>0.55055345788511245</v>
      </c>
      <c r="R135" s="59">
        <f t="shared" si="109"/>
        <v>293.8838867912184</v>
      </c>
      <c r="S135" s="59">
        <f ca="1">AVERAGE(OFFSET($R$3,0,0,'Données projet'!$E$9+1,1))-AVERAGE(OFFSET($H$3,0,0,'Données projet'!$E$9+1,1))</f>
        <v>235.66314579622622</v>
      </c>
      <c r="T135" s="59">
        <f t="shared" si="142"/>
        <v>231.1613577327077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39.56679020784329</v>
      </c>
      <c r="AA135" s="21">
        <f>EXP(-LN(2)/25)*AA134+(1-EXP(-LN(2)/25))/(LN(2)/25)*Calculateur!V135*Calculateur!X135*VLOOKUP('Données projet'!$B$9,Paramètres!$A$1:$I$89,3,0)*0.475*44/12</f>
        <v>5.2320308613920394</v>
      </c>
      <c r="AB135" s="21">
        <f>EXP(-LN(2)/2)*AB134+(1-EXP(-LN(2)/2))/(LN(2)/2)*V135*Y135*VLOOKUP('Données projet'!$B$9,Paramètres!$A$1:$I$89,3,0)*0.475*44/12</f>
        <v>3.9556714686818256E-10</v>
      </c>
      <c r="AC135" s="22">
        <f t="shared" si="111"/>
        <v>44.798821069630897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0.33999999999963393</v>
      </c>
      <c r="O136" s="13">
        <f>N136*VLOOKUP('Données projet'!$B$9,Paramètres!$A$1:$I$89,3,0)*VLOOKUP('Données projet'!$B$9,Paramètres!$A$1:$I$89,5,0)</f>
        <v>0.20331999999978112</v>
      </c>
      <c r="P136" s="13">
        <f t="shared" si="141"/>
        <v>0.112787248546695</v>
      </c>
      <c r="Q136" s="20">
        <f t="shared" si="108"/>
        <v>0.55055345788511245</v>
      </c>
      <c r="R136" s="59">
        <f t="shared" si="109"/>
        <v>293.8838867912184</v>
      </c>
      <c r="S136" s="59">
        <f ca="1">AVERAGE(OFFSET($R$3,0,0,'Données projet'!$E$9+1,1))-AVERAGE(OFFSET($H$3,0,0,'Données projet'!$E$9+1,1))</f>
        <v>235.66314579622622</v>
      </c>
      <c r="T136" s="59">
        <f t="shared" si="142"/>
        <v>231.1613577327077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38.790909585226537</v>
      </c>
      <c r="AA136" s="21">
        <f>EXP(-LN(2)/25)*AA135+(1-EXP(-LN(2)/25))/(LN(2)/25)*Calculateur!V136*Calculateur!X136*VLOOKUP('Données projet'!$B$9,Paramètres!$A$1:$I$89,3,0)*0.475*44/12</f>
        <v>5.0889607023467294</v>
      </c>
      <c r="AB136" s="21">
        <f>EXP(-LN(2)/2)*AB135+(1-EXP(-LN(2)/2))/(LN(2)/2)*V136*Y136*VLOOKUP('Données projet'!$B$9,Paramètres!$A$1:$I$89,3,0)*0.475*44/12</f>
        <v>2.7970821196510687E-10</v>
      </c>
      <c r="AC136" s="22">
        <f t="shared" si="111"/>
        <v>43.879870287852974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0.33999999999963393</v>
      </c>
      <c r="O137" s="13">
        <f>N137*VLOOKUP('Données projet'!$B$9,Paramètres!$A$1:$I$89,3,0)*VLOOKUP('Données projet'!$B$9,Paramètres!$A$1:$I$89,5,0)</f>
        <v>0.20331999999978112</v>
      </c>
      <c r="P137" s="13">
        <f t="shared" si="141"/>
        <v>0.112787248546695</v>
      </c>
      <c r="Q137" s="20">
        <f t="shared" si="108"/>
        <v>0.55055345788511245</v>
      </c>
      <c r="R137" s="59">
        <f t="shared" si="109"/>
        <v>293.8838867912184</v>
      </c>
      <c r="S137" s="59">
        <f ca="1">AVERAGE(OFFSET($R$3,0,0,'Données projet'!$E$9+1,1))-AVERAGE(OFFSET($H$3,0,0,'Données projet'!$E$9+1,1))</f>
        <v>235.66314579622622</v>
      </c>
      <c r="T137" s="59">
        <f t="shared" si="142"/>
        <v>231.1613577327077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38.030243508378845</v>
      </c>
      <c r="AA137" s="21">
        <f>EXP(-LN(2)/25)*AA136+(1-EXP(-LN(2)/25))/(LN(2)/25)*Calculateur!V137*Calculateur!X137*VLOOKUP('Données projet'!$B$9,Paramètres!$A$1:$I$89,3,0)*0.475*44/12</f>
        <v>4.9498028043242455</v>
      </c>
      <c r="AB137" s="21">
        <f>EXP(-LN(2)/2)*AB136+(1-EXP(-LN(2)/2))/(LN(2)/2)*V137*Y137*VLOOKUP('Données projet'!$B$9,Paramètres!$A$1:$I$89,3,0)*0.475*44/12</f>
        <v>1.9778357343409128E-10</v>
      </c>
      <c r="AC137" s="22">
        <f t="shared" si="111"/>
        <v>42.980046312900875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0.33999999999963393</v>
      </c>
      <c r="O138" s="13">
        <f>N138*VLOOKUP('Données projet'!$B$9,Paramètres!$A$1:$I$89,3,0)*VLOOKUP('Données projet'!$B$9,Paramètres!$A$1:$I$89,5,0)</f>
        <v>0.20331999999978112</v>
      </c>
      <c r="P138" s="13">
        <f t="shared" si="141"/>
        <v>0.112787248546695</v>
      </c>
      <c r="Q138" s="20">
        <f t="shared" si="108"/>
        <v>0.55055345788511245</v>
      </c>
      <c r="R138" s="59">
        <f t="shared" si="109"/>
        <v>293.8838867912184</v>
      </c>
      <c r="S138" s="59">
        <f ca="1">AVERAGE(OFFSET($R$3,0,0,'Données projet'!$E$9+1,1))-AVERAGE(OFFSET($H$3,0,0,'Données projet'!$E$9+1,1))</f>
        <v>235.66314579622622</v>
      </c>
      <c r="T138" s="59">
        <f t="shared" si="142"/>
        <v>231.1613577327077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37.284493629337646</v>
      </c>
      <c r="AA138" s="21">
        <f>EXP(-LN(2)/25)*AA137+(1-EXP(-LN(2)/25))/(LN(2)/25)*Calculateur!V138*Calculateur!X138*VLOOKUP('Données projet'!$B$9,Paramètres!$A$1:$I$89,3,0)*0.475*44/12</f>
        <v>4.8144501863411824</v>
      </c>
      <c r="AB138" s="21">
        <f>EXP(-LN(2)/2)*AB137+(1-EXP(-LN(2)/2))/(LN(2)/2)*V138*Y138*VLOOKUP('Données projet'!$B$9,Paramètres!$A$1:$I$89,3,0)*0.475*44/12</f>
        <v>1.3985410598255344E-10</v>
      </c>
      <c r="AC138" s="22">
        <f t="shared" si="111"/>
        <v>42.098943815818686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0.33999999999963393</v>
      </c>
      <c r="O139" s="13">
        <f>N139*VLOOKUP('Données projet'!$B$9,Paramètres!$A$1:$I$89,3,0)*VLOOKUP('Données projet'!$B$9,Paramètres!$A$1:$I$89,5,0)</f>
        <v>0.20331999999978112</v>
      </c>
      <c r="P139" s="13">
        <f t="shared" si="141"/>
        <v>0.112787248546695</v>
      </c>
      <c r="Q139" s="20">
        <f t="shared" si="108"/>
        <v>0.55055345788511245</v>
      </c>
      <c r="R139" s="59">
        <f t="shared" si="109"/>
        <v>293.8838867912184</v>
      </c>
      <c r="S139" s="59">
        <f ca="1">AVERAGE(OFFSET($R$3,0,0,'Données projet'!$E$9+1,1))-AVERAGE(OFFSET($H$3,0,0,'Données projet'!$E$9+1,1))</f>
        <v>235.66314579622622</v>
      </c>
      <c r="T139" s="59">
        <f t="shared" si="142"/>
        <v>231.1613577327077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36.553367450561936</v>
      </c>
      <c r="AA139" s="21">
        <f>EXP(-LN(2)/25)*AA138+(1-EXP(-LN(2)/25))/(LN(2)/25)*Calculateur!V139*Calculateur!X139*VLOOKUP('Données projet'!$B$9,Paramètres!$A$1:$I$89,3,0)*0.475*44/12</f>
        <v>4.6827987928147508</v>
      </c>
      <c r="AB139" s="21">
        <f>EXP(-LN(2)/2)*AB138+(1-EXP(-LN(2)/2))/(LN(2)/2)*V139*Y139*VLOOKUP('Données projet'!$B$9,Paramètres!$A$1:$I$89,3,0)*0.475*44/12</f>
        <v>9.8891786717045641E-11</v>
      </c>
      <c r="AC139" s="22">
        <f t="shared" si="111"/>
        <v>41.23616624347558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0.33999999999963393</v>
      </c>
      <c r="O140" s="13">
        <f>N140*VLOOKUP('Données projet'!$B$9,Paramètres!$A$1:$I$89,3,0)*VLOOKUP('Données projet'!$B$9,Paramètres!$A$1:$I$89,5,0)</f>
        <v>0.20331999999978112</v>
      </c>
      <c r="P140" s="13">
        <f t="shared" si="141"/>
        <v>0.112787248546695</v>
      </c>
      <c r="Q140" s="20">
        <f t="shared" si="108"/>
        <v>0.55055345788511245</v>
      </c>
      <c r="R140" s="59">
        <f t="shared" si="109"/>
        <v>293.8838867912184</v>
      </c>
      <c r="S140" s="59">
        <f ca="1">AVERAGE(OFFSET($R$3,0,0,'Données projet'!$E$9+1,1))-AVERAGE(OFFSET($H$3,0,0,'Données projet'!$E$9+1,1))</f>
        <v>235.66314579622622</v>
      </c>
      <c r="T140" s="59">
        <f t="shared" si="142"/>
        <v>231.1613577327077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35.836578210209076</v>
      </c>
      <c r="AA140" s="21">
        <f>EXP(-LN(2)/25)*AA139+(1-EXP(-LN(2)/25))/(LN(2)/25)*Calculateur!V140*Calculateur!X140*VLOOKUP('Données projet'!$B$9,Paramètres!$A$1:$I$89,3,0)*0.475*44/12</f>
        <v>4.5547474135675454</v>
      </c>
      <c r="AB140" s="21">
        <f>EXP(-LN(2)/2)*AB139+(1-EXP(-LN(2)/2))/(LN(2)/2)*V140*Y140*VLOOKUP('Données projet'!$B$9,Paramètres!$A$1:$I$89,3,0)*0.475*44/12</f>
        <v>6.9927052991276718E-11</v>
      </c>
      <c r="AC140" s="22">
        <f t="shared" si="111"/>
        <v>40.391325623846548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0.33999999999963393</v>
      </c>
      <c r="O141" s="13">
        <f>N141*VLOOKUP('Données projet'!$B$9,Paramètres!$A$1:$I$89,3,0)*VLOOKUP('Données projet'!$B$9,Paramètres!$A$1:$I$89,5,0)</f>
        <v>0.20331999999978112</v>
      </c>
      <c r="P141" s="13">
        <f t="shared" si="141"/>
        <v>0.112787248546695</v>
      </c>
      <c r="Q141" s="20">
        <f t="shared" si="108"/>
        <v>0.55055345788511245</v>
      </c>
      <c r="R141" s="59">
        <f t="shared" si="109"/>
        <v>293.8838867912184</v>
      </c>
      <c r="S141" s="59">
        <f ca="1">AVERAGE(OFFSET($R$3,0,0,'Données projet'!$E$9+1,1))-AVERAGE(OFFSET($H$3,0,0,'Données projet'!$E$9+1,1))</f>
        <v>235.66314579622622</v>
      </c>
      <c r="T141" s="59">
        <f t="shared" si="142"/>
        <v>231.1613577327077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35.133844769661273</v>
      </c>
      <c r="AA141" s="21">
        <f>EXP(-LN(2)/25)*AA140+(1-EXP(-LN(2)/25))/(LN(2)/25)*Calculateur!V141*Calculateur!X141*VLOOKUP('Données projet'!$B$9,Paramètres!$A$1:$I$89,3,0)*0.475*44/12</f>
        <v>4.4301976060197843</v>
      </c>
      <c r="AB141" s="21">
        <f>EXP(-LN(2)/2)*AB140+(1-EXP(-LN(2)/2))/(LN(2)/2)*V141*Y141*VLOOKUP('Données projet'!$B$9,Paramètres!$A$1:$I$89,3,0)*0.475*44/12</f>
        <v>4.944589335852282E-11</v>
      </c>
      <c r="AC141" s="22">
        <f t="shared" si="111"/>
        <v>39.564042375730502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0.33999999999963393</v>
      </c>
      <c r="O142" s="13">
        <f>N142*VLOOKUP('Données projet'!$B$9,Paramètres!$A$1:$I$89,3,0)*VLOOKUP('Données projet'!$B$9,Paramètres!$A$1:$I$89,5,0)</f>
        <v>0.20331999999978112</v>
      </c>
      <c r="P142" s="13">
        <f t="shared" si="141"/>
        <v>0.112787248546695</v>
      </c>
      <c r="Q142" s="20">
        <f t="shared" si="108"/>
        <v>0.55055345788511245</v>
      </c>
      <c r="R142" s="59">
        <f t="shared" si="109"/>
        <v>293.8838867912184</v>
      </c>
      <c r="S142" s="59">
        <f ca="1">AVERAGE(OFFSET($R$3,0,0,'Données projet'!$E$9+1,1))-AVERAGE(OFFSET($H$3,0,0,'Données projet'!$E$9+1,1))</f>
        <v>235.66314579622622</v>
      </c>
      <c r="T142" s="59">
        <f t="shared" si="142"/>
        <v>231.1613577327077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34.444891503257537</v>
      </c>
      <c r="AA142" s="21">
        <f>EXP(-LN(2)/25)*AA141+(1-EXP(-LN(2)/25))/(LN(2)/25)*Calculateur!V142*Calculateur!X142*VLOOKUP('Données projet'!$B$9,Paramètres!$A$1:$I$89,3,0)*0.475*44/12</f>
        <v>4.3090536195092062</v>
      </c>
      <c r="AB142" s="21">
        <f>EXP(-LN(2)/2)*AB141+(1-EXP(-LN(2)/2))/(LN(2)/2)*V142*Y142*VLOOKUP('Données projet'!$B$9,Paramètres!$A$1:$I$89,3,0)*0.475*44/12</f>
        <v>3.4963526495638359E-11</v>
      </c>
      <c r="AC142" s="22">
        <f t="shared" si="111"/>
        <v>38.75394512280171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0.33999999999963393</v>
      </c>
      <c r="O143" s="13">
        <f>N143*VLOOKUP('Données projet'!$B$9,Paramètres!$A$1:$I$89,3,0)*VLOOKUP('Données projet'!$B$9,Paramètres!$A$1:$I$89,5,0)</f>
        <v>0.20331999999978112</v>
      </c>
      <c r="P143" s="13">
        <f t="shared" si="141"/>
        <v>0.112787248546695</v>
      </c>
      <c r="Q143" s="20">
        <f t="shared" si="108"/>
        <v>0.55055345788511245</v>
      </c>
      <c r="R143" s="59">
        <f t="shared" si="109"/>
        <v>293.8838867912184</v>
      </c>
      <c r="S143" s="59">
        <f ca="1">AVERAGE(OFFSET($R$3,0,0,'Données projet'!$E$9+1,1))-AVERAGE(OFFSET($H$3,0,0,'Données projet'!$E$9+1,1))</f>
        <v>235.66314579622622</v>
      </c>
      <c r="T143" s="59">
        <f t="shared" si="142"/>
        <v>231.1613577327077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33.76944819018798</v>
      </c>
      <c r="AA143" s="21">
        <f>EXP(-LN(2)/25)*AA142+(1-EXP(-LN(2)/25))/(LN(2)/25)*Calculateur!V143*Calculateur!X143*VLOOKUP('Données projet'!$B$9,Paramètres!$A$1:$I$89,3,0)*0.475*44/12</f>
        <v>4.1912223216804456</v>
      </c>
      <c r="AB143" s="21">
        <f>EXP(-LN(2)/2)*AB142+(1-EXP(-LN(2)/2))/(LN(2)/2)*V143*Y143*VLOOKUP('Données projet'!$B$9,Paramètres!$A$1:$I$89,3,0)*0.475*44/12</f>
        <v>2.472294667926141E-11</v>
      </c>
      <c r="AC143" s="22">
        <f t="shared" si="111"/>
        <v>37.960670511893149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0.33999999999963393</v>
      </c>
      <c r="O144" s="13">
        <f>N144*VLOOKUP('Données projet'!$B$9,Paramètres!$A$1:$I$89,3,0)*VLOOKUP('Données projet'!$B$9,Paramètres!$A$1:$I$89,5,0)</f>
        <v>0.20331999999978112</v>
      </c>
      <c r="P144" s="13">
        <f t="shared" si="141"/>
        <v>0.112787248546695</v>
      </c>
      <c r="Q144" s="20">
        <f t="shared" si="108"/>
        <v>0.55055345788511245</v>
      </c>
      <c r="R144" s="59">
        <f t="shared" si="109"/>
        <v>293.8838867912184</v>
      </c>
      <c r="S144" s="59">
        <f ca="1">AVERAGE(OFFSET($R$3,0,0,'Données projet'!$E$9+1,1))-AVERAGE(OFFSET($H$3,0,0,'Données projet'!$E$9+1,1))</f>
        <v>235.66314579622622</v>
      </c>
      <c r="T144" s="59">
        <f t="shared" si="142"/>
        <v>231.1613577327077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33.107249908507974</v>
      </c>
      <c r="AA144" s="21">
        <f>EXP(-LN(2)/25)*AA143+(1-EXP(-LN(2)/25))/(LN(2)/25)*Calculateur!V144*Calculateur!X144*VLOOKUP('Données projet'!$B$9,Paramètres!$A$1:$I$89,3,0)*0.475*44/12</f>
        <v>4.0766131268872909</v>
      </c>
      <c r="AB144" s="21">
        <f>EXP(-LN(2)/2)*AB143+(1-EXP(-LN(2)/2))/(LN(2)/2)*V144*Y144*VLOOKUP('Données projet'!$B$9,Paramètres!$A$1:$I$89,3,0)*0.475*44/12</f>
        <v>1.7481763247819179E-11</v>
      </c>
      <c r="AC144" s="22">
        <f t="shared" si="111"/>
        <v>37.183863035412742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0.33999999999963393</v>
      </c>
      <c r="O145" s="13">
        <f>N145*VLOOKUP('Données projet'!$B$9,Paramètres!$A$1:$I$89,3,0)*VLOOKUP('Données projet'!$B$9,Paramètres!$A$1:$I$89,5,0)</f>
        <v>0.20331999999978112</v>
      </c>
      <c r="P145" s="13">
        <f t="shared" si="141"/>
        <v>0.112787248546695</v>
      </c>
      <c r="Q145" s="20">
        <f t="shared" si="108"/>
        <v>0.55055345788511245</v>
      </c>
      <c r="R145" s="59">
        <f t="shared" si="109"/>
        <v>293.8838867912184</v>
      </c>
      <c r="S145" s="59">
        <f ca="1">AVERAGE(OFFSET($R$3,0,0,'Données projet'!$E$9+1,1))-AVERAGE(OFFSET($H$3,0,0,'Données projet'!$E$9+1,1))</f>
        <v>235.66314579622622</v>
      </c>
      <c r="T145" s="59">
        <f t="shared" si="142"/>
        <v>231.1613577327077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32.458036931230644</v>
      </c>
      <c r="AA145" s="21">
        <f>EXP(-LN(2)/25)*AA144+(1-EXP(-LN(2)/25))/(LN(2)/25)*Calculateur!V145*Calculateur!X145*VLOOKUP('Données projet'!$B$9,Paramètres!$A$1:$I$89,3,0)*0.475*44/12</f>
        <v>3.9651379265527908</v>
      </c>
      <c r="AB145" s="21">
        <f>EXP(-LN(2)/2)*AB144+(1-EXP(-LN(2)/2))/(LN(2)/2)*V145*Y145*VLOOKUP('Données projet'!$B$9,Paramètres!$A$1:$I$89,3,0)*0.475*44/12</f>
        <v>1.2361473339630705E-11</v>
      </c>
      <c r="AC145" s="22">
        <f t="shared" si="111"/>
        <v>36.4231748577958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0.33999999999963393</v>
      </c>
      <c r="O146" s="13">
        <f>N146*VLOOKUP('Données projet'!$B$9,Paramètres!$A$1:$I$89,3,0)*VLOOKUP('Données projet'!$B$9,Paramètres!$A$1:$I$89,5,0)</f>
        <v>0.20331999999978112</v>
      </c>
      <c r="P146" s="13">
        <f t="shared" si="141"/>
        <v>0.112787248546695</v>
      </c>
      <c r="Q146" s="20">
        <f t="shared" si="108"/>
        <v>0.55055345788511245</v>
      </c>
      <c r="R146" s="59">
        <f t="shared" si="109"/>
        <v>293.8838867912184</v>
      </c>
      <c r="S146" s="59">
        <f ca="1">AVERAGE(OFFSET($R$3,0,0,'Données projet'!$E$9+1,1))-AVERAGE(OFFSET($H$3,0,0,'Données projet'!$E$9+1,1))</f>
        <v>235.66314579622622</v>
      </c>
      <c r="T146" s="59">
        <f t="shared" si="142"/>
        <v>231.1613577327077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31.821554624456905</v>
      </c>
      <c r="AA146" s="21">
        <f>EXP(-LN(2)/25)*AA145+(1-EXP(-LN(2)/25))/(LN(2)/25)*Calculateur!V146*Calculateur!X146*VLOOKUP('Données projet'!$B$9,Paramètres!$A$1:$I$89,3,0)*0.475*44/12</f>
        <v>3.8567110214336635</v>
      </c>
      <c r="AB146" s="21">
        <f>EXP(-LN(2)/2)*AB145+(1-EXP(-LN(2)/2))/(LN(2)/2)*V146*Y146*VLOOKUP('Données projet'!$B$9,Paramètres!$A$1:$I$89,3,0)*0.475*44/12</f>
        <v>8.7408816239095897E-12</v>
      </c>
      <c r="AC146" s="22">
        <f t="shared" si="111"/>
        <v>35.678265645899309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0.33999999999963393</v>
      </c>
      <c r="O147" s="13">
        <f>N147*VLOOKUP('Données projet'!$B$9,Paramètres!$A$1:$I$89,3,0)*VLOOKUP('Données projet'!$B$9,Paramètres!$A$1:$I$89,5,0)</f>
        <v>0.20331999999978112</v>
      </c>
      <c r="P147" s="13">
        <f t="shared" si="141"/>
        <v>0.112787248546695</v>
      </c>
      <c r="Q147" s="20">
        <f t="shared" si="108"/>
        <v>0.55055345788511245</v>
      </c>
      <c r="R147" s="59">
        <f t="shared" si="109"/>
        <v>293.8838867912184</v>
      </c>
      <c r="S147" s="59">
        <f ca="1">AVERAGE(OFFSET($R$3,0,0,'Données projet'!$E$9+1,1))-AVERAGE(OFFSET($H$3,0,0,'Données projet'!$E$9+1,1))</f>
        <v>235.66314579622622</v>
      </c>
      <c r="T147" s="59">
        <f t="shared" si="142"/>
        <v>231.1613577327077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31.197553347503124</v>
      </c>
      <c r="AA147" s="21">
        <f>EXP(-LN(2)/25)*AA146+(1-EXP(-LN(2)/25))/(LN(2)/25)*Calculateur!V147*Calculateur!X147*VLOOKUP('Données projet'!$B$9,Paramètres!$A$1:$I$89,3,0)*0.475*44/12</f>
        <v>3.7512490557369418</v>
      </c>
      <c r="AB147" s="21">
        <f>EXP(-LN(2)/2)*AB146+(1-EXP(-LN(2)/2))/(LN(2)/2)*V147*Y147*VLOOKUP('Données projet'!$B$9,Paramètres!$A$1:$I$89,3,0)*0.475*44/12</f>
        <v>6.1807366698153526E-12</v>
      </c>
      <c r="AC147" s="22">
        <f t="shared" si="111"/>
        <v>34.948802403246248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0.33999999999963393</v>
      </c>
      <c r="O148" s="13">
        <f>N148*VLOOKUP('Données projet'!$B$9,Paramètres!$A$1:$I$89,3,0)*VLOOKUP('Données projet'!$B$9,Paramètres!$A$1:$I$89,5,0)</f>
        <v>0.20331999999978112</v>
      </c>
      <c r="P148" s="13">
        <f t="shared" si="141"/>
        <v>0.112787248546695</v>
      </c>
      <c r="Q148" s="20">
        <f t="shared" si="108"/>
        <v>0.55055345788511245</v>
      </c>
      <c r="R148" s="59">
        <f t="shared" si="109"/>
        <v>293.8838867912184</v>
      </c>
      <c r="S148" s="59">
        <f ca="1">AVERAGE(OFFSET($R$3,0,0,'Données projet'!$E$9+1,1))-AVERAGE(OFFSET($H$3,0,0,'Données projet'!$E$9+1,1))</f>
        <v>235.66314579622622</v>
      </c>
      <c r="T148" s="59">
        <f t="shared" si="142"/>
        <v>231.1613577327077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30.585788354987208</v>
      </c>
      <c r="AA148" s="21">
        <f>EXP(-LN(2)/25)*AA147+(1-EXP(-LN(2)/25))/(LN(2)/25)*Calculateur!V148*Calculateur!X148*VLOOKUP('Données projet'!$B$9,Paramètres!$A$1:$I$89,3,0)*0.475*44/12</f>
        <v>3.6486709530382009</v>
      </c>
      <c r="AB148" s="21">
        <f>EXP(-LN(2)/2)*AB147+(1-EXP(-LN(2)/2))/(LN(2)/2)*V148*Y148*VLOOKUP('Données projet'!$B$9,Paramètres!$A$1:$I$89,3,0)*0.475*44/12</f>
        <v>4.3704408119547948E-12</v>
      </c>
      <c r="AC148" s="22">
        <f t="shared" si="111"/>
        <v>34.234459308029777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0.33999999999963393</v>
      </c>
      <c r="O149" s="13">
        <f>N149*VLOOKUP('Données projet'!$B$9,Paramètres!$A$1:$I$89,3,0)*VLOOKUP('Données projet'!$B$9,Paramètres!$A$1:$I$89,5,0)</f>
        <v>0.20331999999978112</v>
      </c>
      <c r="P149" s="13">
        <f t="shared" si="141"/>
        <v>0.112787248546695</v>
      </c>
      <c r="Q149" s="20">
        <f t="shared" si="108"/>
        <v>0.55055345788511245</v>
      </c>
      <c r="R149" s="59">
        <f t="shared" si="109"/>
        <v>293.8838867912184</v>
      </c>
      <c r="S149" s="59">
        <f ca="1">AVERAGE(OFFSET($R$3,0,0,'Données projet'!$E$9+1,1))-AVERAGE(OFFSET($H$3,0,0,'Données projet'!$E$9+1,1))</f>
        <v>235.66314579622622</v>
      </c>
      <c r="T149" s="59">
        <f t="shared" si="142"/>
        <v>231.1613577327077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29.986019700834728</v>
      </c>
      <c r="AA149" s="21">
        <f>EXP(-LN(2)/25)*AA148+(1-EXP(-LN(2)/25))/(LN(2)/25)*Calculateur!V149*Calculateur!X149*VLOOKUP('Données projet'!$B$9,Paramètres!$A$1:$I$89,3,0)*0.475*44/12</f>
        <v>3.5488978539521052</v>
      </c>
      <c r="AB149" s="21">
        <f>EXP(-LN(2)/2)*AB148+(1-EXP(-LN(2)/2))/(LN(2)/2)*V149*Y149*VLOOKUP('Données projet'!$B$9,Paramètres!$A$1:$I$89,3,0)*0.475*44/12</f>
        <v>3.0903683349076763E-12</v>
      </c>
      <c r="AC149" s="22">
        <f t="shared" si="111"/>
        <v>33.534917554789921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0.33999999999963393</v>
      </c>
      <c r="O150" s="13">
        <f>N150*VLOOKUP('Données projet'!$B$9,Paramètres!$A$1:$I$89,3,0)*VLOOKUP('Données projet'!$B$9,Paramètres!$A$1:$I$89,5,0)</f>
        <v>0.20331999999978112</v>
      </c>
      <c r="P150" s="13">
        <f t="shared" si="141"/>
        <v>0.112787248546695</v>
      </c>
      <c r="Q150" s="20">
        <f t="shared" si="108"/>
        <v>0.55055345788511245</v>
      </c>
      <c r="R150" s="59">
        <f t="shared" si="109"/>
        <v>293.8838867912184</v>
      </c>
      <c r="S150" s="59">
        <f ca="1">AVERAGE(OFFSET($R$3,0,0,'Données projet'!$E$9+1,1))-AVERAGE(OFFSET($H$3,0,0,'Données projet'!$E$9+1,1))</f>
        <v>235.66314579622622</v>
      </c>
      <c r="T150" s="59">
        <f t="shared" si="142"/>
        <v>231.1613577327077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29.398012144167421</v>
      </c>
      <c r="AA150" s="21">
        <f>EXP(-LN(2)/25)*AA149+(1-EXP(-LN(2)/25))/(LN(2)/25)*Calculateur!V150*Calculateur!X150*VLOOKUP('Données projet'!$B$9,Paramètres!$A$1:$I$89,3,0)*0.475*44/12</f>
        <v>3.4518530555073577</v>
      </c>
      <c r="AB150" s="21">
        <f>EXP(-LN(2)/2)*AB149+(1-EXP(-LN(2)/2))/(LN(2)/2)*V150*Y150*VLOOKUP('Données projet'!$B$9,Paramètres!$A$1:$I$89,3,0)*0.475*44/12</f>
        <v>2.1852204059773974E-12</v>
      </c>
      <c r="AC150" s="22">
        <f t="shared" si="111"/>
        <v>32.849865199676969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0.33999999999963393</v>
      </c>
      <c r="O151" s="13">
        <f>N151*VLOOKUP('Données projet'!$B$9,Paramètres!$A$1:$I$89,3,0)*VLOOKUP('Données projet'!$B$9,Paramètres!$A$1:$I$89,5,0)</f>
        <v>0.20331999999978112</v>
      </c>
      <c r="P151" s="13">
        <f t="shared" si="141"/>
        <v>0.112787248546695</v>
      </c>
      <c r="Q151" s="20">
        <f t="shared" si="108"/>
        <v>0.55055345788511245</v>
      </c>
      <c r="R151" s="59">
        <f t="shared" si="109"/>
        <v>293.8838867912184</v>
      </c>
      <c r="S151" s="59">
        <f ca="1">AVERAGE(OFFSET($R$3,0,0,'Données projet'!$E$9+1,1))-AVERAGE(OFFSET($H$3,0,0,'Données projet'!$E$9+1,1))</f>
        <v>235.66314579622622</v>
      </c>
      <c r="T151" s="59">
        <f t="shared" si="142"/>
        <v>231.1613577327077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28.821535057037163</v>
      </c>
      <c r="AA151" s="21">
        <f>EXP(-LN(2)/25)*AA150+(1-EXP(-LN(2)/25))/(LN(2)/25)*Calculateur!V151*Calculateur!X151*VLOOKUP('Données projet'!$B$9,Paramètres!$A$1:$I$89,3,0)*0.475*44/12</f>
        <v>3.3574619521794462</v>
      </c>
      <c r="AB151" s="21">
        <f>EXP(-LN(2)/2)*AB150+(1-EXP(-LN(2)/2))/(LN(2)/2)*V151*Y151*VLOOKUP('Données projet'!$B$9,Paramètres!$A$1:$I$89,3,0)*0.475*44/12</f>
        <v>1.5451841674538381E-12</v>
      </c>
      <c r="AC151" s="22">
        <f t="shared" si="111"/>
        <v>32.178997009218151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0.33999999999963393</v>
      </c>
      <c r="O152" s="13">
        <f>N152*VLOOKUP('Données projet'!$B$9,Paramètres!$A$1:$I$89,3,0)*VLOOKUP('Données projet'!$B$9,Paramètres!$A$1:$I$89,5,0)</f>
        <v>0.20331999999978112</v>
      </c>
      <c r="P152" s="13">
        <f t="shared" si="141"/>
        <v>0.112787248546695</v>
      </c>
      <c r="Q152" s="20">
        <f t="shared" si="108"/>
        <v>0.55055345788511245</v>
      </c>
      <c r="R152" s="59">
        <f t="shared" si="109"/>
        <v>293.8838867912184</v>
      </c>
      <c r="S152" s="59">
        <f ca="1">AVERAGE(OFFSET($R$3,0,0,'Données projet'!$E$9+1,1))-AVERAGE(OFFSET($H$3,0,0,'Données projet'!$E$9+1,1))</f>
        <v>235.66314579622622</v>
      </c>
      <c r="T152" s="59">
        <f t="shared" si="142"/>
        <v>231.1613577327077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28.256362333969228</v>
      </c>
      <c r="AA152" s="21">
        <f>EXP(-LN(2)/25)*AA151+(1-EXP(-LN(2)/25))/(LN(2)/25)*Calculateur!V152*Calculateur!X152*VLOOKUP('Données projet'!$B$9,Paramètres!$A$1:$I$89,3,0)*0.475*44/12</f>
        <v>3.2656519785358489</v>
      </c>
      <c r="AB152" s="21">
        <f>EXP(-LN(2)/2)*AB151+(1-EXP(-LN(2)/2))/(LN(2)/2)*V152*Y152*VLOOKUP('Données projet'!$B$9,Paramètres!$A$1:$I$89,3,0)*0.475*44/12</f>
        <v>1.0926102029886987E-12</v>
      </c>
      <c r="AC152" s="22">
        <f t="shared" si="111"/>
        <v>31.522014312506172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0.33999999999963393</v>
      </c>
      <c r="O153" s="13">
        <f>N153*VLOOKUP('Données projet'!$B$9,Paramètres!$A$1:$I$89,3,0)*VLOOKUP('Données projet'!$B$9,Paramètres!$A$1:$I$89,5,0)</f>
        <v>0.20331999999978112</v>
      </c>
      <c r="P153" s="13">
        <f t="shared" si="141"/>
        <v>0.112787248546695</v>
      </c>
      <c r="Q153" s="20">
        <f t="shared" si="108"/>
        <v>0.55055345788511245</v>
      </c>
      <c r="R153" s="59">
        <f t="shared" si="109"/>
        <v>293.8838867912184</v>
      </c>
      <c r="S153" s="59">
        <f ca="1">AVERAGE(OFFSET($R$3,0,0,'Données projet'!$E$9+1,1))-AVERAGE(OFFSET($H$3,0,0,'Données projet'!$E$9+1,1))</f>
        <v>235.66314579622622</v>
      </c>
      <c r="T153" s="59">
        <f t="shared" si="142"/>
        <v>231.1613577327077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27.702272303279333</v>
      </c>
      <c r="AA153" s="21">
        <f>EXP(-LN(2)/25)*AA152+(1-EXP(-LN(2)/25))/(LN(2)/25)*Calculateur!V153*Calculateur!X153*VLOOKUP('Données projet'!$B$9,Paramètres!$A$1:$I$89,3,0)*0.475*44/12</f>
        <v>3.1763525534496124</v>
      </c>
      <c r="AB153" s="21">
        <f>EXP(-LN(2)/2)*AB152+(1-EXP(-LN(2)/2))/(LN(2)/2)*V153*Y153*VLOOKUP('Données projet'!$B$9,Paramètres!$A$1:$I$89,3,0)*0.475*44/12</f>
        <v>7.7259208372691907E-13</v>
      </c>
      <c r="AC153" s="22">
        <f t="shared" si="111"/>
        <v>30.878624856729715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0.33999999999963393</v>
      </c>
      <c r="O154" s="13">
        <f>N154*VLOOKUP('Données projet'!$B$9,Paramètres!$A$1:$I$89,3,0)*VLOOKUP('Données projet'!$B$9,Paramètres!$A$1:$I$89,5,0)</f>
        <v>0.20331999999978112</v>
      </c>
      <c r="P154" s="13">
        <f t="shared" si="141"/>
        <v>0.112787248546695</v>
      </c>
      <c r="Q154" s="20">
        <f t="shared" ref="Q154:Q203" si="162">(O154+P154)*0.475*44/12</f>
        <v>0.55055345788511245</v>
      </c>
      <c r="R154" s="59">
        <f t="shared" si="109"/>
        <v>293.8838867912184</v>
      </c>
      <c r="S154" s="59">
        <f ca="1">AVERAGE(OFFSET($R$3,0,0,'Données projet'!$E$9+1,1))-AVERAGE(OFFSET($H$3,0,0,'Données projet'!$E$9+1,1))</f>
        <v>235.66314579622622</v>
      </c>
      <c r="T154" s="59">
        <f t="shared" si="142"/>
        <v>231.1613577327077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27.159047640129717</v>
      </c>
      <c r="AA154" s="21">
        <f>EXP(-LN(2)/25)*AA153+(1-EXP(-LN(2)/25))/(LN(2)/25)*Calculateur!V154*Calculateur!X154*VLOOKUP('Données projet'!$B$9,Paramètres!$A$1:$I$89,3,0)*0.475*44/12</f>
        <v>3.0894950258384117</v>
      </c>
      <c r="AB154" s="21">
        <f>EXP(-LN(2)/2)*AB153+(1-EXP(-LN(2)/2))/(LN(2)/2)*V154*Y154*VLOOKUP('Données projet'!$B$9,Paramètres!$A$1:$I$89,3,0)*0.475*44/12</f>
        <v>5.4630510149434936E-13</v>
      </c>
      <c r="AC154" s="22">
        <f t="shared" ref="AC154:AC203" si="163">SUM(Z154:AB154)</f>
        <v>30.248542665968678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0.33999999999963393</v>
      </c>
      <c r="O155" s="13">
        <f>N155*VLOOKUP('Données projet'!$B$9,Paramètres!$A$1:$I$89,3,0)*VLOOKUP('Données projet'!$B$9,Paramètres!$A$1:$I$89,5,0)</f>
        <v>0.20331999999978112</v>
      </c>
      <c r="P155" s="13">
        <f t="shared" si="141"/>
        <v>0.112787248546695</v>
      </c>
      <c r="Q155" s="20">
        <f t="shared" si="162"/>
        <v>0.55055345788511245</v>
      </c>
      <c r="R155" s="59">
        <f t="shared" si="109"/>
        <v>293.8838867912184</v>
      </c>
      <c r="S155" s="59">
        <f ca="1">AVERAGE(OFFSET($R$3,0,0,'Données projet'!$E$9+1,1))-AVERAGE(OFFSET($H$3,0,0,'Données projet'!$E$9+1,1))</f>
        <v>235.66314579622622</v>
      </c>
      <c r="T155" s="59">
        <f t="shared" si="142"/>
        <v>231.1613577327077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26.626475281290137</v>
      </c>
      <c r="AA155" s="21">
        <f>EXP(-LN(2)/25)*AA154+(1-EXP(-LN(2)/25))/(LN(2)/25)*Calculateur!V155*Calculateur!X155*VLOOKUP('Données projet'!$B$9,Paramètres!$A$1:$I$89,3,0)*0.475*44/12</f>
        <v>3.0050126218873783</v>
      </c>
      <c r="AB155" s="21">
        <f>EXP(-LN(2)/2)*AB154+(1-EXP(-LN(2)/2))/(LN(2)/2)*V155*Y155*VLOOKUP('Données projet'!$B$9,Paramètres!$A$1:$I$89,3,0)*0.475*44/12</f>
        <v>3.8629604186345953E-13</v>
      </c>
      <c r="AC155" s="22">
        <f t="shared" si="163"/>
        <v>29.631487903177902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0.33999999999963393</v>
      </c>
      <c r="O156" s="13">
        <f>N156*VLOOKUP('Données projet'!$B$9,Paramètres!$A$1:$I$89,3,0)*VLOOKUP('Données projet'!$B$9,Paramètres!$A$1:$I$89,5,0)</f>
        <v>0.20331999999978112</v>
      </c>
      <c r="P156" s="13">
        <f t="shared" si="141"/>
        <v>0.112787248546695</v>
      </c>
      <c r="Q156" s="20">
        <f t="shared" si="162"/>
        <v>0.55055345788511245</v>
      </c>
      <c r="R156" s="59">
        <f t="shared" si="109"/>
        <v>293.8838867912184</v>
      </c>
      <c r="S156" s="59">
        <f ca="1">AVERAGE(OFFSET($R$3,0,0,'Données projet'!$E$9+1,1))-AVERAGE(OFFSET($H$3,0,0,'Données projet'!$E$9+1,1))</f>
        <v>235.66314579622622</v>
      </c>
      <c r="T156" s="59">
        <f t="shared" si="142"/>
        <v>231.1613577327077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26.104346341570338</v>
      </c>
      <c r="AA156" s="21">
        <f>EXP(-LN(2)/25)*AA155+(1-EXP(-LN(2)/25))/(LN(2)/25)*Calculateur!V156*Calculateur!X156*VLOOKUP('Données projet'!$B$9,Paramètres!$A$1:$I$89,3,0)*0.475*44/12</f>
        <v>2.9228403937151222</v>
      </c>
      <c r="AB156" s="21">
        <f>EXP(-LN(2)/2)*AB155+(1-EXP(-LN(2)/2))/(LN(2)/2)*V156*Y156*VLOOKUP('Données projet'!$B$9,Paramètres!$A$1:$I$89,3,0)*0.475*44/12</f>
        <v>2.7315255074717468E-13</v>
      </c>
      <c r="AC156" s="22">
        <f t="shared" si="163"/>
        <v>29.027186735285735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0.33999999999963393</v>
      </c>
      <c r="O157" s="13">
        <f>N157*VLOOKUP('Données projet'!$B$9,Paramètres!$A$1:$I$89,3,0)*VLOOKUP('Données projet'!$B$9,Paramètres!$A$1:$I$89,5,0)</f>
        <v>0.20331999999978112</v>
      </c>
      <c r="P157" s="13">
        <f t="shared" si="141"/>
        <v>0.112787248546695</v>
      </c>
      <c r="Q157" s="20">
        <f t="shared" si="162"/>
        <v>0.55055345788511245</v>
      </c>
      <c r="R157" s="59">
        <f t="shared" si="109"/>
        <v>293.8838867912184</v>
      </c>
      <c r="S157" s="59">
        <f ca="1">AVERAGE(OFFSET($R$3,0,0,'Données projet'!$E$9+1,1))-AVERAGE(OFFSET($H$3,0,0,'Données projet'!$E$9+1,1))</f>
        <v>235.66314579622622</v>
      </c>
      <c r="T157" s="59">
        <f t="shared" si="142"/>
        <v>231.1613577327077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25.592456031891238</v>
      </c>
      <c r="AA157" s="21">
        <f>EXP(-LN(2)/25)*AA156+(1-EXP(-LN(2)/25))/(LN(2)/25)*Calculateur!V157*Calculateur!X157*VLOOKUP('Données projet'!$B$9,Paramètres!$A$1:$I$89,3,0)*0.475*44/12</f>
        <v>2.842915169443486</v>
      </c>
      <c r="AB157" s="21">
        <f>EXP(-LN(2)/2)*AB156+(1-EXP(-LN(2)/2))/(LN(2)/2)*V157*Y157*VLOOKUP('Données projet'!$B$9,Paramètres!$A$1:$I$89,3,0)*0.475*44/12</f>
        <v>1.9314802093172977E-13</v>
      </c>
      <c r="AC157" s="22">
        <f t="shared" si="163"/>
        <v>28.435371201334917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0.33999999999963393</v>
      </c>
      <c r="O158" s="13">
        <f>N158*VLOOKUP('Données projet'!$B$9,Paramètres!$A$1:$I$89,3,0)*VLOOKUP('Données projet'!$B$9,Paramètres!$A$1:$I$89,5,0)</f>
        <v>0.20331999999978112</v>
      </c>
      <c r="P158" s="13">
        <f t="shared" si="141"/>
        <v>0.112787248546695</v>
      </c>
      <c r="Q158" s="20">
        <f t="shared" si="162"/>
        <v>0.55055345788511245</v>
      </c>
      <c r="R158" s="59">
        <f t="shared" si="109"/>
        <v>293.8838867912184</v>
      </c>
      <c r="S158" s="59">
        <f ca="1">AVERAGE(OFFSET($R$3,0,0,'Données projet'!$E$9+1,1))-AVERAGE(OFFSET($H$3,0,0,'Données projet'!$E$9+1,1))</f>
        <v>235.66314579622622</v>
      </c>
      <c r="T158" s="59">
        <f t="shared" si="142"/>
        <v>231.1613577327077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25.090603578962686</v>
      </c>
      <c r="AA158" s="21">
        <f>EXP(-LN(2)/25)*AA157+(1-EXP(-LN(2)/25))/(LN(2)/25)*Calculateur!V158*Calculateur!X158*VLOOKUP('Données projet'!$B$9,Paramètres!$A$1:$I$89,3,0)*0.475*44/12</f>
        <v>2.7651755046326425</v>
      </c>
      <c r="AB158" s="21">
        <f>EXP(-LN(2)/2)*AB157+(1-EXP(-LN(2)/2))/(LN(2)/2)*V158*Y158*VLOOKUP('Données projet'!$B$9,Paramètres!$A$1:$I$89,3,0)*0.475*44/12</f>
        <v>1.3657627537358734E-13</v>
      </c>
      <c r="AC158" s="22">
        <f t="shared" si="163"/>
        <v>27.855779083595465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0.33999999999963393</v>
      </c>
      <c r="O159" s="13">
        <f>N159*VLOOKUP('Données projet'!$B$9,Paramètres!$A$1:$I$89,3,0)*VLOOKUP('Données projet'!$B$9,Paramètres!$A$1:$I$89,5,0)</f>
        <v>0.20331999999978112</v>
      </c>
      <c r="P159" s="13">
        <f t="shared" si="141"/>
        <v>0.112787248546695</v>
      </c>
      <c r="Q159" s="20">
        <f t="shared" si="162"/>
        <v>0.55055345788511245</v>
      </c>
      <c r="R159" s="59">
        <f t="shared" si="109"/>
        <v>293.8838867912184</v>
      </c>
      <c r="S159" s="59">
        <f ca="1">AVERAGE(OFFSET($R$3,0,0,'Données projet'!$E$9+1,1))-AVERAGE(OFFSET($H$3,0,0,'Données projet'!$E$9+1,1))</f>
        <v>235.66314579622622</v>
      </c>
      <c r="T159" s="59">
        <f t="shared" si="142"/>
        <v>231.1613577327077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24.598592146536291</v>
      </c>
      <c r="AA159" s="21">
        <f>EXP(-LN(2)/25)*AA158+(1-EXP(-LN(2)/25))/(LN(2)/25)*Calculateur!V159*Calculateur!X159*VLOOKUP('Données projet'!$B$9,Paramètres!$A$1:$I$89,3,0)*0.475*44/12</f>
        <v>2.6895616350442029</v>
      </c>
      <c r="AB159" s="21">
        <f>EXP(-LN(2)/2)*AB158+(1-EXP(-LN(2)/2))/(LN(2)/2)*V159*Y159*VLOOKUP('Données projet'!$B$9,Paramètres!$A$1:$I$89,3,0)*0.475*44/12</f>
        <v>9.6574010465864884E-14</v>
      </c>
      <c r="AC159" s="22">
        <f t="shared" si="163"/>
        <v>27.28815378158059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0.33999999999963393</v>
      </c>
      <c r="O160" s="13">
        <f>N160*VLOOKUP('Données projet'!$B$9,Paramètres!$A$1:$I$89,3,0)*VLOOKUP('Données projet'!$B$9,Paramètres!$A$1:$I$89,5,0)</f>
        <v>0.20331999999978112</v>
      </c>
      <c r="P160" s="13">
        <f t="shared" si="141"/>
        <v>0.112787248546695</v>
      </c>
      <c r="Q160" s="20">
        <f t="shared" si="162"/>
        <v>0.55055345788511245</v>
      </c>
      <c r="R160" s="59">
        <f t="shared" si="109"/>
        <v>293.8838867912184</v>
      </c>
      <c r="S160" s="59">
        <f ca="1">AVERAGE(OFFSET($R$3,0,0,'Données projet'!$E$9+1,1))-AVERAGE(OFFSET($H$3,0,0,'Données projet'!$E$9+1,1))</f>
        <v>235.66314579622622</v>
      </c>
      <c r="T160" s="59">
        <f t="shared" si="142"/>
        <v>231.1613577327077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24.116228758202436</v>
      </c>
      <c r="AA160" s="21">
        <f>EXP(-LN(2)/25)*AA159+(1-EXP(-LN(2)/25))/(LN(2)/25)*Calculateur!V160*Calculateur!X160*VLOOKUP('Données projet'!$B$9,Paramètres!$A$1:$I$89,3,0)*0.475*44/12</f>
        <v>2.6160154306960197</v>
      </c>
      <c r="AB160" s="21">
        <f>EXP(-LN(2)/2)*AB159+(1-EXP(-LN(2)/2))/(LN(2)/2)*V160*Y160*VLOOKUP('Données projet'!$B$9,Paramètres!$A$1:$I$89,3,0)*0.475*44/12</f>
        <v>6.8288137686793669E-14</v>
      </c>
      <c r="AC160" s="22">
        <f t="shared" si="163"/>
        <v>26.732244188898523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0.33999999999963393</v>
      </c>
      <c r="O161" s="13">
        <f>N161*VLOOKUP('Données projet'!$B$9,Paramètres!$A$1:$I$89,3,0)*VLOOKUP('Données projet'!$B$9,Paramètres!$A$1:$I$89,5,0)</f>
        <v>0.20331999999978112</v>
      </c>
      <c r="P161" s="13">
        <f t="shared" si="141"/>
        <v>0.112787248546695</v>
      </c>
      <c r="Q161" s="20">
        <f t="shared" si="162"/>
        <v>0.55055345788511245</v>
      </c>
      <c r="R161" s="59">
        <f t="shared" si="109"/>
        <v>293.8838867912184</v>
      </c>
      <c r="S161" s="59">
        <f ca="1">AVERAGE(OFFSET($R$3,0,0,'Données projet'!$E$9+1,1))-AVERAGE(OFFSET($H$3,0,0,'Données projet'!$E$9+1,1))</f>
        <v>235.66314579622622</v>
      </c>
      <c r="T161" s="59">
        <f t="shared" si="142"/>
        <v>231.1613577327077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23.643324221701192</v>
      </c>
      <c r="AA161" s="21">
        <f>EXP(-LN(2)/25)*AA160+(1-EXP(-LN(2)/25))/(LN(2)/25)*Calculateur!V161*Calculateur!X161*VLOOKUP('Données projet'!$B$9,Paramètres!$A$1:$I$89,3,0)*0.475*44/12</f>
        <v>2.5444803511733647</v>
      </c>
      <c r="AB161" s="21">
        <f>EXP(-LN(2)/2)*AB160+(1-EXP(-LN(2)/2))/(LN(2)/2)*V161*Y161*VLOOKUP('Données projet'!$B$9,Paramètres!$A$1:$I$89,3,0)*0.475*44/12</f>
        <v>4.8287005232932442E-14</v>
      </c>
      <c r="AC161" s="22">
        <f t="shared" si="163"/>
        <v>26.187804572874608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0.33999999999963393</v>
      </c>
      <c r="O162" s="13">
        <f>N162*VLOOKUP('Données projet'!$B$9,Paramètres!$A$1:$I$89,3,0)*VLOOKUP('Données projet'!$B$9,Paramètres!$A$1:$I$89,5,0)</f>
        <v>0.20331999999978112</v>
      </c>
      <c r="P162" s="13">
        <f t="shared" si="141"/>
        <v>0.112787248546695</v>
      </c>
      <c r="Q162" s="20">
        <f t="shared" si="162"/>
        <v>0.55055345788511245</v>
      </c>
      <c r="R162" s="59">
        <f t="shared" si="109"/>
        <v>293.8838867912184</v>
      </c>
      <c r="S162" s="59">
        <f ca="1">AVERAGE(OFFSET($R$3,0,0,'Données projet'!$E$9+1,1))-AVERAGE(OFFSET($H$3,0,0,'Données projet'!$E$9+1,1))</f>
        <v>235.66314579622622</v>
      </c>
      <c r="T162" s="59">
        <f t="shared" si="142"/>
        <v>231.1613577327077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23.17969305471745</v>
      </c>
      <c r="AA162" s="21">
        <f>EXP(-LN(2)/25)*AA161+(1-EXP(-LN(2)/25))/(LN(2)/25)*Calculateur!V162*Calculateur!X162*VLOOKUP('Données projet'!$B$9,Paramètres!$A$1:$I$89,3,0)*0.475*44/12</f>
        <v>2.4749014021621227</v>
      </c>
      <c r="AB162" s="21">
        <f>EXP(-LN(2)/2)*AB161+(1-EXP(-LN(2)/2))/(LN(2)/2)*V162*Y162*VLOOKUP('Données projet'!$B$9,Paramètres!$A$1:$I$89,3,0)*0.475*44/12</f>
        <v>3.4144068843396835E-14</v>
      </c>
      <c r="AC162" s="22">
        <f t="shared" si="163"/>
        <v>25.654594456879607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0.33999999999963393</v>
      </c>
      <c r="O163" s="13">
        <f>N163*VLOOKUP('Données projet'!$B$9,Paramètres!$A$1:$I$89,3,0)*VLOOKUP('Données projet'!$B$9,Paramètres!$A$1:$I$89,5,0)</f>
        <v>0.20331999999978112</v>
      </c>
      <c r="P163" s="13">
        <f t="shared" si="141"/>
        <v>0.112787248546695</v>
      </c>
      <c r="Q163" s="20">
        <f t="shared" si="162"/>
        <v>0.55055345788511245</v>
      </c>
      <c r="R163" s="59">
        <f t="shared" si="109"/>
        <v>293.8838867912184</v>
      </c>
      <c r="S163" s="59">
        <f ca="1">AVERAGE(OFFSET($R$3,0,0,'Données projet'!$E$9+1,1))-AVERAGE(OFFSET($H$3,0,0,'Données projet'!$E$9+1,1))</f>
        <v>235.66314579622622</v>
      </c>
      <c r="T163" s="59">
        <f t="shared" si="142"/>
        <v>231.1613577327077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22.725153412131171</v>
      </c>
      <c r="AA163" s="21">
        <f>EXP(-LN(2)/25)*AA162+(1-EXP(-LN(2)/25))/(LN(2)/25)*Calculateur!V163*Calculateur!X163*VLOOKUP('Données projet'!$B$9,Paramètres!$A$1:$I$89,3,0)*0.475*44/12</f>
        <v>2.4072250931705912</v>
      </c>
      <c r="AB163" s="21">
        <f>EXP(-LN(2)/2)*AB162+(1-EXP(-LN(2)/2))/(LN(2)/2)*V163*Y163*VLOOKUP('Données projet'!$B$9,Paramètres!$A$1:$I$89,3,0)*0.475*44/12</f>
        <v>2.4143502616466221E-14</v>
      </c>
      <c r="AC163" s="22">
        <f t="shared" si="163"/>
        <v>25.132378505301787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0.33999999999963393</v>
      </c>
      <c r="O164" s="13">
        <f>N164*VLOOKUP('Données projet'!$B$9,Paramètres!$A$1:$I$89,3,0)*VLOOKUP('Données projet'!$B$9,Paramètres!$A$1:$I$89,5,0)</f>
        <v>0.20331999999978112</v>
      </c>
      <c r="P164" s="13">
        <f t="shared" si="141"/>
        <v>0.112787248546695</v>
      </c>
      <c r="Q164" s="20">
        <f t="shared" si="162"/>
        <v>0.55055345788511245</v>
      </c>
      <c r="R164" s="59">
        <f t="shared" si="109"/>
        <v>293.8838867912184</v>
      </c>
      <c r="S164" s="59">
        <f ca="1">AVERAGE(OFFSET($R$3,0,0,'Données projet'!$E$9+1,1))-AVERAGE(OFFSET($H$3,0,0,'Données projet'!$E$9+1,1))</f>
        <v>235.66314579622622</v>
      </c>
      <c r="T164" s="59">
        <f t="shared" si="142"/>
        <v>231.1613577327077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22.279527014694203</v>
      </c>
      <c r="AA164" s="21">
        <f>EXP(-LN(2)/25)*AA163+(1-EXP(-LN(2)/25))/(LN(2)/25)*Calculateur!V164*Calculateur!X164*VLOOKUP('Données projet'!$B$9,Paramètres!$A$1:$I$89,3,0)*0.475*44/12</f>
        <v>2.3413993964073754</v>
      </c>
      <c r="AB164" s="21">
        <f>EXP(-LN(2)/2)*AB163+(1-EXP(-LN(2)/2))/(LN(2)/2)*V164*Y164*VLOOKUP('Données projet'!$B$9,Paramètres!$A$1:$I$89,3,0)*0.475*44/12</f>
        <v>1.7072034421698417E-14</v>
      </c>
      <c r="AC164" s="22">
        <f t="shared" si="163"/>
        <v>24.620926411101596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0.33999999999963393</v>
      </c>
      <c r="O165" s="13">
        <f>N165*VLOOKUP('Données projet'!$B$9,Paramètres!$A$1:$I$89,3,0)*VLOOKUP('Données projet'!$B$9,Paramètres!$A$1:$I$89,5,0)</f>
        <v>0.20331999999978112</v>
      </c>
      <c r="P165" s="13">
        <f t="shared" si="141"/>
        <v>0.112787248546695</v>
      </c>
      <c r="Q165" s="20">
        <f t="shared" si="162"/>
        <v>0.55055345788511245</v>
      </c>
      <c r="R165" s="59">
        <f t="shared" si="109"/>
        <v>293.8838867912184</v>
      </c>
      <c r="S165" s="59">
        <f ca="1">AVERAGE(OFFSET($R$3,0,0,'Données projet'!$E$9+1,1))-AVERAGE(OFFSET($H$3,0,0,'Données projet'!$E$9+1,1))</f>
        <v>235.66314579622622</v>
      </c>
      <c r="T165" s="59">
        <f t="shared" si="142"/>
        <v>231.1613577327077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21.842639079105709</v>
      </c>
      <c r="AA165" s="21">
        <f>EXP(-LN(2)/25)*AA164+(1-EXP(-LN(2)/25))/(LN(2)/25)*Calculateur!V165*Calculateur!X165*VLOOKUP('Données projet'!$B$9,Paramètres!$A$1:$I$89,3,0)*0.475*44/12</f>
        <v>2.2773737067837727</v>
      </c>
      <c r="AB165" s="21">
        <f>EXP(-LN(2)/2)*AB164+(1-EXP(-LN(2)/2))/(LN(2)/2)*V165*Y165*VLOOKUP('Données projet'!$B$9,Paramètres!$A$1:$I$89,3,0)*0.475*44/12</f>
        <v>1.207175130823311E-14</v>
      </c>
      <c r="AC165" s="22">
        <f t="shared" si="163"/>
        <v>24.120012785889493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0.33999999999963393</v>
      </c>
      <c r="O166" s="13">
        <f>N166*VLOOKUP('Données projet'!$B$9,Paramètres!$A$1:$I$89,3,0)*VLOOKUP('Données projet'!$B$9,Paramètres!$A$1:$I$89,5,0)</f>
        <v>0.20331999999978112</v>
      </c>
      <c r="P166" s="13">
        <f t="shared" si="141"/>
        <v>0.112787248546695</v>
      </c>
      <c r="Q166" s="20">
        <f t="shared" si="162"/>
        <v>0.55055345788511245</v>
      </c>
      <c r="R166" s="59">
        <f t="shared" si="109"/>
        <v>293.8838867912184</v>
      </c>
      <c r="S166" s="59">
        <f ca="1">AVERAGE(OFFSET($R$3,0,0,'Données projet'!$E$9+1,1))-AVERAGE(OFFSET($H$3,0,0,'Données projet'!$E$9+1,1))</f>
        <v>235.66314579622622</v>
      </c>
      <c r="T166" s="59">
        <f t="shared" si="142"/>
        <v>231.1613577327077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21.414318249458777</v>
      </c>
      <c r="AA166" s="21">
        <f>EXP(-LN(2)/25)*AA165+(1-EXP(-LN(2)/25))/(LN(2)/25)*Calculateur!V166*Calculateur!X166*VLOOKUP('Données projet'!$B$9,Paramètres!$A$1:$I$89,3,0)*0.475*44/12</f>
        <v>2.2150988030098921</v>
      </c>
      <c r="AB166" s="21">
        <f>EXP(-LN(2)/2)*AB165+(1-EXP(-LN(2)/2))/(LN(2)/2)*V166*Y166*VLOOKUP('Données projet'!$B$9,Paramètres!$A$1:$I$89,3,0)*0.475*44/12</f>
        <v>8.5360172108492087E-15</v>
      </c>
      <c r="AC166" s="22">
        <f t="shared" si="163"/>
        <v>23.629417052468675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0.33999999999963393</v>
      </c>
      <c r="O167" s="13">
        <f>N167*VLOOKUP('Données projet'!$B$9,Paramètres!$A$1:$I$89,3,0)*VLOOKUP('Données projet'!$B$9,Paramètres!$A$1:$I$89,5,0)</f>
        <v>0.20331999999978112</v>
      </c>
      <c r="P167" s="13">
        <f t="shared" si="141"/>
        <v>0.112787248546695</v>
      </c>
      <c r="Q167" s="20">
        <f t="shared" si="162"/>
        <v>0.55055345788511245</v>
      </c>
      <c r="R167" s="59">
        <f t="shared" si="109"/>
        <v>293.8838867912184</v>
      </c>
      <c r="S167" s="59">
        <f ca="1">AVERAGE(OFFSET($R$3,0,0,'Données projet'!$E$9+1,1))-AVERAGE(OFFSET($H$3,0,0,'Données projet'!$E$9+1,1))</f>
        <v>235.66314579622622</v>
      </c>
      <c r="T167" s="59">
        <f t="shared" si="142"/>
        <v>231.1613577327077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20.994396530031313</v>
      </c>
      <c r="AA167" s="21">
        <f>EXP(-LN(2)/25)*AA166+(1-EXP(-LN(2)/25))/(LN(2)/25)*Calculateur!V167*Calculateur!X167*VLOOKUP('Données projet'!$B$9,Paramètres!$A$1:$I$89,3,0)*0.475*44/12</f>
        <v>2.1545268097546031</v>
      </c>
      <c r="AB167" s="21">
        <f>EXP(-LN(2)/2)*AB166+(1-EXP(-LN(2)/2))/(LN(2)/2)*V167*Y167*VLOOKUP('Données projet'!$B$9,Paramètres!$A$1:$I$89,3,0)*0.475*44/12</f>
        <v>6.0358756541165552E-15</v>
      </c>
      <c r="AC167" s="22">
        <f t="shared" si="163"/>
        <v>23.148923339785924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0.33999999999963393</v>
      </c>
      <c r="O168" s="13">
        <f>N168*VLOOKUP('Données projet'!$B$9,Paramètres!$A$1:$I$89,3,0)*VLOOKUP('Données projet'!$B$9,Paramètres!$A$1:$I$89,5,0)</f>
        <v>0.20331999999978112</v>
      </c>
      <c r="P168" s="13">
        <f t="shared" si="141"/>
        <v>0.112787248546695</v>
      </c>
      <c r="Q168" s="20">
        <f t="shared" si="162"/>
        <v>0.55055345788511245</v>
      </c>
      <c r="R168" s="59">
        <f t="shared" si="109"/>
        <v>293.8838867912184</v>
      </c>
      <c r="S168" s="59">
        <f ca="1">AVERAGE(OFFSET($R$3,0,0,'Données projet'!$E$9+1,1))-AVERAGE(OFFSET($H$3,0,0,'Données projet'!$E$9+1,1))</f>
        <v>235.66314579622622</v>
      </c>
      <c r="T168" s="59">
        <f t="shared" si="142"/>
        <v>231.1613577327077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20.582709219394861</v>
      </c>
      <c r="AA168" s="21">
        <f>EXP(-LN(2)/25)*AA167+(1-EXP(-LN(2)/25))/(LN(2)/25)*Calculateur!V168*Calculateur!X168*VLOOKUP('Données projet'!$B$9,Paramètres!$A$1:$I$89,3,0)*0.475*44/12</f>
        <v>2.0956111608402228</v>
      </c>
      <c r="AB168" s="21">
        <f>EXP(-LN(2)/2)*AB167+(1-EXP(-LN(2)/2))/(LN(2)/2)*V168*Y168*VLOOKUP('Données projet'!$B$9,Paramètres!$A$1:$I$89,3,0)*0.475*44/12</f>
        <v>4.2680086054246043E-15</v>
      </c>
      <c r="AC168" s="22">
        <f t="shared" si="163"/>
        <v>22.678320380235089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0.33999999999963393</v>
      </c>
      <c r="O169" s="13">
        <f>N169*VLOOKUP('Données projet'!$B$9,Paramètres!$A$1:$I$89,3,0)*VLOOKUP('Données projet'!$B$9,Paramètres!$A$1:$I$89,5,0)</f>
        <v>0.20331999999978112</v>
      </c>
      <c r="P169" s="13">
        <f t="shared" si="141"/>
        <v>0.112787248546695</v>
      </c>
      <c r="Q169" s="20">
        <f t="shared" si="162"/>
        <v>0.55055345788511245</v>
      </c>
      <c r="R169" s="59">
        <f t="shared" si="109"/>
        <v>293.8838867912184</v>
      </c>
      <c r="S169" s="59">
        <f ca="1">AVERAGE(OFFSET($R$3,0,0,'Données projet'!$E$9+1,1))-AVERAGE(OFFSET($H$3,0,0,'Données projet'!$E$9+1,1))</f>
        <v>235.66314579622622</v>
      </c>
      <c r="T169" s="59">
        <f t="shared" si="142"/>
        <v>231.1613577327077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20.179094845815527</v>
      </c>
      <c r="AA169" s="21">
        <f>EXP(-LN(2)/25)*AA168+(1-EXP(-LN(2)/25))/(LN(2)/25)*Calculateur!V169*Calculateur!X169*VLOOKUP('Données projet'!$B$9,Paramètres!$A$1:$I$89,3,0)*0.475*44/12</f>
        <v>2.0383065634436455</v>
      </c>
      <c r="AB169" s="21">
        <f>EXP(-LN(2)/2)*AB168+(1-EXP(-LN(2)/2))/(LN(2)/2)*V169*Y169*VLOOKUP('Données projet'!$B$9,Paramètres!$A$1:$I$89,3,0)*0.475*44/12</f>
        <v>3.0179378270582776E-15</v>
      </c>
      <c r="AC169" s="22">
        <f t="shared" si="163"/>
        <v>22.217401409259175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0.33999999999963393</v>
      </c>
      <c r="O170" s="13">
        <f>N170*VLOOKUP('Données projet'!$B$9,Paramètres!$A$1:$I$89,3,0)*VLOOKUP('Données projet'!$B$9,Paramètres!$A$1:$I$89,5,0)</f>
        <v>0.20331999999978112</v>
      </c>
      <c r="P170" s="13">
        <f t="shared" si="141"/>
        <v>0.112787248546695</v>
      </c>
      <c r="Q170" s="20">
        <f t="shared" si="162"/>
        <v>0.55055345788511245</v>
      </c>
      <c r="R170" s="59">
        <f t="shared" si="109"/>
        <v>293.8838867912184</v>
      </c>
      <c r="S170" s="59">
        <f ca="1">AVERAGE(OFFSET($R$3,0,0,'Données projet'!$E$9+1,1))-AVERAGE(OFFSET($H$3,0,0,'Données projet'!$E$9+1,1))</f>
        <v>235.66314579622622</v>
      </c>
      <c r="T170" s="59">
        <f t="shared" si="142"/>
        <v>231.1613577327077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19.783395103921624</v>
      </c>
      <c r="AA170" s="21">
        <f>EXP(-LN(2)/25)*AA169+(1-EXP(-LN(2)/25))/(LN(2)/25)*Calculateur!V170*Calculateur!X170*VLOOKUP('Données projet'!$B$9,Paramètres!$A$1:$I$89,3,0)*0.475*44/12</f>
        <v>1.9825689632763954</v>
      </c>
      <c r="AB170" s="21">
        <f>EXP(-LN(2)/2)*AB169+(1-EXP(-LN(2)/2))/(LN(2)/2)*V170*Y170*VLOOKUP('Données projet'!$B$9,Paramètres!$A$1:$I$89,3,0)*0.475*44/12</f>
        <v>2.1340043027123022E-15</v>
      </c>
      <c r="AC170" s="22">
        <f t="shared" si="163"/>
        <v>21.765964067198023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0.33999999999963393</v>
      </c>
      <c r="O171" s="13">
        <f>N171*VLOOKUP('Données projet'!$B$9,Paramètres!$A$1:$I$89,3,0)*VLOOKUP('Données projet'!$B$9,Paramètres!$A$1:$I$89,5,0)</f>
        <v>0.20331999999978112</v>
      </c>
      <c r="P171" s="13">
        <f t="shared" si="141"/>
        <v>0.112787248546695</v>
      </c>
      <c r="Q171" s="20">
        <f t="shared" si="162"/>
        <v>0.55055345788511245</v>
      </c>
      <c r="R171" s="59">
        <f t="shared" si="109"/>
        <v>293.8838867912184</v>
      </c>
      <c r="S171" s="59">
        <f ca="1">AVERAGE(OFFSET($R$3,0,0,'Données projet'!$E$9+1,1))-AVERAGE(OFFSET($H$3,0,0,'Données projet'!$E$9+1,1))</f>
        <v>235.66314579622622</v>
      </c>
      <c r="T171" s="59">
        <f t="shared" si="142"/>
        <v>231.1613577327077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19.395454792613247</v>
      </c>
      <c r="AA171" s="21">
        <f>EXP(-LN(2)/25)*AA170+(1-EXP(-LN(2)/25))/(LN(2)/25)*Calculateur!V171*Calculateur!X171*VLOOKUP('Données projet'!$B$9,Paramètres!$A$1:$I$89,3,0)*0.475*44/12</f>
        <v>1.9283555107168318</v>
      </c>
      <c r="AB171" s="21">
        <f>EXP(-LN(2)/2)*AB170+(1-EXP(-LN(2)/2))/(LN(2)/2)*V171*Y171*VLOOKUP('Données projet'!$B$9,Paramètres!$A$1:$I$89,3,0)*0.475*44/12</f>
        <v>1.5089689135291388E-15</v>
      </c>
      <c r="AC171" s="22">
        <f t="shared" si="163"/>
        <v>21.323810303330077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0.33999999999963393</v>
      </c>
      <c r="O172" s="13">
        <f>N172*VLOOKUP('Données projet'!$B$9,Paramètres!$A$1:$I$89,3,0)*VLOOKUP('Données projet'!$B$9,Paramètres!$A$1:$I$89,5,0)</f>
        <v>0.20331999999978112</v>
      </c>
      <c r="P172" s="13">
        <f t="shared" si="141"/>
        <v>0.112787248546695</v>
      </c>
      <c r="Q172" s="20">
        <f t="shared" si="162"/>
        <v>0.55055345788511245</v>
      </c>
      <c r="R172" s="59">
        <f t="shared" si="109"/>
        <v>293.8838867912184</v>
      </c>
      <c r="S172" s="59">
        <f ca="1">AVERAGE(OFFSET($R$3,0,0,'Données projet'!$E$9+1,1))-AVERAGE(OFFSET($H$3,0,0,'Données projet'!$E$9+1,1))</f>
        <v>235.66314579622622</v>
      </c>
      <c r="T172" s="59">
        <f t="shared" si="142"/>
        <v>231.1613577327077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19.015121754189405</v>
      </c>
      <c r="AA172" s="21">
        <f>EXP(-LN(2)/25)*AA171+(1-EXP(-LN(2)/25))/(LN(2)/25)*Calculateur!V172*Calculateur!X172*VLOOKUP('Données projet'!$B$9,Paramètres!$A$1:$I$89,3,0)*0.475*44/12</f>
        <v>1.8756245278684709</v>
      </c>
      <c r="AB172" s="21">
        <f>EXP(-LN(2)/2)*AB171+(1-EXP(-LN(2)/2))/(LN(2)/2)*V172*Y172*VLOOKUP('Données projet'!$B$9,Paramètres!$A$1:$I$89,3,0)*0.475*44/12</f>
        <v>1.0670021513561511E-15</v>
      </c>
      <c r="AC172" s="22">
        <f t="shared" si="163"/>
        <v>20.890746282057876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0.33999999999963393</v>
      </c>
      <c r="O173" s="13">
        <f>N173*VLOOKUP('Données projet'!$B$9,Paramètres!$A$1:$I$89,3,0)*VLOOKUP('Données projet'!$B$9,Paramètres!$A$1:$I$89,5,0)</f>
        <v>0.20331999999978112</v>
      </c>
      <c r="P173" s="13">
        <f t="shared" si="141"/>
        <v>0.112787248546695</v>
      </c>
      <c r="Q173" s="20">
        <f t="shared" si="162"/>
        <v>0.55055345788511245</v>
      </c>
      <c r="R173" s="59">
        <f t="shared" si="109"/>
        <v>293.8838867912184</v>
      </c>
      <c r="S173" s="59">
        <f ca="1">AVERAGE(OFFSET($R$3,0,0,'Données projet'!$E$9+1,1))-AVERAGE(OFFSET($H$3,0,0,'Données projet'!$E$9+1,1))</f>
        <v>235.66314579622622</v>
      </c>
      <c r="T173" s="59">
        <f t="shared" si="142"/>
        <v>231.1613577327077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18.642246814668805</v>
      </c>
      <c r="AA173" s="21">
        <f>EXP(-LN(2)/25)*AA172+(1-EXP(-LN(2)/25))/(LN(2)/25)*Calculateur!V173*Calculateur!X173*VLOOKUP('Données projet'!$B$9,Paramètres!$A$1:$I$89,3,0)*0.475*44/12</f>
        <v>1.8243354765191004</v>
      </c>
      <c r="AB173" s="21">
        <f>EXP(-LN(2)/2)*AB172+(1-EXP(-LN(2)/2))/(LN(2)/2)*V173*Y173*VLOOKUP('Données projet'!$B$9,Paramètres!$A$1:$I$89,3,0)*0.475*44/12</f>
        <v>7.544844567645694E-16</v>
      </c>
      <c r="AC173" s="22">
        <f t="shared" si="163"/>
        <v>20.466582291187905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0.33999999999963393</v>
      </c>
      <c r="O174" s="13">
        <f>N174*VLOOKUP('Données projet'!$B$9,Paramètres!$A$1:$I$89,3,0)*VLOOKUP('Données projet'!$B$9,Paramètres!$A$1:$I$89,5,0)</f>
        <v>0.20331999999978112</v>
      </c>
      <c r="P174" s="13">
        <f t="shared" si="141"/>
        <v>0.112787248546695</v>
      </c>
      <c r="Q174" s="20">
        <f t="shared" si="162"/>
        <v>0.55055345788511245</v>
      </c>
      <c r="R174" s="59">
        <f t="shared" si="109"/>
        <v>293.8838867912184</v>
      </c>
      <c r="S174" s="59">
        <f ca="1">AVERAGE(OFFSET($R$3,0,0,'Données projet'!$E$9+1,1))-AVERAGE(OFFSET($H$3,0,0,'Données projet'!$E$9+1,1))</f>
        <v>235.66314579622622</v>
      </c>
      <c r="T174" s="59">
        <f t="shared" si="142"/>
        <v>231.1613577327077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18.27668372528095</v>
      </c>
      <c r="AA174" s="21">
        <f>EXP(-LN(2)/25)*AA173+(1-EXP(-LN(2)/25))/(LN(2)/25)*Calculateur!V174*Calculateur!X174*VLOOKUP('Données projet'!$B$9,Paramètres!$A$1:$I$89,3,0)*0.475*44/12</f>
        <v>1.7744489269760526</v>
      </c>
      <c r="AB174" s="21">
        <f>EXP(-LN(2)/2)*AB173+(1-EXP(-LN(2)/2))/(LN(2)/2)*V174*Y174*VLOOKUP('Données projet'!$B$9,Paramètres!$A$1:$I$89,3,0)*0.475*44/12</f>
        <v>5.3350107567807554E-16</v>
      </c>
      <c r="AC174" s="22">
        <f t="shared" si="163"/>
        <v>20.051132652257003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0.33999999999963393</v>
      </c>
      <c r="O175" s="13">
        <f>N175*VLOOKUP('Données projet'!$B$9,Paramètres!$A$1:$I$89,3,0)*VLOOKUP('Données projet'!$B$9,Paramètres!$A$1:$I$89,5,0)</f>
        <v>0.20331999999978112</v>
      </c>
      <c r="P175" s="13">
        <f t="shared" si="141"/>
        <v>0.112787248546695</v>
      </c>
      <c r="Q175" s="20">
        <f t="shared" si="162"/>
        <v>0.55055345788511245</v>
      </c>
      <c r="R175" s="59">
        <f t="shared" si="109"/>
        <v>293.8838867912184</v>
      </c>
      <c r="S175" s="59">
        <f ca="1">AVERAGE(OFFSET($R$3,0,0,'Données projet'!$E$9+1,1))-AVERAGE(OFFSET($H$3,0,0,'Données projet'!$E$9+1,1))</f>
        <v>235.66314579622622</v>
      </c>
      <c r="T175" s="59">
        <f t="shared" si="142"/>
        <v>231.1613577327077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17.91828910510452</v>
      </c>
      <c r="AA175" s="21">
        <f>EXP(-LN(2)/25)*AA174+(1-EXP(-LN(2)/25))/(LN(2)/25)*Calculateur!V175*Calculateur!X175*VLOOKUP('Données projet'!$B$9,Paramètres!$A$1:$I$89,3,0)*0.475*44/12</f>
        <v>1.7259265277536788</v>
      </c>
      <c r="AB175" s="21">
        <f>EXP(-LN(2)/2)*AB174+(1-EXP(-LN(2)/2))/(LN(2)/2)*V175*Y175*VLOOKUP('Données projet'!$B$9,Paramètres!$A$1:$I$89,3,0)*0.475*44/12</f>
        <v>3.772422283822847E-16</v>
      </c>
      <c r="AC175" s="22">
        <f t="shared" si="163"/>
        <v>19.644215632858199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0.33999999999963393</v>
      </c>
      <c r="O176" s="13">
        <f>N176*VLOOKUP('Données projet'!$B$9,Paramètres!$A$1:$I$89,3,0)*VLOOKUP('Données projet'!$B$9,Paramètres!$A$1:$I$89,5,0)</f>
        <v>0.20331999999978112</v>
      </c>
      <c r="P176" s="13">
        <f t="shared" si="141"/>
        <v>0.112787248546695</v>
      </c>
      <c r="Q176" s="20">
        <f t="shared" si="162"/>
        <v>0.55055345788511245</v>
      </c>
      <c r="R176" s="59">
        <f t="shared" si="109"/>
        <v>293.8838867912184</v>
      </c>
      <c r="S176" s="59">
        <f ca="1">AVERAGE(OFFSET($R$3,0,0,'Données projet'!$E$9+1,1))-AVERAGE(OFFSET($H$3,0,0,'Données projet'!$E$9+1,1))</f>
        <v>235.66314579622622</v>
      </c>
      <c r="T176" s="59">
        <f t="shared" si="142"/>
        <v>231.1613577327077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17.566922384830619</v>
      </c>
      <c r="AA176" s="21">
        <f>EXP(-LN(2)/25)*AA175+(1-EXP(-LN(2)/25))/(LN(2)/25)*Calculateur!V176*Calculateur!X176*VLOOKUP('Données projet'!$B$9,Paramètres!$A$1:$I$89,3,0)*0.475*44/12</f>
        <v>1.6787309760897231</v>
      </c>
      <c r="AB176" s="21">
        <f>EXP(-LN(2)/2)*AB175+(1-EXP(-LN(2)/2))/(LN(2)/2)*V176*Y176*VLOOKUP('Données projet'!$B$9,Paramètres!$A$1:$I$89,3,0)*0.475*44/12</f>
        <v>2.6675053783903777E-16</v>
      </c>
      <c r="AC176" s="22">
        <f t="shared" si="163"/>
        <v>19.245653360920343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0.33999999999963393</v>
      </c>
      <c r="O177" s="13">
        <f>N177*VLOOKUP('Données projet'!$B$9,Paramètres!$A$1:$I$89,3,0)*VLOOKUP('Données projet'!$B$9,Paramètres!$A$1:$I$89,5,0)</f>
        <v>0.20331999999978112</v>
      </c>
      <c r="P177" s="13">
        <f t="shared" si="141"/>
        <v>0.112787248546695</v>
      </c>
      <c r="Q177" s="20">
        <f t="shared" si="162"/>
        <v>0.55055345788511245</v>
      </c>
      <c r="R177" s="59">
        <f t="shared" si="109"/>
        <v>293.8838867912184</v>
      </c>
      <c r="S177" s="59">
        <f ca="1">AVERAGE(OFFSET($R$3,0,0,'Données projet'!$E$9+1,1))-AVERAGE(OFFSET($H$3,0,0,'Données projet'!$E$9+1,1))</f>
        <v>235.66314579622622</v>
      </c>
      <c r="T177" s="59">
        <f t="shared" si="142"/>
        <v>231.1613577327077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17.222445751628751</v>
      </c>
      <c r="AA177" s="21">
        <f>EXP(-LN(2)/25)*AA176+(1-EXP(-LN(2)/25))/(LN(2)/25)*Calculateur!V177*Calculateur!X177*VLOOKUP('Données projet'!$B$9,Paramètres!$A$1:$I$89,3,0)*0.475*44/12</f>
        <v>1.6328259892679244</v>
      </c>
      <c r="AB177" s="21">
        <f>EXP(-LN(2)/2)*AB176+(1-EXP(-LN(2)/2))/(LN(2)/2)*V177*Y177*VLOOKUP('Données projet'!$B$9,Paramètres!$A$1:$I$89,3,0)*0.475*44/12</f>
        <v>1.8862111419114235E-16</v>
      </c>
      <c r="AC177" s="22">
        <f t="shared" si="163"/>
        <v>18.855271740896676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0.33999999999963393</v>
      </c>
      <c r="O178" s="13">
        <f>N178*VLOOKUP('Données projet'!$B$9,Paramètres!$A$1:$I$89,3,0)*VLOOKUP('Données projet'!$B$9,Paramètres!$A$1:$I$89,5,0)</f>
        <v>0.20331999999978112</v>
      </c>
      <c r="P178" s="13">
        <f t="shared" si="141"/>
        <v>0.112787248546695</v>
      </c>
      <c r="Q178" s="20">
        <f t="shared" si="162"/>
        <v>0.55055345788511245</v>
      </c>
      <c r="R178" s="59">
        <f t="shared" si="109"/>
        <v>293.8838867912184</v>
      </c>
      <c r="S178" s="59">
        <f ca="1">AVERAGE(OFFSET($R$3,0,0,'Données projet'!$E$9+1,1))-AVERAGE(OFFSET($H$3,0,0,'Données projet'!$E$9+1,1))</f>
        <v>235.66314579622622</v>
      </c>
      <c r="T178" s="59">
        <f t="shared" si="142"/>
        <v>231.1613577327077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16.884724095093972</v>
      </c>
      <c r="AA178" s="21">
        <f>EXP(-LN(2)/25)*AA177+(1-EXP(-LN(2)/25))/(LN(2)/25)*Calculateur!V178*Calculateur!X178*VLOOKUP('Données projet'!$B$9,Paramètres!$A$1:$I$89,3,0)*0.475*44/12</f>
        <v>1.5881762767248062</v>
      </c>
      <c r="AB178" s="21">
        <f>EXP(-LN(2)/2)*AB177+(1-EXP(-LN(2)/2))/(LN(2)/2)*V178*Y178*VLOOKUP('Données projet'!$B$9,Paramètres!$A$1:$I$89,3,0)*0.475*44/12</f>
        <v>1.3337526891951889E-16</v>
      </c>
      <c r="AC178" s="22">
        <f t="shared" si="163"/>
        <v>18.472900371818778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0.33999999999963393</v>
      </c>
      <c r="O179" s="13">
        <f>N179*VLOOKUP('Données projet'!$B$9,Paramètres!$A$1:$I$89,3,0)*VLOOKUP('Données projet'!$B$9,Paramètres!$A$1:$I$89,5,0)</f>
        <v>0.20331999999978112</v>
      </c>
      <c r="P179" s="13">
        <f t="shared" si="141"/>
        <v>0.112787248546695</v>
      </c>
      <c r="Q179" s="20">
        <f t="shared" si="162"/>
        <v>0.55055345788511245</v>
      </c>
      <c r="R179" s="59">
        <f t="shared" si="109"/>
        <v>293.8838867912184</v>
      </c>
      <c r="S179" s="59">
        <f ca="1">AVERAGE(OFFSET($R$3,0,0,'Données projet'!$E$9+1,1))-AVERAGE(OFFSET($H$3,0,0,'Données projet'!$E$9+1,1))</f>
        <v>235.66314579622622</v>
      </c>
      <c r="T179" s="59">
        <f t="shared" si="142"/>
        <v>231.1613577327077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16.553624954253969</v>
      </c>
      <c r="AA179" s="21">
        <f>EXP(-LN(2)/25)*AA178+(1-EXP(-LN(2)/25))/(LN(2)/25)*Calculateur!V179*Calculateur!X179*VLOOKUP('Données projet'!$B$9,Paramètres!$A$1:$I$89,3,0)*0.475*44/12</f>
        <v>1.5447475129192059</v>
      </c>
      <c r="AB179" s="21">
        <f>EXP(-LN(2)/2)*AB178+(1-EXP(-LN(2)/2))/(LN(2)/2)*V179*Y179*VLOOKUP('Données projet'!$B$9,Paramètres!$A$1:$I$89,3,0)*0.475*44/12</f>
        <v>9.4310557095571176E-17</v>
      </c>
      <c r="AC179" s="22">
        <f t="shared" si="163"/>
        <v>18.098372467173174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0.33999999999963393</v>
      </c>
      <c r="O180" s="13">
        <f>N180*VLOOKUP('Données projet'!$B$9,Paramètres!$A$1:$I$89,3,0)*VLOOKUP('Données projet'!$B$9,Paramètres!$A$1:$I$89,5,0)</f>
        <v>0.20331999999978112</v>
      </c>
      <c r="P180" s="13">
        <f t="shared" si="141"/>
        <v>0.112787248546695</v>
      </c>
      <c r="Q180" s="20">
        <f t="shared" si="162"/>
        <v>0.55055345788511245</v>
      </c>
      <c r="R180" s="59">
        <f t="shared" si="109"/>
        <v>293.8838867912184</v>
      </c>
      <c r="S180" s="59">
        <f ca="1">AVERAGE(OFFSET($R$3,0,0,'Données projet'!$E$9+1,1))-AVERAGE(OFFSET($H$3,0,0,'Données projet'!$E$9+1,1))</f>
        <v>235.66314579622622</v>
      </c>
      <c r="T180" s="59">
        <f t="shared" si="142"/>
        <v>231.1613577327077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16.229018465615304</v>
      </c>
      <c r="AA180" s="21">
        <f>EXP(-LN(2)/25)*AA179+(1-EXP(-LN(2)/25))/(LN(2)/25)*Calculateur!V180*Calculateur!X180*VLOOKUP('Données projet'!$B$9,Paramètres!$A$1:$I$89,3,0)*0.475*44/12</f>
        <v>1.5025063109436891</v>
      </c>
      <c r="AB180" s="21">
        <f>EXP(-LN(2)/2)*AB179+(1-EXP(-LN(2)/2))/(LN(2)/2)*V180*Y180*VLOOKUP('Données projet'!$B$9,Paramètres!$A$1:$I$89,3,0)*0.475*44/12</f>
        <v>6.6687634459759443E-17</v>
      </c>
      <c r="AC180" s="22">
        <f t="shared" si="163"/>
        <v>17.731524776558995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0.33999999999963393</v>
      </c>
      <c r="O181" s="13">
        <f>N181*VLOOKUP('Données projet'!$B$9,Paramètres!$A$1:$I$89,3,0)*VLOOKUP('Données projet'!$B$9,Paramètres!$A$1:$I$89,5,0)</f>
        <v>0.20331999999978112</v>
      </c>
      <c r="P181" s="13">
        <f t="shared" si="141"/>
        <v>0.112787248546695</v>
      </c>
      <c r="Q181" s="20">
        <f t="shared" si="162"/>
        <v>0.55055345788511245</v>
      </c>
      <c r="R181" s="59">
        <f t="shared" si="109"/>
        <v>293.8838867912184</v>
      </c>
      <c r="S181" s="59">
        <f ca="1">AVERAGE(OFFSET($R$3,0,0,'Données projet'!$E$9+1,1))-AVERAGE(OFFSET($H$3,0,0,'Données projet'!$E$9+1,1))</f>
        <v>235.66314579622622</v>
      </c>
      <c r="T181" s="59">
        <f t="shared" si="142"/>
        <v>231.1613577327077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15.910777312228435</v>
      </c>
      <c r="AA181" s="21">
        <f>EXP(-LN(2)/25)*AA180+(1-EXP(-LN(2)/25))/(LN(2)/25)*Calculateur!V181*Calculateur!X181*VLOOKUP('Données projet'!$B$9,Paramètres!$A$1:$I$89,3,0)*0.475*44/12</f>
        <v>1.4614201968575611</v>
      </c>
      <c r="AB181" s="21">
        <f>EXP(-LN(2)/2)*AB180+(1-EXP(-LN(2)/2))/(LN(2)/2)*V181*Y181*VLOOKUP('Données projet'!$B$9,Paramètres!$A$1:$I$89,3,0)*0.475*44/12</f>
        <v>4.7155278547785588E-17</v>
      </c>
      <c r="AC181" s="22">
        <f t="shared" si="163"/>
        <v>17.372197509085996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0.33999999999963393</v>
      </c>
      <c r="O182" s="13">
        <f>N182*VLOOKUP('Données projet'!$B$9,Paramètres!$A$1:$I$89,3,0)*VLOOKUP('Données projet'!$B$9,Paramètres!$A$1:$I$89,5,0)</f>
        <v>0.20331999999978112</v>
      </c>
      <c r="P182" s="13">
        <f t="shared" si="141"/>
        <v>0.112787248546695</v>
      </c>
      <c r="Q182" s="20">
        <f t="shared" si="162"/>
        <v>0.55055345788511245</v>
      </c>
      <c r="R182" s="59">
        <f t="shared" si="109"/>
        <v>293.8838867912184</v>
      </c>
      <c r="S182" s="59">
        <f ca="1">AVERAGE(OFFSET($R$3,0,0,'Données projet'!$E$9+1,1))-AVERAGE(OFFSET($H$3,0,0,'Données projet'!$E$9+1,1))</f>
        <v>235.66314579622622</v>
      </c>
      <c r="T182" s="59">
        <f t="shared" si="142"/>
        <v>231.1613577327077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15.598776673751544</v>
      </c>
      <c r="AA182" s="21">
        <f>EXP(-LN(2)/25)*AA181+(1-EXP(-LN(2)/25))/(LN(2)/25)*Calculateur!V182*Calculateur!X182*VLOOKUP('Données projet'!$B$9,Paramètres!$A$1:$I$89,3,0)*0.475*44/12</f>
        <v>1.421457584721743</v>
      </c>
      <c r="AB182" s="21">
        <f>EXP(-LN(2)/2)*AB181+(1-EXP(-LN(2)/2))/(LN(2)/2)*V182*Y182*VLOOKUP('Données projet'!$B$9,Paramètres!$A$1:$I$89,3,0)*0.475*44/12</f>
        <v>3.3343817229879721E-17</v>
      </c>
      <c r="AC182" s="22">
        <f t="shared" si="163"/>
        <v>17.020234258473288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0.33999999999963393</v>
      </c>
      <c r="O183" s="13">
        <f>N183*VLOOKUP('Données projet'!$B$9,Paramètres!$A$1:$I$89,3,0)*VLOOKUP('Données projet'!$B$9,Paramètres!$A$1:$I$89,5,0)</f>
        <v>0.20331999999978112</v>
      </c>
      <c r="P183" s="13">
        <f t="shared" si="141"/>
        <v>0.112787248546695</v>
      </c>
      <c r="Q183" s="20">
        <f t="shared" si="162"/>
        <v>0.55055345788511245</v>
      </c>
      <c r="R183" s="59">
        <f t="shared" si="109"/>
        <v>293.8838867912184</v>
      </c>
      <c r="S183" s="59">
        <f ca="1">AVERAGE(OFFSET($R$3,0,0,'Données projet'!$E$9+1,1))-AVERAGE(OFFSET($H$3,0,0,'Données projet'!$E$9+1,1))</f>
        <v>235.66314579622622</v>
      </c>
      <c r="T183" s="59">
        <f t="shared" si="142"/>
        <v>231.1613577327077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15.292894177493586</v>
      </c>
      <c r="AA183" s="21">
        <f>EXP(-LN(2)/25)*AA182+(1-EXP(-LN(2)/25))/(LN(2)/25)*Calculateur!V183*Calculateur!X183*VLOOKUP('Données projet'!$B$9,Paramètres!$A$1:$I$89,3,0)*0.475*44/12</f>
        <v>1.3825877523163213</v>
      </c>
      <c r="AB183" s="21">
        <f>EXP(-LN(2)/2)*AB182+(1-EXP(-LN(2)/2))/(LN(2)/2)*V183*Y183*VLOOKUP('Données projet'!$B$9,Paramètres!$A$1:$I$89,3,0)*0.475*44/12</f>
        <v>2.3577639273892794E-17</v>
      </c>
      <c r="AC183" s="22">
        <f t="shared" si="163"/>
        <v>16.675481929809909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0.33999999999963393</v>
      </c>
      <c r="O184" s="13">
        <f>N184*VLOOKUP('Données projet'!$B$9,Paramètres!$A$1:$I$89,3,0)*VLOOKUP('Données projet'!$B$9,Paramètres!$A$1:$I$89,5,0)</f>
        <v>0.20331999999978112</v>
      </c>
      <c r="P184" s="13">
        <f t="shared" si="141"/>
        <v>0.112787248546695</v>
      </c>
      <c r="Q184" s="20">
        <f t="shared" si="162"/>
        <v>0.55055345788511245</v>
      </c>
      <c r="R184" s="59">
        <f t="shared" si="109"/>
        <v>293.8838867912184</v>
      </c>
      <c r="S184" s="59">
        <f ca="1">AVERAGE(OFFSET($R$3,0,0,'Données projet'!$E$9+1,1))-AVERAGE(OFFSET($H$3,0,0,'Données projet'!$E$9+1,1))</f>
        <v>235.66314579622622</v>
      </c>
      <c r="T184" s="59">
        <f t="shared" si="142"/>
        <v>231.1613577327077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14.993009850417348</v>
      </c>
      <c r="AA184" s="21">
        <f>EXP(-LN(2)/25)*AA183+(1-EXP(-LN(2)/25))/(LN(2)/25)*Calculateur!V184*Calculateur!X184*VLOOKUP('Données projet'!$B$9,Paramètres!$A$1:$I$89,3,0)*0.475*44/12</f>
        <v>1.3447808175221014</v>
      </c>
      <c r="AB184" s="21">
        <f>EXP(-LN(2)/2)*AB183+(1-EXP(-LN(2)/2))/(LN(2)/2)*V184*Y184*VLOOKUP('Données projet'!$B$9,Paramètres!$A$1:$I$89,3,0)*0.475*44/12</f>
        <v>1.6671908614939861E-17</v>
      </c>
      <c r="AC184" s="22">
        <f t="shared" si="163"/>
        <v>16.337790667939448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0.33999999999963393</v>
      </c>
      <c r="O185" s="13">
        <f>N185*VLOOKUP('Données projet'!$B$9,Paramètres!$A$1:$I$89,3,0)*VLOOKUP('Données projet'!$B$9,Paramètres!$A$1:$I$89,5,0)</f>
        <v>0.20331999999978112</v>
      </c>
      <c r="P185" s="13">
        <f t="shared" si="141"/>
        <v>0.112787248546695</v>
      </c>
      <c r="Q185" s="20">
        <f t="shared" si="162"/>
        <v>0.55055345788511245</v>
      </c>
      <c r="R185" s="59">
        <f t="shared" si="109"/>
        <v>293.8838867912184</v>
      </c>
      <c r="S185" s="59">
        <f ca="1">AVERAGE(OFFSET($R$3,0,0,'Données projet'!$E$9+1,1))-AVERAGE(OFFSET($H$3,0,0,'Données projet'!$E$9+1,1))</f>
        <v>235.66314579622622</v>
      </c>
      <c r="T185" s="59">
        <f t="shared" si="142"/>
        <v>231.1613577327077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14.699006072083694</v>
      </c>
      <c r="AA185" s="21">
        <f>EXP(-LN(2)/25)*AA184+(1-EXP(-LN(2)/25))/(LN(2)/25)*Calculateur!V185*Calculateur!X185*VLOOKUP('Données projet'!$B$9,Paramètres!$A$1:$I$89,3,0)*0.475*44/12</f>
        <v>1.3080077153480099</v>
      </c>
      <c r="AB185" s="21">
        <f>EXP(-LN(2)/2)*AB184+(1-EXP(-LN(2)/2))/(LN(2)/2)*V185*Y185*VLOOKUP('Données projet'!$B$9,Paramètres!$A$1:$I$89,3,0)*0.475*44/12</f>
        <v>1.1788819636946397E-17</v>
      </c>
      <c r="AC185" s="22">
        <f t="shared" si="163"/>
        <v>16.007013787431703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0.33999999999963393</v>
      </c>
      <c r="O186" s="13">
        <f>N186*VLOOKUP('Données projet'!$B$9,Paramètres!$A$1:$I$89,3,0)*VLOOKUP('Données projet'!$B$9,Paramètres!$A$1:$I$89,5,0)</f>
        <v>0.20331999999978112</v>
      </c>
      <c r="P186" s="13">
        <f t="shared" si="141"/>
        <v>0.112787248546695</v>
      </c>
      <c r="Q186" s="20">
        <f t="shared" si="162"/>
        <v>0.55055345788511245</v>
      </c>
      <c r="R186" s="59">
        <f t="shared" si="109"/>
        <v>293.8838867912184</v>
      </c>
      <c r="S186" s="59">
        <f ca="1">AVERAGE(OFFSET($R$3,0,0,'Données projet'!$E$9+1,1))-AVERAGE(OFFSET($H$3,0,0,'Données projet'!$E$9+1,1))</f>
        <v>235.66314579622622</v>
      </c>
      <c r="T186" s="59">
        <f t="shared" si="142"/>
        <v>231.1613577327077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14.410767528518567</v>
      </c>
      <c r="AA186" s="21">
        <f>EXP(-LN(2)/25)*AA185+(1-EXP(-LN(2)/25))/(LN(2)/25)*Calculateur!V186*Calculateur!X186*VLOOKUP('Données projet'!$B$9,Paramètres!$A$1:$I$89,3,0)*0.475*44/12</f>
        <v>1.2722401755866823</v>
      </c>
      <c r="AB186" s="21">
        <f>EXP(-LN(2)/2)*AB185+(1-EXP(-LN(2)/2))/(LN(2)/2)*V186*Y186*VLOOKUP('Données projet'!$B$9,Paramètres!$A$1:$I$89,3,0)*0.475*44/12</f>
        <v>8.3359543074699304E-18</v>
      </c>
      <c r="AC186" s="22">
        <f t="shared" si="163"/>
        <v>15.68300770410525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0.33999999999963393</v>
      </c>
      <c r="O187" s="13">
        <f>N187*VLOOKUP('Données projet'!$B$9,Paramètres!$A$1:$I$89,3,0)*VLOOKUP('Données projet'!$B$9,Paramètres!$A$1:$I$89,5,0)</f>
        <v>0.20331999999978112</v>
      </c>
      <c r="P187" s="13">
        <f t="shared" si="141"/>
        <v>0.112787248546695</v>
      </c>
      <c r="Q187" s="20">
        <f t="shared" si="162"/>
        <v>0.55055345788511245</v>
      </c>
      <c r="R187" s="59">
        <f t="shared" si="109"/>
        <v>293.8838867912184</v>
      </c>
      <c r="S187" s="59">
        <f ca="1">AVERAGE(OFFSET($R$3,0,0,'Données projet'!$E$9+1,1))-AVERAGE(OFFSET($H$3,0,0,'Données projet'!$E$9+1,1))</f>
        <v>235.66314579622622</v>
      </c>
      <c r="T187" s="59">
        <f t="shared" si="142"/>
        <v>231.1613577327077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14.1281811669846</v>
      </c>
      <c r="AA187" s="21">
        <f>EXP(-LN(2)/25)*AA186+(1-EXP(-LN(2)/25))/(LN(2)/25)*Calculateur!V187*Calculateur!X187*VLOOKUP('Données projet'!$B$9,Paramètres!$A$1:$I$89,3,0)*0.475*44/12</f>
        <v>1.2374507010810614</v>
      </c>
      <c r="AB187" s="21">
        <f>EXP(-LN(2)/2)*AB186+(1-EXP(-LN(2)/2))/(LN(2)/2)*V187*Y187*VLOOKUP('Données projet'!$B$9,Paramètres!$A$1:$I$89,3,0)*0.475*44/12</f>
        <v>5.8944098184731985E-18</v>
      </c>
      <c r="AC187" s="22">
        <f t="shared" si="163"/>
        <v>15.365631868065661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0.33999999999963393</v>
      </c>
      <c r="O188" s="13">
        <f>N188*VLOOKUP('Données projet'!$B$9,Paramètres!$A$1:$I$89,3,0)*VLOOKUP('Données projet'!$B$9,Paramètres!$A$1:$I$89,5,0)</f>
        <v>0.20331999999978112</v>
      </c>
      <c r="P188" s="13">
        <f t="shared" si="141"/>
        <v>0.112787248546695</v>
      </c>
      <c r="Q188" s="20">
        <f t="shared" si="162"/>
        <v>0.55055345788511245</v>
      </c>
      <c r="R188" s="59">
        <f t="shared" si="109"/>
        <v>293.8838867912184</v>
      </c>
      <c r="S188" s="59">
        <f ca="1">AVERAGE(OFFSET($R$3,0,0,'Données projet'!$E$9+1,1))-AVERAGE(OFFSET($H$3,0,0,'Données projet'!$E$9+1,1))</f>
        <v>235.66314579622622</v>
      </c>
      <c r="T188" s="59">
        <f t="shared" si="142"/>
        <v>231.1613577327077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13.851136151639652</v>
      </c>
      <c r="AA188" s="21">
        <f>EXP(-LN(2)/25)*AA187+(1-EXP(-LN(2)/25))/(LN(2)/25)*Calculateur!V188*Calculateur!X188*VLOOKUP('Données projet'!$B$9,Paramètres!$A$1:$I$89,3,0)*0.475*44/12</f>
        <v>1.2036125465852956</v>
      </c>
      <c r="AB188" s="21">
        <f>EXP(-LN(2)/2)*AB187+(1-EXP(-LN(2)/2))/(LN(2)/2)*V188*Y188*VLOOKUP('Données projet'!$B$9,Paramètres!$A$1:$I$89,3,0)*0.475*44/12</f>
        <v>4.1679771537349652E-18</v>
      </c>
      <c r="AC188" s="22">
        <f t="shared" si="163"/>
        <v>15.054748698224948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0.33999999999963393</v>
      </c>
      <c r="O189" s="13">
        <f>N189*VLOOKUP('Données projet'!$B$9,Paramètres!$A$1:$I$89,3,0)*VLOOKUP('Données projet'!$B$9,Paramètres!$A$1:$I$89,5,0)</f>
        <v>0.20331999999978112</v>
      </c>
      <c r="P189" s="13">
        <f t="shared" si="141"/>
        <v>0.112787248546695</v>
      </c>
      <c r="Q189" s="20">
        <f t="shared" si="162"/>
        <v>0.55055345788511245</v>
      </c>
      <c r="R189" s="59">
        <f t="shared" si="109"/>
        <v>293.8838867912184</v>
      </c>
      <c r="S189" s="59">
        <f ca="1">AVERAGE(OFFSET($R$3,0,0,'Données projet'!$E$9+1,1))-AVERAGE(OFFSET($H$3,0,0,'Données projet'!$E$9+1,1))</f>
        <v>235.66314579622622</v>
      </c>
      <c r="T189" s="59">
        <f t="shared" si="142"/>
        <v>231.1613577327077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13.579523820064844</v>
      </c>
      <c r="AA189" s="21">
        <f>EXP(-LN(2)/25)*AA188+(1-EXP(-LN(2)/25))/(LN(2)/25)*Calculateur!V189*Calculateur!X189*VLOOKUP('Données projet'!$B$9,Paramètres!$A$1:$I$89,3,0)*0.475*44/12</f>
        <v>1.1706996982036877</v>
      </c>
      <c r="AB189" s="21">
        <f>EXP(-LN(2)/2)*AB188+(1-EXP(-LN(2)/2))/(LN(2)/2)*V189*Y189*VLOOKUP('Données projet'!$B$9,Paramètres!$A$1:$I$89,3,0)*0.475*44/12</f>
        <v>2.9472049092365992E-18</v>
      </c>
      <c r="AC189" s="22">
        <f t="shared" si="163"/>
        <v>14.750223518268532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0.33999999999963393</v>
      </c>
      <c r="O190" s="13">
        <f>N190*VLOOKUP('Données projet'!$B$9,Paramètres!$A$1:$I$89,3,0)*VLOOKUP('Données projet'!$B$9,Paramètres!$A$1:$I$89,5,0)</f>
        <v>0.20331999999978112</v>
      </c>
      <c r="P190" s="13">
        <f t="shared" si="141"/>
        <v>0.112787248546695</v>
      </c>
      <c r="Q190" s="20">
        <f t="shared" si="162"/>
        <v>0.55055345788511245</v>
      </c>
      <c r="R190" s="59">
        <f t="shared" si="109"/>
        <v>293.8838867912184</v>
      </c>
      <c r="S190" s="59">
        <f ca="1">AVERAGE(OFFSET($R$3,0,0,'Données projet'!$E$9+1,1))-AVERAGE(OFFSET($H$3,0,0,'Données projet'!$E$9+1,1))</f>
        <v>235.66314579622622</v>
      </c>
      <c r="T190" s="59">
        <f t="shared" si="142"/>
        <v>231.1613577327077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13.313237640645056</v>
      </c>
      <c r="AA190" s="21">
        <f>EXP(-LN(2)/25)*AA189+(1-EXP(-LN(2)/25))/(LN(2)/25)*Calculateur!V190*Calculateur!X190*VLOOKUP('Données projet'!$B$9,Paramètres!$A$1:$I$89,3,0)*0.475*44/12</f>
        <v>1.1386868533918864</v>
      </c>
      <c r="AB190" s="21">
        <f>EXP(-LN(2)/2)*AB189+(1-EXP(-LN(2)/2))/(LN(2)/2)*V190*Y190*VLOOKUP('Données projet'!$B$9,Paramètres!$A$1:$I$89,3,0)*0.475*44/12</f>
        <v>2.0839885768674826E-18</v>
      </c>
      <c r="AC190" s="22">
        <f t="shared" si="163"/>
        <v>14.451924494036943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0.33999999999963393</v>
      </c>
      <c r="O191" s="13">
        <f>N191*VLOOKUP('Données projet'!$B$9,Paramètres!$A$1:$I$89,3,0)*VLOOKUP('Données projet'!$B$9,Paramètres!$A$1:$I$89,5,0)</f>
        <v>0.20331999999978112</v>
      </c>
      <c r="P191" s="13">
        <f t="shared" si="141"/>
        <v>0.112787248546695</v>
      </c>
      <c r="Q191" s="20">
        <f t="shared" si="162"/>
        <v>0.55055345788511245</v>
      </c>
      <c r="R191" s="59">
        <f t="shared" si="109"/>
        <v>293.8838867912184</v>
      </c>
      <c r="S191" s="59">
        <f ca="1">AVERAGE(OFFSET($R$3,0,0,'Données projet'!$E$9+1,1))-AVERAGE(OFFSET($H$3,0,0,'Données projet'!$E$9+1,1))</f>
        <v>235.66314579622622</v>
      </c>
      <c r="T191" s="59">
        <f t="shared" si="142"/>
        <v>231.1613577327077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13.052173170785156</v>
      </c>
      <c r="AA191" s="21">
        <f>EXP(-LN(2)/25)*AA190+(1-EXP(-LN(2)/25))/(LN(2)/25)*Calculateur!V191*Calculateur!X191*VLOOKUP('Données projet'!$B$9,Paramètres!$A$1:$I$89,3,0)*0.475*44/12</f>
        <v>1.1075494015049461</v>
      </c>
      <c r="AB191" s="21">
        <f>EXP(-LN(2)/2)*AB190+(1-EXP(-LN(2)/2))/(LN(2)/2)*V191*Y191*VLOOKUP('Données projet'!$B$9,Paramètres!$A$1:$I$89,3,0)*0.475*44/12</f>
        <v>1.4736024546182996E-18</v>
      </c>
      <c r="AC191" s="22">
        <f t="shared" si="163"/>
        <v>14.159722572290102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0.33999999999963393</v>
      </c>
      <c r="O192" s="13">
        <f>N192*VLOOKUP('Données projet'!$B$9,Paramètres!$A$1:$I$89,3,0)*VLOOKUP('Données projet'!$B$9,Paramètres!$A$1:$I$89,5,0)</f>
        <v>0.20331999999978112</v>
      </c>
      <c r="P192" s="13">
        <f t="shared" si="141"/>
        <v>0.112787248546695</v>
      </c>
      <c r="Q192" s="20">
        <f t="shared" si="162"/>
        <v>0.55055345788511245</v>
      </c>
      <c r="R192" s="59">
        <f t="shared" si="109"/>
        <v>293.8838867912184</v>
      </c>
      <c r="S192" s="59">
        <f ca="1">AVERAGE(OFFSET($R$3,0,0,'Données projet'!$E$9+1,1))-AVERAGE(OFFSET($H$3,0,0,'Données projet'!$E$9+1,1))</f>
        <v>235.66314579622622</v>
      </c>
      <c r="T192" s="59">
        <f t="shared" si="142"/>
        <v>231.1613577327077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12.796228015945607</v>
      </c>
      <c r="AA192" s="21">
        <f>EXP(-LN(2)/25)*AA191+(1-EXP(-LN(2)/25))/(LN(2)/25)*Calculateur!V192*Calculateur!X192*VLOOKUP('Données projet'!$B$9,Paramètres!$A$1:$I$89,3,0)*0.475*44/12</f>
        <v>1.0772634048773015</v>
      </c>
      <c r="AB192" s="21">
        <f>EXP(-LN(2)/2)*AB191+(1-EXP(-LN(2)/2))/(LN(2)/2)*V192*Y192*VLOOKUP('Données projet'!$B$9,Paramètres!$A$1:$I$89,3,0)*0.475*44/12</f>
        <v>1.0419942884337413E-18</v>
      </c>
      <c r="AC192" s="22">
        <f t="shared" si="163"/>
        <v>13.873491420822909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0.33999999999963393</v>
      </c>
      <c r="O193" s="13">
        <f>N193*VLOOKUP('Données projet'!$B$9,Paramètres!$A$1:$I$89,3,0)*VLOOKUP('Données projet'!$B$9,Paramètres!$A$1:$I$89,5,0)</f>
        <v>0.20331999999978112</v>
      </c>
      <c r="P193" s="13">
        <f t="shared" si="141"/>
        <v>0.112787248546695</v>
      </c>
      <c r="Q193" s="20">
        <f t="shared" si="162"/>
        <v>0.55055345788511245</v>
      </c>
      <c r="R193" s="59">
        <f t="shared" si="109"/>
        <v>293.8838867912184</v>
      </c>
      <c r="S193" s="59">
        <f ca="1">AVERAGE(OFFSET($R$3,0,0,'Données projet'!$E$9+1,1))-AVERAGE(OFFSET($H$3,0,0,'Données projet'!$E$9+1,1))</f>
        <v>235.66314579622622</v>
      </c>
      <c r="T193" s="59">
        <f t="shared" si="142"/>
        <v>231.1613577327077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12.54530178948133</v>
      </c>
      <c r="AA193" s="21">
        <f>EXP(-LN(2)/25)*AA192+(1-EXP(-LN(2)/25))/(LN(2)/25)*Calculateur!V193*Calculateur!X193*VLOOKUP('Données projet'!$B$9,Paramètres!$A$1:$I$89,3,0)*0.475*44/12</f>
        <v>1.0478055804201114</v>
      </c>
      <c r="AB193" s="21">
        <f>EXP(-LN(2)/2)*AB192+(1-EXP(-LN(2)/2))/(LN(2)/2)*V193*Y193*VLOOKUP('Données projet'!$B$9,Paramètres!$A$1:$I$89,3,0)*0.475*44/12</f>
        <v>7.3680122730914981E-19</v>
      </c>
      <c r="AC193" s="22">
        <f t="shared" si="163"/>
        <v>13.593107369901443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0.33999999999963393</v>
      </c>
      <c r="O194" s="13">
        <f>N194*VLOOKUP('Données projet'!$B$9,Paramètres!$A$1:$I$89,3,0)*VLOOKUP('Données projet'!$B$9,Paramètres!$A$1:$I$89,5,0)</f>
        <v>0.20331999999978112</v>
      </c>
      <c r="P194" s="13">
        <f t="shared" si="141"/>
        <v>0.112787248546695</v>
      </c>
      <c r="Q194" s="20">
        <f t="shared" si="162"/>
        <v>0.55055345788511245</v>
      </c>
      <c r="R194" s="59">
        <f t="shared" si="109"/>
        <v>293.8838867912184</v>
      </c>
      <c r="S194" s="59">
        <f ca="1">AVERAGE(OFFSET($R$3,0,0,'Données projet'!$E$9+1,1))-AVERAGE(OFFSET($H$3,0,0,'Données projet'!$E$9+1,1))</f>
        <v>235.66314579622622</v>
      </c>
      <c r="T194" s="59">
        <f t="shared" si="142"/>
        <v>231.1613577327077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12.299296073268133</v>
      </c>
      <c r="AA194" s="21">
        <f>EXP(-LN(2)/25)*AA193+(1-EXP(-LN(2)/25))/(LN(2)/25)*Calculateur!V194*Calculateur!X194*VLOOKUP('Données projet'!$B$9,Paramètres!$A$1:$I$89,3,0)*0.475*44/12</f>
        <v>1.0191532817218227</v>
      </c>
      <c r="AB194" s="21">
        <f>EXP(-LN(2)/2)*AB193+(1-EXP(-LN(2)/2))/(LN(2)/2)*V194*Y194*VLOOKUP('Données projet'!$B$9,Paramètres!$A$1:$I$89,3,0)*0.475*44/12</f>
        <v>5.2099714421687065E-19</v>
      </c>
      <c r="AC194" s="22">
        <f t="shared" si="163"/>
        <v>13.318449354989955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0.33999999999963393</v>
      </c>
      <c r="O195" s="13">
        <f>N195*VLOOKUP('Données projet'!$B$9,Paramètres!$A$1:$I$89,3,0)*VLOOKUP('Données projet'!$B$9,Paramètres!$A$1:$I$89,5,0)</f>
        <v>0.20331999999978112</v>
      </c>
      <c r="P195" s="13">
        <f t="shared" si="141"/>
        <v>0.112787248546695</v>
      </c>
      <c r="Q195" s="20">
        <f t="shared" si="162"/>
        <v>0.55055345788511245</v>
      </c>
      <c r="R195" s="59">
        <f t="shared" ref="R195:R203" si="191">Q195+(I195+J195)*44/12</f>
        <v>293.8838867912184</v>
      </c>
      <c r="S195" s="59">
        <f ca="1">AVERAGE(OFFSET($R$3,0,0,'Données projet'!$E$9+1,1))-AVERAGE(OFFSET($H$3,0,0,'Données projet'!$E$9+1,1))</f>
        <v>235.66314579622622</v>
      </c>
      <c r="T195" s="59">
        <f t="shared" si="142"/>
        <v>231.1613577327077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12.058114379101205</v>
      </c>
      <c r="AA195" s="21">
        <f>EXP(-LN(2)/25)*AA194+(1-EXP(-LN(2)/25))/(LN(2)/25)*Calculateur!V195*Calculateur!X195*VLOOKUP('Données projet'!$B$9,Paramètres!$A$1:$I$89,3,0)*0.475*44/12</f>
        <v>0.99128448163819771</v>
      </c>
      <c r="AB195" s="21">
        <f>EXP(-LN(2)/2)*AB194+(1-EXP(-LN(2)/2))/(LN(2)/2)*V195*Y195*VLOOKUP('Données projet'!$B$9,Paramètres!$A$1:$I$89,3,0)*0.475*44/12</f>
        <v>3.684006136545749E-19</v>
      </c>
      <c r="AC195" s="22">
        <f t="shared" si="163"/>
        <v>13.049398860739403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0.33999999999963393</v>
      </c>
      <c r="O196" s="13">
        <f>N196*VLOOKUP('Données projet'!$B$9,Paramètres!$A$1:$I$89,3,0)*VLOOKUP('Données projet'!$B$9,Paramètres!$A$1:$I$89,5,0)</f>
        <v>0.20331999999978112</v>
      </c>
      <c r="P196" s="13">
        <f t="shared" si="141"/>
        <v>0.112787248546695</v>
      </c>
      <c r="Q196" s="20">
        <f t="shared" si="162"/>
        <v>0.55055345788511245</v>
      </c>
      <c r="R196" s="59">
        <f t="shared" si="191"/>
        <v>293.8838867912184</v>
      </c>
      <c r="S196" s="59">
        <f ca="1">AVERAGE(OFFSET($R$3,0,0,'Données projet'!$E$9+1,1))-AVERAGE(OFFSET($H$3,0,0,'Données projet'!$E$9+1,1))</f>
        <v>235.66314579622622</v>
      </c>
      <c r="T196" s="59">
        <f t="shared" si="142"/>
        <v>231.1613577327077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11.821662110850584</v>
      </c>
      <c r="AA196" s="21">
        <f>EXP(-LN(2)/25)*AA195+(1-EXP(-LN(2)/25))/(LN(2)/25)*Calculateur!V196*Calculateur!X196*VLOOKUP('Données projet'!$B$9,Paramètres!$A$1:$I$89,3,0)*0.475*44/12</f>
        <v>0.96417775535841588</v>
      </c>
      <c r="AB196" s="21">
        <f>EXP(-LN(2)/2)*AB195+(1-EXP(-LN(2)/2))/(LN(2)/2)*V196*Y196*VLOOKUP('Données projet'!$B$9,Paramètres!$A$1:$I$89,3,0)*0.475*44/12</f>
        <v>2.6049857210843532E-19</v>
      </c>
      <c r="AC196" s="22">
        <f t="shared" si="163"/>
        <v>12.785839866208999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0.33999999999963393</v>
      </c>
      <c r="O197" s="13">
        <f>N197*VLOOKUP('Données projet'!$B$9,Paramètres!$A$1:$I$89,3,0)*VLOOKUP('Données projet'!$B$9,Paramètres!$A$1:$I$89,5,0)</f>
        <v>0.20331999999978112</v>
      </c>
      <c r="P197" s="13">
        <f t="shared" ref="P197:P203" si="203">EXP(-1.0587+0.8836*LN(O197)+0.284)</f>
        <v>0.112787248546695</v>
      </c>
      <c r="Q197" s="20">
        <f t="shared" si="162"/>
        <v>0.55055345788511245</v>
      </c>
      <c r="R197" s="59">
        <f t="shared" si="191"/>
        <v>293.8838867912184</v>
      </c>
      <c r="S197" s="59">
        <f ca="1">AVERAGE(OFFSET($R$3,0,0,'Données projet'!$E$9+1,1))-AVERAGE(OFFSET($H$3,0,0,'Données projet'!$E$9+1,1))</f>
        <v>235.66314579622622</v>
      </c>
      <c r="T197" s="59">
        <f t="shared" ref="T197:T203" si="204">$T$3</f>
        <v>231.1613577327077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11.589846527358713</v>
      </c>
      <c r="AA197" s="21">
        <f>EXP(-LN(2)/25)*AA196+(1-EXP(-LN(2)/25))/(LN(2)/25)*Calculateur!V197*Calculateur!X197*VLOOKUP('Données projet'!$B$9,Paramètres!$A$1:$I$89,3,0)*0.475*44/12</f>
        <v>0.93781226393423545</v>
      </c>
      <c r="AB197" s="21">
        <f>EXP(-LN(2)/2)*AB196+(1-EXP(-LN(2)/2))/(LN(2)/2)*V197*Y197*VLOOKUP('Données projet'!$B$9,Paramètres!$A$1:$I$89,3,0)*0.475*44/12</f>
        <v>1.8420030682728745E-19</v>
      </c>
      <c r="AC197" s="22">
        <f t="shared" si="163"/>
        <v>12.527658791292948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0.33999999999963393</v>
      </c>
      <c r="O198" s="13">
        <f>N198*VLOOKUP('Données projet'!$B$9,Paramètres!$A$1:$I$89,3,0)*VLOOKUP('Données projet'!$B$9,Paramètres!$A$1:$I$89,5,0)</f>
        <v>0.20331999999978112</v>
      </c>
      <c r="P198" s="13">
        <f t="shared" si="203"/>
        <v>0.112787248546695</v>
      </c>
      <c r="Q198" s="20">
        <f t="shared" si="162"/>
        <v>0.55055345788511245</v>
      </c>
      <c r="R198" s="59">
        <f t="shared" si="191"/>
        <v>293.8838867912184</v>
      </c>
      <c r="S198" s="59">
        <f ca="1">AVERAGE(OFFSET($R$3,0,0,'Données projet'!$E$9+1,1))-AVERAGE(OFFSET($H$3,0,0,'Données projet'!$E$9+1,1))</f>
        <v>235.66314579622622</v>
      </c>
      <c r="T198" s="59">
        <f t="shared" si="204"/>
        <v>231.1613577327077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11.362576706065573</v>
      </c>
      <c r="AA198" s="21">
        <f>EXP(-LN(2)/25)*AA197+(1-EXP(-LN(2)/25))/(LN(2)/25)*Calculateur!V198*Calculateur!X198*VLOOKUP('Données projet'!$B$9,Paramètres!$A$1:$I$89,3,0)*0.475*44/12</f>
        <v>0.91216773825955022</v>
      </c>
      <c r="AB198" s="21">
        <f>EXP(-LN(2)/2)*AB197+(1-EXP(-LN(2)/2))/(LN(2)/2)*V198*Y198*VLOOKUP('Données projet'!$B$9,Paramètres!$A$1:$I$89,3,0)*0.475*44/12</f>
        <v>1.3024928605421766E-19</v>
      </c>
      <c r="AC198" s="22">
        <f t="shared" si="163"/>
        <v>12.274744444325123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0.33999999999963393</v>
      </c>
      <c r="O199" s="13">
        <f>N199*VLOOKUP('Données projet'!$B$9,Paramètres!$A$1:$I$89,3,0)*VLOOKUP('Données projet'!$B$9,Paramètres!$A$1:$I$89,5,0)</f>
        <v>0.20331999999978112</v>
      </c>
      <c r="P199" s="13">
        <f t="shared" si="203"/>
        <v>0.112787248546695</v>
      </c>
      <c r="Q199" s="20">
        <f t="shared" si="162"/>
        <v>0.55055345788511245</v>
      </c>
      <c r="R199" s="59">
        <f t="shared" si="191"/>
        <v>293.8838867912184</v>
      </c>
      <c r="S199" s="59">
        <f ca="1">AVERAGE(OFFSET($R$3,0,0,'Données projet'!$E$9+1,1))-AVERAGE(OFFSET($H$3,0,0,'Données projet'!$E$9+1,1))</f>
        <v>235.66314579622622</v>
      </c>
      <c r="T199" s="59">
        <f t="shared" si="204"/>
        <v>231.1613577327077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11.139763507347089</v>
      </c>
      <c r="AA199" s="21">
        <f>EXP(-LN(2)/25)*AA198+(1-EXP(-LN(2)/25))/(LN(2)/25)*Calculateur!V199*Calculateur!X199*VLOOKUP('Données projet'!$B$9,Paramètres!$A$1:$I$89,3,0)*0.475*44/12</f>
        <v>0.8872244634880263</v>
      </c>
      <c r="AB199" s="21">
        <f>EXP(-LN(2)/2)*AB198+(1-EXP(-LN(2)/2))/(LN(2)/2)*V199*Y199*VLOOKUP('Données projet'!$B$9,Paramètres!$A$1:$I$89,3,0)*0.475*44/12</f>
        <v>9.2100153413643726E-20</v>
      </c>
      <c r="AC199" s="22">
        <f t="shared" si="163"/>
        <v>12.026987970835116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0.33999999999963393</v>
      </c>
      <c r="O200" s="13">
        <f>N200*VLOOKUP('Données projet'!$B$9,Paramètres!$A$1:$I$89,3,0)*VLOOKUP('Données projet'!$B$9,Paramètres!$A$1:$I$89,5,0)</f>
        <v>0.20331999999978112</v>
      </c>
      <c r="P200" s="13">
        <f t="shared" si="203"/>
        <v>0.112787248546695</v>
      </c>
      <c r="Q200" s="20">
        <f t="shared" si="162"/>
        <v>0.55055345788511245</v>
      </c>
      <c r="R200" s="59">
        <f t="shared" si="191"/>
        <v>293.8838867912184</v>
      </c>
      <c r="S200" s="59">
        <f ca="1">AVERAGE(OFFSET($R$3,0,0,'Données projet'!$E$9+1,1))-AVERAGE(OFFSET($H$3,0,0,'Données projet'!$E$9+1,1))</f>
        <v>235.66314579622622</v>
      </c>
      <c r="T200" s="59">
        <f t="shared" si="204"/>
        <v>231.1613577327077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10.921319539552842</v>
      </c>
      <c r="AA200" s="21">
        <f>EXP(-LN(2)/25)*AA199+(1-EXP(-LN(2)/25))/(LN(2)/25)*Calculateur!V200*Calculateur!X200*VLOOKUP('Données projet'!$B$9,Paramètres!$A$1:$I$89,3,0)*0.475*44/12</f>
        <v>0.86296326387683941</v>
      </c>
      <c r="AB200" s="21">
        <f>EXP(-LN(2)/2)*AB199+(1-EXP(-LN(2)/2))/(LN(2)/2)*V200*Y200*VLOOKUP('Données projet'!$B$9,Paramètres!$A$1:$I$89,3,0)*0.475*44/12</f>
        <v>6.5124643027108831E-20</v>
      </c>
      <c r="AC200" s="22">
        <f t="shared" si="163"/>
        <v>11.784282803429681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0.33999999999963393</v>
      </c>
      <c r="O201" s="13">
        <f>N201*VLOOKUP('Données projet'!$B$9,Paramètres!$A$1:$I$89,3,0)*VLOOKUP('Données projet'!$B$9,Paramètres!$A$1:$I$89,5,0)</f>
        <v>0.20331999999978112</v>
      </c>
      <c r="P201" s="13">
        <f t="shared" si="203"/>
        <v>0.112787248546695</v>
      </c>
      <c r="Q201" s="20">
        <f t="shared" si="162"/>
        <v>0.55055345788511245</v>
      </c>
      <c r="R201" s="59">
        <f t="shared" si="191"/>
        <v>293.8838867912184</v>
      </c>
      <c r="S201" s="59">
        <f ca="1">AVERAGE(OFFSET($R$3,0,0,'Données projet'!$E$9+1,1))-AVERAGE(OFFSET($H$3,0,0,'Données projet'!$E$9+1,1))</f>
        <v>235.66314579622622</v>
      </c>
      <c r="T201" s="59">
        <f t="shared" si="204"/>
        <v>231.1613577327077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10.707159124729376</v>
      </c>
      <c r="AA201" s="21">
        <f>EXP(-LN(2)/25)*AA200+(1-EXP(-LN(2)/25))/(LN(2)/25)*Calculateur!V201*Calculateur!X201*VLOOKUP('Données projet'!$B$9,Paramètres!$A$1:$I$89,3,0)*0.475*44/12</f>
        <v>0.83936548804486155</v>
      </c>
      <c r="AB201" s="21">
        <f>EXP(-LN(2)/2)*AB200+(1-EXP(-LN(2)/2))/(LN(2)/2)*V201*Y201*VLOOKUP('Données projet'!$B$9,Paramètres!$A$1:$I$89,3,0)*0.475*44/12</f>
        <v>4.6050076706821863E-20</v>
      </c>
      <c r="AC201" s="22">
        <f t="shared" si="163"/>
        <v>11.546524612774238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0.33999999999963393</v>
      </c>
      <c r="O202" s="13">
        <f>N202*VLOOKUP('Données projet'!$B$9,Paramètres!$A$1:$I$89,3,0)*VLOOKUP('Données projet'!$B$9,Paramètres!$A$1:$I$89,5,0)</f>
        <v>0.20331999999978112</v>
      </c>
      <c r="P202" s="13">
        <f t="shared" si="203"/>
        <v>0.112787248546695</v>
      </c>
      <c r="Q202" s="20">
        <f t="shared" si="162"/>
        <v>0.55055345788511245</v>
      </c>
      <c r="R202" s="59">
        <f t="shared" si="191"/>
        <v>293.8838867912184</v>
      </c>
      <c r="S202" s="59">
        <f ca="1">AVERAGE(OFFSET($R$3,0,0,'Données projet'!$E$9+1,1))-AVERAGE(OFFSET($H$3,0,0,'Données projet'!$E$9+1,1))</f>
        <v>235.66314579622622</v>
      </c>
      <c r="T202" s="59">
        <f t="shared" si="204"/>
        <v>231.1613577327077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10.497198265015644</v>
      </c>
      <c r="AA202" s="21">
        <f>EXP(-LN(2)/25)*AA201+(1-EXP(-LN(2)/25))/(LN(2)/25)*Calculateur!V202*Calculateur!X202*VLOOKUP('Données projet'!$B$9,Paramètres!$A$1:$I$89,3,0)*0.475*44/12</f>
        <v>0.81641299463396222</v>
      </c>
      <c r="AB202" s="21">
        <f>EXP(-LN(2)/2)*AB201+(1-EXP(-LN(2)/2))/(LN(2)/2)*V202*Y202*VLOOKUP('Données projet'!$B$9,Paramètres!$A$1:$I$89,3,0)*0.475*44/12</f>
        <v>3.2562321513554415E-20</v>
      </c>
      <c r="AC202" s="22">
        <f t="shared" si="163"/>
        <v>11.313611259649607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0.33999999999963393</v>
      </c>
      <c r="O203" s="13">
        <f>N203*VLOOKUP('Données projet'!$B$9,Paramètres!$A$1:$I$89,3,0)*VLOOKUP('Données projet'!$B$9,Paramètres!$A$1:$I$89,5,0)</f>
        <v>0.20331999999978112</v>
      </c>
      <c r="P203" s="13">
        <f t="shared" si="203"/>
        <v>0.112787248546695</v>
      </c>
      <c r="Q203" s="20">
        <f t="shared" si="162"/>
        <v>0.55055345788511245</v>
      </c>
      <c r="R203" s="59">
        <f t="shared" si="191"/>
        <v>293.8838867912184</v>
      </c>
      <c r="S203" s="59">
        <f ca="1">AVERAGE(OFFSET($R$3,0,0,'Données projet'!$E$9+1,1))-AVERAGE(OFFSET($H$3,0,0,'Données projet'!$E$9+1,1))</f>
        <v>235.66314579622622</v>
      </c>
      <c r="T203" s="59">
        <f t="shared" si="204"/>
        <v>231.1613577327077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10.29135460969742</v>
      </c>
      <c r="AA203" s="21">
        <f>EXP(-LN(2)/25)*AA202+(1-EXP(-LN(2)/25))/(LN(2)/25)*Calculateur!V203*Calculateur!X203*VLOOKUP('Données projet'!$B$9,Paramètres!$A$1:$I$89,3,0)*0.475*44/12</f>
        <v>0.79408813836240311</v>
      </c>
      <c r="AB203" s="21">
        <f>EXP(-LN(2)/2)*AB202+(1-EXP(-LN(2)/2))/(LN(2)/2)*V203*Y203*VLOOKUP('Données projet'!$B$9,Paramètres!$A$1:$I$89,3,0)*0.475*44/12</f>
        <v>2.3025038353410932E-20</v>
      </c>
      <c r="AC203" s="22">
        <f t="shared" si="163"/>
        <v>11.085442748059823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1.3267648858502221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C2" zoomScale="90" zoomScaleNormal="90" workbookViewId="0">
      <selection activeCell="N23" sqref="N23"/>
    </sheetView>
  </sheetViews>
  <sheetFormatPr baseColWidth="10" defaultColWidth="11.42578125" defaultRowHeight="15" x14ac:dyDescent="0.25"/>
  <cols>
    <col min="1" max="1" width="22.85546875" style="1" bestFit="1" customWidth="1"/>
    <col min="2" max="2" width="10.42578125" style="1" bestFit="1" customWidth="1"/>
    <col min="3" max="3" width="15.42578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Pin maritime</v>
      </c>
      <c r="B6" s="146">
        <f>'Données projet'!D9</f>
        <v>2.5</v>
      </c>
      <c r="C6" s="147">
        <f ca="1">IF(OR('Données projet'!B9="",'Données projet'!C9="",'Données projet'!C9=0%),0,Calculateur!S3)</f>
        <v>235.66314579622622</v>
      </c>
      <c r="D6" s="147">
        <f>IF(OR('Données projet'!B9="",'Données projet'!C9="",'Données projet'!C9=0%),0,Calculateur!T3)</f>
        <v>231.1613577327077</v>
      </c>
      <c r="E6" s="147">
        <f ca="1">MIN(C6,D6)</f>
        <v>231.1613577327077</v>
      </c>
      <c r="F6" s="147">
        <f ca="1">E6*B6</f>
        <v>577.90339433176928</v>
      </c>
      <c r="G6" s="147">
        <f ca="1">F6*(100%-'Données projet'!$C$24)*(100%-'Données projet'!$C$25)*(100%-'Données projet'!$C$26)*(100%-'Données projet'!$C$27)</f>
        <v>353.67687733104282</v>
      </c>
      <c r="H6" s="148">
        <f>IF(OR('Données projet'!B9="",'Données projet'!C9="",'Données projet'!C9=0%),0,AVERAGE(Calculateur!$AC$3:$AC$33)*B6)</f>
        <v>26.852795398664561</v>
      </c>
      <c r="I6" s="149">
        <f>H6*(100%-'Données projet'!$C$24)*(100%-'Données projet'!$C$25)*(100%-'Données projet'!$C$26)*(100%-'Données projet'!$C$27)</f>
        <v>16.433910783982714</v>
      </c>
      <c r="J6" s="150">
        <f>IF(OR('Données projet'!B9="",'Données projet'!C9="",'Données projet'!C9=0%),0,SUM(Calculateur!$V$3:$V$33)*VLOOKUP('Données projet'!$B$9,Paramètres!$A$1:$I$89,9,0)*B6)</f>
        <v>226.25024999999997</v>
      </c>
      <c r="K6" s="151">
        <f>J6*(100%-'Données projet'!$C$24)*(100%-'Données projet'!$C$25)*(100%-'Données projet'!$C$26)*(100%-'Données projet'!$C$27)</f>
        <v>138.46515299999999</v>
      </c>
      <c r="L6" s="152">
        <f ca="1">G6+I6+K6</f>
        <v>508.5759411150255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8"/>
      <c r="B16" s="212"/>
      <c r="C16" s="213"/>
      <c r="D16" s="23"/>
      <c r="E16" s="23"/>
      <c r="F16" s="165">
        <f t="shared" ref="F16:L16" ca="1" si="3">SUM(F6:F15)</f>
        <v>577.90339433176928</v>
      </c>
      <c r="G16" s="166">
        <f t="shared" ca="1" si="3"/>
        <v>353.67687733104282</v>
      </c>
      <c r="H16" s="167">
        <f t="shared" si="3"/>
        <v>26.852795398664561</v>
      </c>
      <c r="I16" s="167">
        <f t="shared" si="3"/>
        <v>16.433910783982714</v>
      </c>
      <c r="J16" s="168">
        <f t="shared" si="3"/>
        <v>226.25024999999997</v>
      </c>
      <c r="K16" s="168">
        <f t="shared" si="3"/>
        <v>138.46515299999999</v>
      </c>
      <c r="L16" s="169">
        <f t="shared" ca="1" si="3"/>
        <v>508.5759411150255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56" zoomScaleNormal="80" workbookViewId="0">
      <selection activeCell="N18" sqref="N1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42578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7" t="s">
        <v>315</v>
      </c>
      <c r="I4" s="257"/>
      <c r="K4" s="299" t="s">
        <v>253</v>
      </c>
      <c r="L4" s="300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1" t="s">
        <v>310</v>
      </c>
      <c r="S7" s="292"/>
      <c r="T7" s="292"/>
      <c r="U7" s="292"/>
      <c r="V7" s="29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2.5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/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/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/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/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29"/>
      <c r="G15" s="302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302"/>
      <c r="H16" s="190"/>
      <c r="I16" s="191"/>
      <c r="J16" s="201"/>
      <c r="K16" s="207"/>
      <c r="L16" s="299" t="s">
        <v>254</v>
      </c>
      <c r="M16" s="300"/>
      <c r="N16" s="2"/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8" t="s">
        <v>132</v>
      </c>
      <c r="C17" s="197" t="s">
        <v>132</v>
      </c>
      <c r="D17" s="196" t="s">
        <v>132</v>
      </c>
      <c r="E17" s="193"/>
      <c r="F17" s="229"/>
      <c r="G17" s="302"/>
      <c r="J17" s="201"/>
      <c r="K17" s="207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8" t="s">
        <v>132</v>
      </c>
      <c r="C18" s="197"/>
      <c r="D18" s="196" t="s">
        <v>132</v>
      </c>
      <c r="E18" s="193"/>
      <c r="F18" s="229"/>
      <c r="G18" s="302"/>
      <c r="J18" s="201"/>
      <c r="K18" s="207"/>
      <c r="L18" s="259" t="s">
        <v>255</v>
      </c>
      <c r="M18" s="261"/>
      <c r="N18" s="192"/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8" t="s">
        <v>132</v>
      </c>
      <c r="C19" s="197"/>
      <c r="D19" s="196" t="s">
        <v>132</v>
      </c>
      <c r="E19" s="193"/>
      <c r="F19" s="229"/>
      <c r="G19" s="302"/>
      <c r="H19" s="211" t="s">
        <v>178</v>
      </c>
      <c r="I19" s="211" t="s">
        <v>287</v>
      </c>
      <c r="J19" s="93"/>
      <c r="K19" s="173"/>
      <c r="L19" s="299" t="s">
        <v>288</v>
      </c>
      <c r="M19" s="300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8" t="s">
        <v>132</v>
      </c>
      <c r="C20" s="197"/>
      <c r="D20" s="196" t="s">
        <v>132</v>
      </c>
      <c r="E20" s="193"/>
      <c r="F20" s="229"/>
      <c r="G20" s="302"/>
      <c r="H20" s="190">
        <v>0</v>
      </c>
      <c r="I20" s="191"/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8" t="s">
        <v>132</v>
      </c>
      <c r="C21" s="197"/>
      <c r="D21" s="196" t="s">
        <v>132</v>
      </c>
      <c r="E21" s="193"/>
      <c r="F21" s="229"/>
      <c r="H21" s="190">
        <v>1</v>
      </c>
      <c r="I21" s="191"/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8" t="s">
        <v>132</v>
      </c>
      <c r="C22" s="197"/>
      <c r="D22" s="196" t="s">
        <v>132</v>
      </c>
      <c r="E22" s="193"/>
      <c r="F22" s="229"/>
      <c r="H22" s="190">
        <v>2</v>
      </c>
      <c r="I22" s="191"/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17</v>
      </c>
      <c r="B23" s="181">
        <f>'Données projet'!D36</f>
        <v>41</v>
      </c>
      <c r="C23" s="193"/>
      <c r="D23" s="182">
        <f>B23*C23</f>
        <v>0</v>
      </c>
      <c r="E23" s="193"/>
      <c r="F23" s="229"/>
      <c r="H23" s="190">
        <v>3</v>
      </c>
      <c r="I23" s="191"/>
      <c r="K23" s="207"/>
      <c r="L23" s="301" t="s">
        <v>260</v>
      </c>
      <c r="M23" s="301"/>
      <c r="N23" s="301"/>
      <c r="O23" s="23"/>
      <c r="P23" s="23"/>
      <c r="Q23" s="233"/>
      <c r="R23" s="23"/>
      <c r="S23" s="36" t="s">
        <v>264</v>
      </c>
      <c r="T23" s="29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6"/>
      <c r="V23" s="29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23</v>
      </c>
      <c r="B24" s="181">
        <f>'Données projet'!D37</f>
        <v>57.75</v>
      </c>
      <c r="C24" s="193"/>
      <c r="D24" s="182">
        <f t="shared" ref="D24:D42" si="2">B24*C24</f>
        <v>0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29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7"/>
      <c r="V24" s="29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25</v>
      </c>
      <c r="B25" s="181">
        <f>'Données projet'!D38</f>
        <v>0</v>
      </c>
      <c r="C25" s="193"/>
      <c r="D25" s="182">
        <f t="shared" si="2"/>
        <v>0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298">
        <f ca="1">T23-T24</f>
        <v>0</v>
      </c>
      <c r="U25" s="298"/>
      <c r="V25" s="29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29</v>
      </c>
      <c r="B26" s="181">
        <f>'Données projet'!D39</f>
        <v>54.64</v>
      </c>
      <c r="C26" s="193"/>
      <c r="D26" s="182">
        <f t="shared" si="2"/>
        <v>0</v>
      </c>
      <c r="E26" s="193"/>
      <c r="F26" s="232"/>
      <c r="G26" s="228"/>
      <c r="H26" s="190"/>
      <c r="I26" s="191"/>
      <c r="K26" s="207"/>
      <c r="L26" s="285" t="s">
        <v>258</v>
      </c>
      <c r="M26" s="286"/>
      <c r="N26" s="286"/>
      <c r="O26" s="286"/>
      <c r="P26" s="287"/>
      <c r="Q26" s="233"/>
      <c r="R26" s="23"/>
      <c r="S26" s="186" t="s">
        <v>265</v>
      </c>
      <c r="T26" s="295" t="str">
        <f ca="1">IF(T25&lt;0,"Votre projet est additionnel","Votre projet n'est pas additionnel")</f>
        <v>Votre projet n'est pas additionnel</v>
      </c>
      <c r="U26" s="295"/>
      <c r="V26" s="29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34</v>
      </c>
      <c r="B27" s="181">
        <f>'Données projet'!D40</f>
        <v>0</v>
      </c>
      <c r="C27" s="193"/>
      <c r="D27" s="182">
        <f t="shared" si="2"/>
        <v>0</v>
      </c>
      <c r="E27" s="193"/>
      <c r="F27" s="232"/>
      <c r="G27" s="228"/>
      <c r="H27" s="190"/>
      <c r="I27" s="191"/>
      <c r="K27" s="207"/>
      <c r="L27" s="288"/>
      <c r="M27" s="289"/>
      <c r="N27" s="289"/>
      <c r="O27" s="289"/>
      <c r="P27" s="290"/>
      <c r="Q27" s="233"/>
      <c r="R27" s="23"/>
      <c r="S27" s="294" t="s">
        <v>267</v>
      </c>
      <c r="T27" s="294"/>
      <c r="U27" s="294"/>
      <c r="V27" s="29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36</v>
      </c>
      <c r="B28" s="181">
        <f>'Données projet'!D41</f>
        <v>76</v>
      </c>
      <c r="C28" s="193"/>
      <c r="D28" s="182">
        <f t="shared" si="2"/>
        <v>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43</v>
      </c>
      <c r="B29" s="181">
        <f>'Données projet'!D42</f>
        <v>0</v>
      </c>
      <c r="C29" s="193"/>
      <c r="D29" s="182">
        <f t="shared" si="2"/>
        <v>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44</v>
      </c>
      <c r="B30" s="181">
        <f>'Données projet'!D43</f>
        <v>78</v>
      </c>
      <c r="C30" s="193"/>
      <c r="D30" s="182">
        <f t="shared" si="2"/>
        <v>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52</v>
      </c>
      <c r="B31" s="181">
        <f>'Données projet'!D44</f>
        <v>75.37</v>
      </c>
      <c r="C31" s="193"/>
      <c r="D31" s="182">
        <f t="shared" si="2"/>
        <v>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60</v>
      </c>
      <c r="B32" s="181">
        <f>'Données projet'!D45</f>
        <v>436</v>
      </c>
      <c r="C32" s="193"/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>
        <f>30*'Données projet'!E47+19.4*('Données projet'!F47+'Données projet'!G47)+10*'Données projet'!G47</f>
        <v>0</v>
      </c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>
        <f>30*'Données projet'!E48+19.4*('Données projet'!F48+'Données projet'!G48)+10*'Données projet'!G48</f>
        <v>0</v>
      </c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>
        <f>30*'Données projet'!E49+19.4*('Données projet'!F49+'Données projet'!G49)+10*'Données projet'!G49</f>
        <v>0</v>
      </c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>
        <f>30*'Données projet'!E50+19.4*('Données projet'!F50+'Données projet'!G50)+10*'Données projet'!G50</f>
        <v>0</v>
      </c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>
        <f>30*'Données projet'!E51+19.4*('Données projet'!F51+'Données projet'!G51)+10*'Données projet'!G51</f>
        <v>0</v>
      </c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>
        <f>30*'Données projet'!E52+19.4*('Données projet'!F52+'Données projet'!G52)+10*'Données projet'!G52</f>
        <v>0</v>
      </c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>
        <f>30*'Données projet'!E53+19.4*('Données projet'!F53+'Données projet'!G53)+10*'Données projet'!G53</f>
        <v>0</v>
      </c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>
        <f>30*'Données projet'!E54+19.4*('Données projet'!F54+'Données projet'!G54)+10*'Données projet'!G54</f>
        <v>0</v>
      </c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>
        <f>30*'Données projet'!E55+19.4*('Données projet'!F55+'Données projet'!G55)+10*'Données projet'!G55</f>
        <v>0</v>
      </c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8" t="s">
        <v>132</v>
      </c>
      <c r="C48" s="197" t="s">
        <v>132</v>
      </c>
      <c r="D48" s="196" t="s">
        <v>132</v>
      </c>
      <c r="E48" s="193"/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0</v>
      </c>
      <c r="B54" s="181">
        <f>'Données projet'!D62</f>
        <v>0</v>
      </c>
      <c r="C54" s="191">
        <f>17.5*'Données projet'!E62+13.8*('Données projet'!F62+'Données projet'!G62)+10*'Données projet'!H62</f>
        <v>0</v>
      </c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0</v>
      </c>
      <c r="B55" s="181">
        <f>'Données projet'!D63</f>
        <v>0</v>
      </c>
      <c r="C55" s="191">
        <f>17.5*'Données projet'!E63+13.8*('Données projet'!F63+'Données projet'!G63)+10*'Données projet'!H63</f>
        <v>0</v>
      </c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0</v>
      </c>
      <c r="B56" s="181">
        <f>'Données projet'!D64</f>
        <v>0</v>
      </c>
      <c r="C56" s="191">
        <f>17.5*'Données projet'!E64+13.8*('Données projet'!F64+'Données projet'!G64)+10*'Données projet'!H64</f>
        <v>0</v>
      </c>
      <c r="D56" s="179">
        <f t="shared" si="4"/>
        <v>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0</v>
      </c>
      <c r="B57" s="181">
        <f>'Données projet'!D65</f>
        <v>0</v>
      </c>
      <c r="C57" s="191">
        <f>17.5*'Données projet'!E65+13.8*('Données projet'!F65+'Données projet'!G65)+10*'Données projet'!H65</f>
        <v>0</v>
      </c>
      <c r="D57" s="179">
        <f t="shared" si="4"/>
        <v>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0</v>
      </c>
      <c r="B58" s="181">
        <f>'Données projet'!D66</f>
        <v>0</v>
      </c>
      <c r="C58" s="191">
        <f>17.5*'Données projet'!E66+13.8*('Données projet'!F66+'Données projet'!G66)+10*'Données projet'!H66</f>
        <v>0</v>
      </c>
      <c r="D58" s="179">
        <f t="shared" si="4"/>
        <v>0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0</v>
      </c>
      <c r="B59" s="181">
        <f>'Données projet'!D67</f>
        <v>0</v>
      </c>
      <c r="C59" s="191">
        <f>17.5*'Données projet'!E67+13.8*('Données projet'!F67+'Données projet'!G67)+10*'Données projet'!H67</f>
        <v>0</v>
      </c>
      <c r="D59" s="179">
        <f t="shared" si="4"/>
        <v>0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0</v>
      </c>
      <c r="B60" s="181">
        <f>'Données projet'!D68</f>
        <v>0</v>
      </c>
      <c r="C60" s="191">
        <f>17.5*'Données projet'!E68+13.8*('Données projet'!F68+'Données projet'!G68)+10*'Données projet'!H68</f>
        <v>0</v>
      </c>
      <c r="D60" s="179">
        <f t="shared" si="4"/>
        <v>0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>
        <f>17.5*'Données projet'!E69+13.8*('Données projet'!F69+'Données projet'!G69)+10*'Données projet'!H69</f>
        <v>0</v>
      </c>
      <c r="D61" s="179">
        <f t="shared" si="4"/>
        <v>0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>
        <f>17.5*'Données projet'!E70+13.8*('Données projet'!F70+'Données projet'!G70)+10*'Données projet'!H70</f>
        <v>0</v>
      </c>
      <c r="D62" s="179">
        <f t="shared" si="4"/>
        <v>0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>
        <f>17.5*'Données projet'!E71+13.8*('Données projet'!F71+'Données projet'!G71)+10*'Données projet'!H71</f>
        <v>0</v>
      </c>
      <c r="D63" s="179">
        <f t="shared" si="4"/>
        <v>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>
        <f>17.5*'Données projet'!E72+13.8*('Données projet'!F72+'Données projet'!G72)+10*'Données projet'!H72</f>
        <v>0</v>
      </c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>
        <f>17.5*'Données projet'!E73+13.8*('Données projet'!F73+'Données projet'!G73)+10*'Données projet'!H73</f>
        <v>0</v>
      </c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>
        <f>17.5*'Données projet'!E74+13.8*('Données projet'!F74+'Données projet'!G74)+10*'Données projet'!H74</f>
        <v>0</v>
      </c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>
        <f>17.5*'Données projet'!E75+13.8*('Données projet'!F75+'Données projet'!G75)+10*'Données projet'!H75</f>
        <v>0</v>
      </c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>
        <f>17.5*'Données projet'!E76+13.8*('Données projet'!F76+'Données projet'!G76)+10*'Données projet'!H76</f>
        <v>0</v>
      </c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>
        <f>17.5*'Données projet'!E77+13.8*('Données projet'!F77+'Données projet'!G77)+10*'Données projet'!H77</f>
        <v>0</v>
      </c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>
        <f>17.5*'Données projet'!E78+13.8*('Données projet'!F78+'Données projet'!G78)+10*'Données projet'!H78</f>
        <v>0</v>
      </c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>
        <f>17.5*'Données projet'!E79+13.8*('Données projet'!F79+'Données projet'!G79)+10*'Données projet'!H79</f>
        <v>0</v>
      </c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>
        <f>17.5*'Données projet'!E80+13.8*('Données projet'!F80+'Données projet'!G80)+10*'Données projet'!H80</f>
        <v>0</v>
      </c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>
        <f>17.5*'Données projet'!E81+13.8*('Données projet'!F81+'Données projet'!G81)+10*'Données projet'!H81</f>
        <v>0</v>
      </c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8" t="s">
        <v>132</v>
      </c>
      <c r="C79" s="197" t="s">
        <v>132</v>
      </c>
      <c r="D79" s="196" t="s">
        <v>132</v>
      </c>
      <c r="E79" s="193"/>
      <c r="F79" s="230"/>
      <c r="G79" s="205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0</v>
      </c>
      <c r="B85" s="181">
        <f>'Données projet'!D88</f>
        <v>0</v>
      </c>
      <c r="C85" s="191">
        <f>42*'Données projet'!E88+19.4*('Données projet'!F88+'Données projet'!G88)+10*'Données projet'!H88</f>
        <v>0</v>
      </c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0</v>
      </c>
      <c r="B86" s="181">
        <f>'Données projet'!D89</f>
        <v>0</v>
      </c>
      <c r="C86" s="191">
        <f>42*'Données projet'!E89+19.4*('Données projet'!F89+'Données projet'!G89)+10*'Données projet'!H89</f>
        <v>0</v>
      </c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0</v>
      </c>
      <c r="B87" s="181">
        <f>'Données projet'!D90</f>
        <v>0</v>
      </c>
      <c r="C87" s="191">
        <f>42*'Données projet'!E90+19.4*('Données projet'!F90+'Données projet'!G90)+10*'Données projet'!H90</f>
        <v>0</v>
      </c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0</v>
      </c>
      <c r="B88" s="181">
        <f>'Données projet'!D91</f>
        <v>0</v>
      </c>
      <c r="C88" s="191">
        <f>42*'Données projet'!E91+19.4*('Données projet'!F91+'Données projet'!G91)+10*'Données projet'!H91</f>
        <v>0</v>
      </c>
      <c r="D88" s="179">
        <f t="shared" si="6"/>
        <v>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>
        <f>42*'Données projet'!E92+19.4*('Données projet'!F92+'Données projet'!G92)+10*'Données projet'!H92</f>
        <v>0</v>
      </c>
      <c r="D89" s="179">
        <f t="shared" si="6"/>
        <v>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>
        <f>42*'Données projet'!E93+19.4*('Données projet'!F93+'Données projet'!G93)+10*'Données projet'!H93</f>
        <v>0</v>
      </c>
      <c r="D90" s="179">
        <f t="shared" si="6"/>
        <v>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>
        <f>42*'Données projet'!E94+19.4*('Données projet'!F94+'Données projet'!G94)+10*'Données projet'!H94</f>
        <v>0</v>
      </c>
      <c r="D91" s="179">
        <f t="shared" si="6"/>
        <v>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>
        <f>42*'Données projet'!E95+19.4*('Données projet'!F95+'Données projet'!G95)+10*'Données projet'!H95</f>
        <v>0</v>
      </c>
      <c r="D92" s="179">
        <f t="shared" si="6"/>
        <v>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>
        <f>42*'Données projet'!E96+19.4*('Données projet'!F96+'Données projet'!G96)+10*'Données projet'!H96</f>
        <v>0</v>
      </c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>
        <f>42*'Données projet'!E97+19.4*('Données projet'!F97+'Données projet'!G97)+10*'Données projet'!H97</f>
        <v>0</v>
      </c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>
        <f>42*'Données projet'!E98+19.4*('Données projet'!F98+'Données projet'!G98)+10*'Données projet'!H98</f>
        <v>0</v>
      </c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>
        <f>42*'Données projet'!E99+19.4*('Données projet'!F99+'Données projet'!G99)+10*'Données projet'!H99</f>
        <v>0</v>
      </c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>
        <f>42*'Données projet'!E100+19.4*('Données projet'!F100+'Données projet'!G100)+10*'Données projet'!H100</f>
        <v>0</v>
      </c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>
        <f>42*'Données projet'!E101+19.4*('Données projet'!F101+'Données projet'!G101)+10*'Données projet'!H101</f>
        <v>0</v>
      </c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>
        <f>42*'Données projet'!E102+19.4*('Données projet'!F102+'Données projet'!G102)+10*'Données projet'!H102</f>
        <v>0</v>
      </c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>
        <f>42*'Données projet'!E103+19.4*('Données projet'!F103+'Données projet'!G103)+10*'Données projet'!H103</f>
        <v>0</v>
      </c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>
        <f>42*'Données projet'!E104+19.4*('Données projet'!F104+'Données projet'!G104)+10*'Données projet'!H104</f>
        <v>0</v>
      </c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>
        <f>42*'Données projet'!E105+19.4*('Données projet'!F105+'Données projet'!G105)+10*'Données projet'!H105</f>
        <v>0</v>
      </c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>
        <f>42*'Données projet'!E106+19.4*('Données projet'!F106+'Données projet'!G106)+10*'Données projet'!H106</f>
        <v>0</v>
      </c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>
        <f>42*'Données projet'!E107+19.4*('Données projet'!F107+'Données projet'!G107)+10*'Données projet'!H107</f>
        <v>0</v>
      </c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30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8" t="s">
        <v>132</v>
      </c>
      <c r="C110" s="197" t="s">
        <v>132</v>
      </c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>
        <f>42*'Données projet'!E114+19.5*('Données projet'!F114+'Données projet'!G114)+10*'Données projet'!H114</f>
        <v>0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>
        <f>42*'Données projet'!E115+19.5*('Données projet'!F115+'Données projet'!G115)+10*'Données projet'!H115</f>
        <v>0</v>
      </c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>
        <f>42*'Données projet'!E116+19.5*('Données projet'!F116+'Données projet'!G116)+10*'Données projet'!H116</f>
        <v>0</v>
      </c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>
        <f>42*'Données projet'!E117+19.5*('Données projet'!F117+'Données projet'!G117)+10*'Données projet'!H117</f>
        <v>0</v>
      </c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>
        <f>42*'Données projet'!E118+19.5*('Données projet'!F118+'Données projet'!G118)+10*'Données projet'!H118</f>
        <v>0</v>
      </c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>
        <f>42*'Données projet'!E119+19.5*('Données projet'!F119+'Données projet'!G119)+10*'Données projet'!H119</f>
        <v>0</v>
      </c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>
        <f>42*'Données projet'!E120+19.5*('Données projet'!F120+'Données projet'!G120)+10*'Données projet'!H120</f>
        <v>0</v>
      </c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>
        <f>42*'Données projet'!E121+19.5*('Données projet'!F121+'Données projet'!G121)+10*'Données projet'!H121</f>
        <v>0</v>
      </c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>
        <f>42*'Données projet'!E122+19.5*('Données projet'!F122+'Données projet'!G122)+10*'Données projet'!H122</f>
        <v>0</v>
      </c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>
        <f>42*'Données projet'!E123+19.5*('Données projet'!F123+'Données projet'!G123)+10*'Données projet'!H123</f>
        <v>0</v>
      </c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>
        <f>42*'Données projet'!E124+19.5*('Données projet'!F124+'Données projet'!G124)+10*'Données projet'!H124</f>
        <v>0</v>
      </c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>
        <f>42*'Données projet'!E125+19.5*('Données projet'!F125+'Données projet'!G125)+10*'Données projet'!H125</f>
        <v>0</v>
      </c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>
        <f>42*'Données projet'!E126+19.5*('Données projet'!F126+'Données projet'!G126)+10*'Données projet'!H126</f>
        <v>0</v>
      </c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>
        <f>42*'Données projet'!E127+19.5*('Données projet'!F127+'Données projet'!G127)+10*'Données projet'!H127</f>
        <v>0</v>
      </c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>
        <f>42*'Données projet'!E128+19.5*('Données projet'!F128+'Données projet'!G128)+10*'Données projet'!H128</f>
        <v>0</v>
      </c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>
        <f>42*'Données projet'!E129+19.5*('Données projet'!F129+'Données projet'!G129)+10*'Données projet'!H129</f>
        <v>0</v>
      </c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>
        <f>42*'Données projet'!E130+19.5*('Données projet'!F130+'Données projet'!G130)+10*'Données projet'!H130</f>
        <v>0</v>
      </c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>
        <f>42*'Données projet'!E131+19.5*('Données projet'!F131+'Données projet'!G131)+10*'Données projet'!H131</f>
        <v>0</v>
      </c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>
        <f>42*'Données projet'!E132+19.5*('Données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>
        <f>42*'Données projet'!E133+19.5*('Données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8" t="s">
        <v>132</v>
      </c>
      <c r="C141" s="197" t="s">
        <v>132</v>
      </c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>
        <f>150*'Données projet'!E140+13.8*('Données projet'!F140+'Données projet'!G140)+10*'Données projet'!H140</f>
        <v>0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>
        <f>150*'Données projet'!E141+13.8*('Données projet'!F141+'Données projet'!G141)+10*'Données projet'!H141</f>
        <v>0</v>
      </c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>
        <f>150*'Données projet'!E142+13.8*('Données projet'!F142+'Données projet'!G142)+10*'Données projet'!H142</f>
        <v>0</v>
      </c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>
        <f>150*'Données projet'!E143+13.8*('Données projet'!F143+'Données projet'!G143)+10*'Données projet'!H143</f>
        <v>0</v>
      </c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>
        <f>150*'Données projet'!E144+13.8*('Données projet'!F144+'Données projet'!G144)+10*'Données projet'!H144</f>
        <v>0</v>
      </c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>
        <f>150*'Données projet'!E145+13.8*('Données projet'!F145+'Données projet'!G145)+10*'Données projet'!H145</f>
        <v>0</v>
      </c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>
        <f>150*'Données projet'!E146+13.8*('Données projet'!F146+'Données projet'!G146)+10*'Données projet'!H146</f>
        <v>0</v>
      </c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>
        <f>150*'Données projet'!E147+13.8*('Données projet'!F147+'Données projet'!G147)+10*'Données projet'!H147</f>
        <v>0</v>
      </c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>
        <f>150*'Données projet'!E148+13.8*('Données projet'!F148+'Données projet'!G148)+10*'Données projet'!H148</f>
        <v>0</v>
      </c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>
        <f>150*'Données projet'!E149+13.8*('Données projet'!F149+'Données projet'!G149)+10*'Données projet'!H149</f>
        <v>0</v>
      </c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>
        <f>150*'Données projet'!E150+13.8*('Données projet'!F150+'Données projet'!G150)+10*'Données projet'!H150</f>
        <v>0</v>
      </c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>
        <f>150*'Données projet'!E151+13.8*('Données projet'!F151+'Données projet'!G151)+10*'Données projet'!H151</f>
        <v>0</v>
      </c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>
        <f>150*'Données projet'!E152+13.8*('Données projet'!F152+'Données projet'!G152)+10*'Données projet'!H152</f>
        <v>0</v>
      </c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>
        <f>150*'Données projet'!E153+13.8*('Données projet'!F153+'Données projet'!G153)+10*'Données projet'!H153</f>
        <v>0</v>
      </c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>
        <f>150*'Données projet'!E154+13.8*('Données projet'!F154+'Données projet'!G154)+10*'Données projet'!H154</f>
        <v>0</v>
      </c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>
        <f>150*'Données projet'!E155+13.8*('Données projet'!F155+'Données projet'!G155)+10*'Données projet'!H155</f>
        <v>0</v>
      </c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>
        <f>150*'Données projet'!E156+13.8*('Données projet'!F156+'Données projet'!G156)+10*'Données projet'!H156</f>
        <v>0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>
        <f>150*'Données projet'!E157+13.8*('Données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>
        <f>150*'Données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>
        <f>150*'Données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30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8" t="s">
        <v>132</v>
      </c>
      <c r="C172" s="197" t="s">
        <v>132</v>
      </c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>
        <f>300*'Données projet'!E166+13.8*('Données projet'!F166+'Données projet'!G168)+10*'Données projet'!H166</f>
        <v>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>
        <f>300*'Données projet'!E167+13.8*('Données projet'!F167+'Données projet'!G169)+10*'Données projet'!H167</f>
        <v>0</v>
      </c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>
        <f>300*'Données projet'!E168+13.8*('Données projet'!F168+'Données projet'!G170)+10*'Données projet'!H168</f>
        <v>0</v>
      </c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>
        <f>300*'Données projet'!E169+13.8*('Données projet'!F169+'Données projet'!G171)+10*'Données projet'!H169</f>
        <v>0</v>
      </c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>
        <f>300*'Données projet'!E170+13.8*('Données projet'!F170+'Données projet'!G172)+10*'Données projet'!H170</f>
        <v>0</v>
      </c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>
        <f>300*'Données projet'!E171+13.8*('Données projet'!F171+'Données projet'!G173)+10*'Données projet'!H171</f>
        <v>0</v>
      </c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>
        <f>300*'Données projet'!E172+13.8*('Données projet'!F172+'Données projet'!G174)+10*'Données projet'!H172</f>
        <v>0</v>
      </c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>
        <f>300*'Données projet'!E173+13.8*('Données projet'!F173+'Données projet'!G175)+10*'Données projet'!H173</f>
        <v>0</v>
      </c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>
        <f>300*'Données projet'!E174+13.8*('Données projet'!F174+'Données projet'!G176)+10*'Données projet'!H174</f>
        <v>0</v>
      </c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>
        <f>300*'Données projet'!E175+13.8*('Données projet'!F175+'Données projet'!G177)+10*'Données projet'!H175</f>
        <v>0</v>
      </c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>
        <f>300*'Données projet'!E176+13.8*('Données projet'!F176+'Données projet'!G178)+10*'Données projet'!H176</f>
        <v>0</v>
      </c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>
        <f>300*'Données projet'!E177+13.8*('Données projet'!F177+'Données projet'!G179)+10*'Données projet'!H177</f>
        <v>0</v>
      </c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>
        <f>300*'Données projet'!E178+13.8*('Données projet'!F178+'Données projet'!G180)+10*'Données projet'!H178</f>
        <v>0</v>
      </c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>
        <f>300*'Données projet'!E179+13.8*('Données projet'!F179+'Données projet'!G181)+10*'Données projet'!H179</f>
        <v>0</v>
      </c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>
        <f>300*'Données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>
        <f>300*'Données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>
        <f>300*'Données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>
        <f>300*'Données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30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8" t="s">
        <v>132</v>
      </c>
      <c r="C203" s="197" t="s">
        <v>132</v>
      </c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>
        <f>150*'Données projet'!E192+13.8*('Données projet'!F192+'Données projet'!G192)+10*'Données projet'!H192</f>
        <v>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>
        <f>150*'Données projet'!E193+13.8*('Données projet'!F193+'Données projet'!G193)+10*'Données projet'!H193</f>
        <v>0</v>
      </c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>
        <f>150*'Données projet'!E194+13.8*('Données projet'!F194+'Données projet'!G194)+10*'Données projet'!H194</f>
        <v>0</v>
      </c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>
        <f>150*'Données projet'!E195+13.8*('Données projet'!F195+'Données projet'!G195)+10*'Données projet'!H195</f>
        <v>0</v>
      </c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>
        <f>150*'Données projet'!E196+13.8*('Données projet'!F196+'Données projet'!G196)+10*'Données projet'!H196</f>
        <v>0</v>
      </c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>
        <f>150*'Données projet'!E197+13.8*('Données projet'!F197+'Données projet'!G197)+10*'Données projet'!H197</f>
        <v>0</v>
      </c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>
        <f>150*'Données projet'!E198+13.8*('Données projet'!F198+'Données projet'!G198)+10*'Données projet'!H198</f>
        <v>0</v>
      </c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>
        <f>150*'Données projet'!E199+13.8*('Données projet'!F199+'Données projet'!G199)+10*'Données projet'!H199</f>
        <v>0</v>
      </c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>
        <f>150*'Données projet'!E200+13.8*('Données projet'!F200+'Données projet'!G200)+10*'Données projet'!H200</f>
        <v>0</v>
      </c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>
        <f>150*'Données projet'!E201+13.8*('Données projet'!F201+'Données projet'!G201)+10*'Données projet'!H201</f>
        <v>0</v>
      </c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>
        <f>150*'Données projet'!E202+13.8*('Données projet'!F202+'Données projet'!G202)+10*'Données projet'!H202</f>
        <v>0</v>
      </c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>
        <f>150*'Données projet'!E203+13.8*('Données projet'!F203+'Données projet'!G203)+10*'Données projet'!H203</f>
        <v>0</v>
      </c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>
        <f>150*'Données projet'!E204+13.8*('Données projet'!F204+'Données projet'!G204)+10*'Données projet'!H204</f>
        <v>0</v>
      </c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>
        <f>150*'Données projet'!E205+13.8*('Données projet'!F205+'Données projet'!G205)+10*'Données projet'!H205</f>
        <v>0</v>
      </c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>
        <f>150*'Données projet'!E206+13.8*('Données projet'!F206+'Données projet'!G206)+10*'Données projet'!H206</f>
        <v>0</v>
      </c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>
        <f>150*'Données projet'!E207+13.8*('Données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>
        <f>150*'Données projet'!E208+13.8*('Données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>
        <f>150*'Données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>
        <f>150*'Données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>
        <f>150*'Données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8" t="s">
        <v>132</v>
      </c>
      <c r="C234" s="197" t="s">
        <v>132</v>
      </c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>
        <f>60*'Données projet'!E218+13.8*('Données projet'!F218+'Données projet'!G218)+10*'Données projet'!H218</f>
        <v>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>
        <f>60*'Données projet'!E219+13.8*('Données projet'!F219+'Données projet'!G219)+10*'Données projet'!H219</f>
        <v>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>
        <f>60*'Données projet'!E220+13.8*('Données projet'!F220+'Données projet'!G220)+10*'Données projet'!H220</f>
        <v>0</v>
      </c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>
        <f>60*'Données projet'!E221+13.8*('Données projet'!F221+'Données projet'!G221)+10*'Données projet'!H221</f>
        <v>0</v>
      </c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>
        <f>60*'Données projet'!E222+13.8*('Données projet'!F222+'Données projet'!G222)+10*'Données projet'!H222</f>
        <v>0</v>
      </c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>
        <f>60*'Données projet'!E223+13.8*('Données projet'!F223+'Données projet'!G223)+10*'Données projet'!H223</f>
        <v>0</v>
      </c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>
        <f>60*'Données projet'!E224+13.8*('Données projet'!F224+'Données projet'!G224)+10*'Données projet'!H224</f>
        <v>0</v>
      </c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>
        <f>60*'Données projet'!E225+13.8*('Données projet'!F225+'Données projet'!G225)+10*'Données projet'!H225</f>
        <v>0</v>
      </c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>
        <f>60*'Données projet'!E226+13.8*('Données projet'!F226+'Données projet'!G226)+10*'Données projet'!H226</f>
        <v>0</v>
      </c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>
        <f>60*'Données projet'!E227+13.8*('Données projet'!F227+'Données projet'!G227)+10*'Données projet'!H227</f>
        <v>0</v>
      </c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>
        <f>60*'Données projet'!E228+13.8*('Données projet'!F228+'Données projet'!G228)+10*'Données projet'!H228</f>
        <v>0</v>
      </c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>
        <f>60*'Données projet'!E229+13.8*('Données projet'!F229+'Données projet'!G229)+10*'Données projet'!H229</f>
        <v>0</v>
      </c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>
        <f>60*'Données projet'!E230+13.8*('Données projet'!F230+'Données projet'!G230)+10*'Données projet'!H230</f>
        <v>0</v>
      </c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>
        <f>60*'Données projet'!E231+13.8*('Données projet'!F231+'Données projet'!G231)+10*'Données projet'!H231</f>
        <v>0</v>
      </c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>
        <f>60*'Données projet'!E232+13.8*('Données projet'!F232+'Données projet'!G232)+10*'Données projet'!H232</f>
        <v>0</v>
      </c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>
        <f>60*'Données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>
        <f>60*'Données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>
        <f>60*'Données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>
        <f>60*'Données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>
        <f>60*'Données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>
        <f>60*'Données projet'!E245+13.8*('Données projet'!F245+'Données projet'!G245)+10*'Données projet'!H245</f>
        <v>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>
        <f>60*'Données projet'!E246+13.8*('Données projet'!F246+'Données projet'!G246)+10*'Données projet'!H246</f>
        <v>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>
        <f>60*'Données projet'!E247+13.8*('Données projet'!F247+'Données projet'!G247)+10*'Données projet'!H247</f>
        <v>0</v>
      </c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>
        <f>60*'Données projet'!E248+13.8*('Données projet'!F248+'Données projet'!G248)+10*'Données projet'!H248</f>
        <v>0</v>
      </c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>
        <f>60*'Données projet'!E249+13.8*('Données projet'!F249+'Données projet'!G249)+10*'Données projet'!H249</f>
        <v>0</v>
      </c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>
        <f>60*'Données projet'!E250+13.8*('Données projet'!F250+'Données projet'!G250)+10*'Données projet'!H250</f>
        <v>0</v>
      </c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>
        <f>60*'Données projet'!E251+13.8*('Données projet'!F251+'Données projet'!G251)+10*'Données projet'!H251</f>
        <v>0</v>
      </c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>
        <f>60*'Données projet'!E252+13.8*('Données projet'!F252+'Données projet'!G252)+10*'Données projet'!H252</f>
        <v>0</v>
      </c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>
        <f>60*'Données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>
        <f>60*'Données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>
        <f>60*'Données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>
        <f>60*'Données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>
        <f>60*'Données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>
        <f>60*'Données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>
        <f>60*'Données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>
        <f>60*'Données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>
        <f>60*'Données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Lou StockCo2</cp:lastModifiedBy>
  <dcterms:created xsi:type="dcterms:W3CDTF">2021-02-01T08:22:39Z</dcterms:created>
  <dcterms:modified xsi:type="dcterms:W3CDTF">2024-06-07T08:27:08Z</dcterms:modified>
</cp:coreProperties>
</file>