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10_Val de Seine-Normandie\LBC Jard (52)\"/>
    </mc:Choice>
  </mc:AlternateContent>
  <xr:revisionPtr revIDLastSave="0" documentId="13_ncr:1_{B70DC2B4-2906-4F28-9994-23E751A30995}" xr6:coauthVersionLast="47" xr6:coauthVersionMax="47" xr10:uidLastSave="{00000000-0000-0000-0000-000000000000}"/>
  <bookViews>
    <workbookView xWindow="30168" yWindow="192" windowWidth="27228" windowHeight="14664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H154" i="2"/>
  <c r="EB154" i="2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AC154" i="2"/>
  <c r="EA155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DH156" i="2"/>
  <c r="EX156" i="2"/>
  <c r="ED155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X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FS160" i="2"/>
  <c r="HG160" i="2"/>
  <c r="EY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HH163" i="2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S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C167" i="2"/>
  <c r="EX167" i="2"/>
  <c r="EY166" i="2"/>
  <c r="FR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W168" i="2"/>
  <c r="EB168" i="2"/>
  <c r="DG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D171" i="2"/>
  <c r="EY171" i="2"/>
  <c r="EA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HJ172" i="2"/>
  <c r="HH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HI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 l="1"/>
  <c r="EB179" i="2"/>
  <c r="EA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D184" i="2"/>
  <c r="EA185" i="2"/>
  <c r="EW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A186" i="2"/>
  <c r="ED185" i="2"/>
  <c r="HH186" i="2"/>
  <c r="HG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Y188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HG190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EY191" i="2"/>
  <c r="EW192" i="2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A194" i="2"/>
  <c r="ED193" i="2"/>
  <c r="EB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D194" i="2"/>
  <c r="EB195" i="2"/>
  <c r="HG195" i="2"/>
  <c r="EY194" i="2"/>
  <c r="EX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Y196" i="2"/>
  <c r="EA197" i="2"/>
  <c r="HG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FS199" i="2"/>
  <c r="EY198" i="2"/>
  <c r="EB199" i="2"/>
  <c r="EA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DI200" i="2"/>
  <c r="ED200" i="2"/>
  <c r="HH201" i="2"/>
  <c r="EA201" i="2"/>
  <c r="FS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ED201" i="2"/>
  <c r="FS202" i="2"/>
  <c r="EY201" i="2"/>
  <c r="EW202" i="2"/>
  <c r="EX202" i="2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S203" i="2" l="1"/>
  <c r="HG203" i="2"/>
  <c r="FR203" i="2"/>
  <c r="BC47" i="2" a="1"/>
  <c r="BC47" i="2" s="1"/>
  <c r="BC68" i="2" a="1"/>
  <c r="BC68" i="2" s="1"/>
  <c r="AH92" i="2" a="1"/>
  <c r="AH9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02" i="2" l="1"/>
  <c r="GZ29" i="2"/>
  <c r="GZ184" i="2"/>
  <c r="GZ81" i="2"/>
  <c r="GZ109" i="2"/>
  <c r="GZ12" i="2"/>
  <c r="GZ48" i="2"/>
  <c r="GZ104" i="2"/>
  <c r="GZ38" i="2"/>
  <c r="GZ140" i="2"/>
  <c r="GZ24" i="2"/>
  <c r="GZ32" i="2"/>
  <c r="GZ166" i="2"/>
  <c r="GZ98" i="2"/>
  <c r="GZ89" i="2"/>
  <c r="GZ195" i="2"/>
  <c r="GZ58" i="2"/>
  <c r="GZ163" i="2"/>
  <c r="GZ106" i="2"/>
  <c r="GZ193" i="2"/>
  <c r="GZ51" i="2"/>
  <c r="GZ170" i="2"/>
  <c r="GZ23" i="2"/>
  <c r="GZ8" i="2"/>
  <c r="GZ42" i="2"/>
  <c r="GZ91" i="2"/>
  <c r="GZ115" i="2"/>
  <c r="GZ13" i="2"/>
  <c r="GZ41" i="2"/>
  <c r="GZ74" i="2"/>
  <c r="GZ113" i="2"/>
  <c r="GZ190" i="2"/>
  <c r="GZ197" i="2"/>
  <c r="GZ76" i="2"/>
  <c r="GZ203" i="2"/>
  <c r="GZ6" i="2"/>
  <c r="GZ61" i="2"/>
  <c r="GZ108" i="2"/>
  <c r="GZ164" i="2"/>
  <c r="GZ117" i="2"/>
  <c r="GZ120" i="2"/>
  <c r="GZ142" i="2"/>
  <c r="GZ92" i="2"/>
  <c r="GZ60" i="2"/>
  <c r="GZ198" i="2"/>
  <c r="GZ54" i="2"/>
  <c r="GZ30" i="2"/>
  <c r="GZ62" i="2"/>
  <c r="GZ135" i="2"/>
  <c r="GZ101" i="2"/>
  <c r="GZ133" i="2"/>
  <c r="GZ159" i="2"/>
  <c r="GZ17" i="2"/>
  <c r="GZ196" i="2"/>
  <c r="GZ96" i="2"/>
  <c r="GZ85" i="2"/>
  <c r="GZ68" i="2"/>
  <c r="GZ187" i="2"/>
  <c r="GZ46" i="2"/>
  <c r="GZ28" i="2"/>
  <c r="GZ77" i="2"/>
  <c r="GZ63" i="2"/>
  <c r="GZ192" i="2"/>
  <c r="GZ10" i="2"/>
  <c r="GZ103" i="2"/>
  <c r="GZ39" i="2"/>
  <c r="GZ173" i="2"/>
  <c r="GZ27" i="2"/>
  <c r="GZ179" i="2"/>
  <c r="GZ172" i="2"/>
  <c r="GZ80" i="2"/>
  <c r="GZ19" i="2"/>
  <c r="GZ69" i="2"/>
  <c r="GZ25" i="2"/>
  <c r="GZ156" i="2"/>
  <c r="GZ127" i="2"/>
  <c r="GZ134" i="2"/>
  <c r="GZ16" i="2"/>
  <c r="GZ148" i="2"/>
  <c r="GZ123" i="2"/>
  <c r="GZ34" i="2"/>
  <c r="GZ73" i="2"/>
  <c r="GZ199" i="2"/>
  <c r="GZ105" i="2"/>
  <c r="GZ158" i="2"/>
  <c r="GZ149" i="2"/>
  <c r="GZ174" i="2"/>
  <c r="GZ82" i="2"/>
  <c r="GZ5" i="2"/>
  <c r="GZ90" i="2"/>
  <c r="GZ97" i="2"/>
  <c r="GZ20" i="2"/>
  <c r="GZ165" i="2"/>
  <c r="GZ70" i="2"/>
  <c r="GZ167" i="2"/>
  <c r="GZ114" i="2"/>
  <c r="GZ194" i="2"/>
  <c r="GZ175" i="2"/>
  <c r="GZ22" i="2"/>
  <c r="GZ31" i="2"/>
  <c r="GZ83" i="2"/>
  <c r="GZ116" i="2"/>
  <c r="GZ137" i="2"/>
  <c r="GZ126" i="2"/>
  <c r="GZ65" i="2"/>
  <c r="GZ7" i="2"/>
  <c r="GZ122" i="2"/>
  <c r="GZ67" i="2"/>
  <c r="GZ49" i="2"/>
  <c r="GZ185" i="2"/>
  <c r="GZ201" i="2"/>
  <c r="GZ78" i="2"/>
  <c r="GZ132" i="2"/>
  <c r="GZ155" i="2"/>
  <c r="GZ47" i="2"/>
  <c r="GZ52" i="2"/>
  <c r="GZ40" i="2"/>
  <c r="GZ169" i="2"/>
  <c r="GZ176" i="2"/>
  <c r="GZ119" i="2"/>
  <c r="GZ124" i="2"/>
  <c r="GZ144" i="2"/>
  <c r="GZ4" i="2"/>
  <c r="GZ168" i="2"/>
  <c r="GZ36" i="2"/>
  <c r="GZ59" i="2"/>
  <c r="GZ121" i="2"/>
  <c r="GZ56" i="2"/>
  <c r="GZ94" i="2"/>
  <c r="GZ186" i="2"/>
  <c r="GZ125" i="2"/>
  <c r="GZ111" i="2"/>
  <c r="GZ79" i="2"/>
  <c r="GZ72" i="2"/>
  <c r="GZ157" i="2"/>
  <c r="GZ161" i="2"/>
  <c r="GZ162" i="2"/>
  <c r="GZ178" i="2"/>
  <c r="GZ177" i="2"/>
  <c r="GZ145" i="2"/>
  <c r="GZ11" i="2"/>
  <c r="GZ188" i="2"/>
  <c r="GZ93" i="2"/>
  <c r="GZ64" i="2"/>
  <c r="GZ153" i="2"/>
  <c r="GZ55" i="2"/>
  <c r="GZ130" i="2"/>
  <c r="GZ110" i="2"/>
  <c r="GZ200" i="2"/>
  <c r="GZ87" i="2"/>
  <c r="GZ160" i="2"/>
  <c r="GZ9" i="2"/>
  <c r="GZ15" i="2"/>
  <c r="GZ139" i="2"/>
  <c r="GZ131" i="2"/>
  <c r="GZ21" i="2"/>
  <c r="GZ66" i="2"/>
  <c r="GZ183" i="2"/>
  <c r="GZ14" i="2"/>
  <c r="GZ171" i="2"/>
  <c r="GZ26" i="2"/>
  <c r="GZ18" i="2"/>
  <c r="GZ35" i="2"/>
  <c r="GZ191" i="2"/>
  <c r="GZ128" i="2"/>
  <c r="GZ151" i="2"/>
  <c r="GZ136" i="2"/>
  <c r="GZ44" i="2"/>
  <c r="GZ112" i="2"/>
  <c r="GZ202" i="2"/>
  <c r="GZ143" i="2"/>
  <c r="GZ129" i="2"/>
  <c r="GZ43" i="2"/>
  <c r="GZ118" i="2"/>
  <c r="GZ53" i="2"/>
  <c r="GZ138" i="2"/>
  <c r="GZ95" i="2"/>
  <c r="GZ71" i="2"/>
  <c r="GZ33" i="2"/>
  <c r="GZ45" i="2"/>
  <c r="GZ100" i="2"/>
  <c r="GZ141" i="2"/>
  <c r="GZ84" i="2"/>
  <c r="GZ152" i="2"/>
  <c r="GZ86" i="2"/>
  <c r="GZ146" i="2"/>
  <c r="GZ147" i="2"/>
  <c r="GZ182" i="2"/>
  <c r="GZ150" i="2"/>
  <c r="GZ50" i="2"/>
  <c r="GZ37" i="2"/>
  <c r="GZ180" i="2"/>
  <c r="GZ57" i="2"/>
  <c r="GZ88" i="2"/>
  <c r="GZ181" i="2"/>
  <c r="GZ75" i="2"/>
  <c r="GZ189" i="2"/>
  <c r="GZ99" i="2"/>
  <c r="GZ107" i="2"/>
  <c r="GZ154" i="2"/>
  <c r="GZ3" i="2"/>
  <c r="C15" i="4" s="1"/>
  <c r="E15" i="4" s="1"/>
  <c r="F15" i="4" s="1"/>
  <c r="G15" i="4" s="1"/>
  <c r="L15" i="4" s="1"/>
  <c r="GE11" i="2"/>
  <c r="GE35" i="2"/>
  <c r="GE33" i="2"/>
  <c r="GE147" i="2"/>
  <c r="GE94" i="2"/>
  <c r="GE128" i="2"/>
  <c r="GE119" i="2"/>
  <c r="GE89" i="2"/>
  <c r="GE163" i="2"/>
  <c r="GE74" i="2"/>
  <c r="GE78" i="2"/>
  <c r="GE54" i="2"/>
  <c r="GE53" i="2"/>
  <c r="GE179" i="2"/>
  <c r="GE44" i="2"/>
  <c r="GE125" i="2"/>
  <c r="GE43" i="2"/>
  <c r="GE77" i="2"/>
  <c r="GE85" i="2"/>
  <c r="GE76" i="2"/>
  <c r="GE72" i="2"/>
  <c r="GE165" i="2"/>
  <c r="GE6" i="2"/>
  <c r="GE87" i="2"/>
  <c r="GE100" i="2"/>
  <c r="GE115" i="2"/>
  <c r="GE50" i="2"/>
  <c r="GE174" i="2"/>
  <c r="GE180" i="2"/>
  <c r="GE66" i="2"/>
  <c r="GE195" i="2"/>
  <c r="GE124" i="2"/>
  <c r="GE184" i="2"/>
  <c r="GE187" i="2"/>
  <c r="GE145" i="2"/>
  <c r="GE107" i="2"/>
  <c r="GE23" i="2"/>
  <c r="GE133" i="2"/>
  <c r="GE29" i="2"/>
  <c r="GE168" i="2"/>
  <c r="GE188" i="2"/>
  <c r="GE196" i="2"/>
  <c r="GE193" i="2"/>
  <c r="GE181" i="2"/>
  <c r="GE38" i="2"/>
  <c r="GE64" i="2"/>
  <c r="GE69" i="2"/>
  <c r="GE70" i="2"/>
  <c r="GE118" i="2"/>
  <c r="GE155" i="2"/>
  <c r="GE22" i="2"/>
  <c r="GE40" i="2"/>
  <c r="GE12" i="2"/>
  <c r="GE203" i="2"/>
  <c r="GE52" i="2"/>
  <c r="GE202" i="2"/>
  <c r="GE55" i="2"/>
  <c r="GE162" i="2"/>
  <c r="GE191" i="2"/>
  <c r="GE59" i="2"/>
  <c r="GE141" i="2"/>
  <c r="GE60" i="2"/>
  <c r="GE8" i="2"/>
  <c r="GE96" i="2"/>
  <c r="GE186" i="2"/>
  <c r="GE194" i="2"/>
  <c r="GE199" i="2"/>
  <c r="GE157" i="2"/>
  <c r="GE109" i="2"/>
  <c r="GE170" i="2"/>
  <c r="GE144" i="2"/>
  <c r="GE13" i="2"/>
  <c r="GE86" i="2"/>
  <c r="GE79" i="2"/>
  <c r="GE198" i="2"/>
  <c r="GE138" i="2"/>
  <c r="GE129" i="2"/>
  <c r="GE121" i="2"/>
  <c r="GE16" i="2"/>
  <c r="GE39" i="2"/>
  <c r="GE182" i="2"/>
  <c r="GE56" i="2"/>
  <c r="GE61" i="2"/>
  <c r="GE92" i="2"/>
  <c r="GE192" i="2"/>
  <c r="GE175" i="2"/>
  <c r="GE37" i="2"/>
  <c r="GE42" i="2"/>
  <c r="GE151" i="2"/>
  <c r="GE123" i="2"/>
  <c r="GE112" i="2"/>
  <c r="GE51" i="2"/>
  <c r="GE97" i="2"/>
  <c r="GE126" i="2"/>
  <c r="GE173" i="2"/>
  <c r="GE149" i="2"/>
  <c r="GE120" i="2"/>
  <c r="GE159" i="2"/>
  <c r="GE91" i="2"/>
  <c r="GE75" i="2"/>
  <c r="GE14" i="2"/>
  <c r="GE178" i="2"/>
  <c r="GE183" i="2"/>
  <c r="GE67" i="2"/>
  <c r="GE132" i="2"/>
  <c r="GE110" i="2"/>
  <c r="GE146" i="2"/>
  <c r="GE3" i="2"/>
  <c r="C14" i="4" s="1"/>
  <c r="E14" i="4" s="1"/>
  <c r="F14" i="4" s="1"/>
  <c r="G14" i="4" s="1"/>
  <c r="L14" i="4" s="1"/>
  <c r="GE73" i="2"/>
  <c r="GE143" i="2"/>
  <c r="GE130" i="2"/>
  <c r="GE122" i="2"/>
  <c r="GE10" i="2"/>
  <c r="GE177" i="2"/>
  <c r="GE139" i="2"/>
  <c r="GE48" i="2"/>
  <c r="GE88" i="2"/>
  <c r="GE169" i="2"/>
  <c r="GE98" i="2"/>
  <c r="GE136" i="2"/>
  <c r="GE134" i="2"/>
  <c r="GE49" i="2"/>
  <c r="GE200" i="2"/>
  <c r="GE18" i="2"/>
  <c r="GE4" i="2"/>
  <c r="GE197" i="2"/>
  <c r="GE99" i="2"/>
  <c r="GE161" i="2"/>
  <c r="GE117" i="2"/>
  <c r="GE102" i="2"/>
  <c r="GE5" i="2"/>
  <c r="GE20" i="2"/>
  <c r="GE114" i="2"/>
  <c r="GE63" i="2"/>
  <c r="GE17" i="2"/>
  <c r="GE142" i="2"/>
  <c r="GE153" i="2"/>
  <c r="GE57" i="2"/>
  <c r="GE80" i="2"/>
  <c r="GE171" i="2"/>
  <c r="GE164" i="2"/>
  <c r="GE27" i="2"/>
  <c r="GE21" i="2"/>
  <c r="GE68" i="2"/>
  <c r="GE189" i="2"/>
  <c r="GE103" i="2"/>
  <c r="GE135" i="2"/>
  <c r="GE154" i="2"/>
  <c r="GE25" i="2"/>
  <c r="GE30" i="2"/>
  <c r="GE9" i="2"/>
  <c r="GE160" i="2"/>
  <c r="GE104" i="2"/>
  <c r="GE113" i="2"/>
  <c r="GE108" i="2"/>
  <c r="GE83" i="2"/>
  <c r="GE167" i="2"/>
  <c r="GE156" i="2"/>
  <c r="GE105" i="2"/>
  <c r="GE93" i="2"/>
  <c r="GE71" i="2"/>
  <c r="GE190" i="2"/>
  <c r="GE32" i="2"/>
  <c r="GE58" i="2"/>
  <c r="GE31" i="2"/>
  <c r="GE41" i="2"/>
  <c r="GE137" i="2"/>
  <c r="GE65" i="2"/>
  <c r="GE15" i="2"/>
  <c r="GE95" i="2"/>
  <c r="GE82" i="2"/>
  <c r="GE34" i="2"/>
  <c r="GE172" i="2"/>
  <c r="GE90" i="2"/>
  <c r="GE26" i="2"/>
  <c r="GE152" i="2"/>
  <c r="GE148" i="2"/>
  <c r="GE36" i="2"/>
  <c r="GE47" i="2"/>
  <c r="GE185" i="2"/>
  <c r="GE140" i="2"/>
  <c r="GE101" i="2"/>
  <c r="GE116" i="2"/>
  <c r="GE127" i="2"/>
  <c r="GE62" i="2"/>
  <c r="GE166" i="2"/>
  <c r="GE81" i="2"/>
  <c r="GE201" i="2"/>
  <c r="GE24" i="2"/>
  <c r="GE176" i="2"/>
  <c r="GE45" i="2"/>
  <c r="GE111" i="2"/>
  <c r="GE131" i="2"/>
  <c r="GE158" i="2"/>
  <c r="GE106" i="2"/>
  <c r="GE7" i="2"/>
  <c r="GE28" i="2"/>
  <c r="GE150" i="2"/>
  <c r="GE19" i="2"/>
  <c r="GE46" i="2"/>
  <c r="GE84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46" i="2" l="1"/>
  <c r="FJ200" i="2"/>
  <c r="FJ174" i="2"/>
  <c r="FJ92" i="2"/>
  <c r="FJ141" i="2"/>
  <c r="FJ195" i="2"/>
  <c r="FJ22" i="2"/>
  <c r="FJ98" i="2"/>
  <c r="FJ79" i="2"/>
  <c r="FJ50" i="2"/>
  <c r="FJ49" i="2"/>
  <c r="FJ82" i="2"/>
  <c r="FJ45" i="2"/>
  <c r="FJ114" i="2"/>
  <c r="FJ84" i="2"/>
  <c r="FJ130" i="2"/>
  <c r="FJ108" i="2"/>
  <c r="FJ67" i="2"/>
  <c r="FJ186" i="2"/>
  <c r="FJ69" i="2"/>
  <c r="FJ133" i="2"/>
  <c r="FJ171" i="2"/>
  <c r="FJ20" i="2"/>
  <c r="FJ187" i="2"/>
  <c r="FJ41" i="2"/>
  <c r="FJ158" i="2"/>
  <c r="FJ95" i="2"/>
  <c r="FJ24" i="2"/>
  <c r="FJ83" i="2"/>
  <c r="FJ59" i="2"/>
  <c r="FJ7" i="2"/>
  <c r="FJ52" i="2"/>
  <c r="FJ169" i="2"/>
  <c r="FJ125" i="2"/>
  <c r="FJ32" i="2"/>
  <c r="FJ137" i="2"/>
  <c r="FJ89" i="2"/>
  <c r="FJ164" i="2"/>
  <c r="FJ21" i="2"/>
  <c r="FJ37" i="2"/>
  <c r="FJ80" i="2"/>
  <c r="FJ139" i="2"/>
  <c r="FJ40" i="2"/>
  <c r="FJ6" i="2"/>
  <c r="FJ76" i="2"/>
  <c r="FJ10" i="2"/>
  <c r="FJ193" i="2"/>
  <c r="FJ140" i="2"/>
  <c r="FJ54" i="2"/>
  <c r="FJ151" i="2"/>
  <c r="FJ190" i="2"/>
  <c r="FJ178" i="2"/>
  <c r="FJ70" i="2"/>
  <c r="FJ30" i="2"/>
  <c r="FJ68" i="2"/>
  <c r="FJ91" i="2"/>
  <c r="FJ14" i="2"/>
  <c r="FJ135" i="2"/>
  <c r="FJ71" i="2"/>
  <c r="FJ136" i="2"/>
  <c r="FJ189" i="2"/>
  <c r="FJ16" i="2"/>
  <c r="FJ176" i="2"/>
  <c r="FJ25" i="2"/>
  <c r="FJ72" i="2"/>
  <c r="FJ126" i="2"/>
  <c r="FJ152" i="2"/>
  <c r="FJ3" i="2"/>
  <c r="C13" i="4" s="1"/>
  <c r="E13" i="4" s="1"/>
  <c r="F13" i="4" s="1"/>
  <c r="G13" i="4" s="1"/>
  <c r="L13" i="4" s="1"/>
  <c r="FJ93" i="2"/>
  <c r="FJ15" i="2"/>
  <c r="FJ44" i="2"/>
  <c r="FJ9" i="2"/>
  <c r="FJ66" i="2"/>
  <c r="FJ166" i="2"/>
  <c r="FJ129" i="2"/>
  <c r="FJ175" i="2"/>
  <c r="FJ157" i="2"/>
  <c r="FJ120" i="2"/>
  <c r="FJ154" i="2"/>
  <c r="FJ85" i="2"/>
  <c r="FJ60" i="2"/>
  <c r="FJ105" i="2"/>
  <c r="FJ103" i="2"/>
  <c r="FJ11" i="2"/>
  <c r="FJ23" i="2"/>
  <c r="FJ201" i="2"/>
  <c r="FJ97" i="2"/>
  <c r="FJ156" i="2"/>
  <c r="FJ163" i="2"/>
  <c r="FJ202" i="2"/>
  <c r="FJ144" i="2"/>
  <c r="FJ117" i="2"/>
  <c r="FJ172" i="2"/>
  <c r="FJ168" i="2"/>
  <c r="FJ90" i="2"/>
  <c r="FJ47" i="2"/>
  <c r="FJ19" i="2"/>
  <c r="FJ99" i="2"/>
  <c r="FJ102" i="2"/>
  <c r="FJ13" i="2"/>
  <c r="FJ55" i="2"/>
  <c r="FJ5" i="2"/>
  <c r="FJ88" i="2"/>
  <c r="FJ118" i="2"/>
  <c r="FJ185" i="2"/>
  <c r="FJ119" i="2"/>
  <c r="FJ58" i="2"/>
  <c r="FJ65" i="2"/>
  <c r="FJ167" i="2"/>
  <c r="FJ57" i="2"/>
  <c r="FJ53" i="2"/>
  <c r="FJ184" i="2"/>
  <c r="FJ134" i="2"/>
  <c r="FJ180" i="2"/>
  <c r="FJ197" i="2"/>
  <c r="FJ150" i="2"/>
  <c r="FJ81" i="2"/>
  <c r="FJ199" i="2"/>
  <c r="FJ100" i="2"/>
  <c r="FJ28" i="2"/>
  <c r="FJ145" i="2"/>
  <c r="FJ36" i="2"/>
  <c r="FJ203" i="2"/>
  <c r="FJ51" i="2"/>
  <c r="FJ192" i="2"/>
  <c r="FJ194" i="2"/>
  <c r="FJ147" i="2"/>
  <c r="FJ8" i="2"/>
  <c r="FJ12" i="2"/>
  <c r="FJ48" i="2"/>
  <c r="FJ107" i="2"/>
  <c r="FJ181" i="2"/>
  <c r="FJ39" i="2"/>
  <c r="FJ73" i="2"/>
  <c r="FJ35" i="2"/>
  <c r="FJ94" i="2"/>
  <c r="FJ161" i="2"/>
  <c r="FJ131" i="2"/>
  <c r="FJ18" i="2"/>
  <c r="FJ142" i="2"/>
  <c r="FJ115" i="2"/>
  <c r="FJ188" i="2"/>
  <c r="FJ179" i="2"/>
  <c r="FJ198" i="2"/>
  <c r="FJ177" i="2"/>
  <c r="FJ196" i="2"/>
  <c r="FJ64" i="2"/>
  <c r="FJ109" i="2"/>
  <c r="FJ61" i="2"/>
  <c r="FJ26" i="2"/>
  <c r="FJ173" i="2"/>
  <c r="FJ78" i="2"/>
  <c r="FJ182" i="2"/>
  <c r="FJ62" i="2"/>
  <c r="FJ138" i="2"/>
  <c r="FJ155" i="2"/>
  <c r="FJ160" i="2"/>
  <c r="FJ116" i="2"/>
  <c r="FJ123" i="2"/>
  <c r="FJ46" i="2"/>
  <c r="FJ29" i="2"/>
  <c r="FJ75" i="2"/>
  <c r="FJ38" i="2"/>
  <c r="FJ104" i="2"/>
  <c r="FJ112" i="2"/>
  <c r="FJ106" i="2"/>
  <c r="FJ17" i="2"/>
  <c r="FJ191" i="2"/>
  <c r="FJ148" i="2"/>
  <c r="FJ122" i="2"/>
  <c r="FJ143" i="2"/>
  <c r="FJ132" i="2"/>
  <c r="FJ101" i="2"/>
  <c r="FJ74" i="2"/>
  <c r="FJ183" i="2"/>
  <c r="FJ31" i="2"/>
  <c r="FJ96" i="2"/>
  <c r="FJ43" i="2"/>
  <c r="FJ128" i="2"/>
  <c r="FJ124" i="2"/>
  <c r="FJ149" i="2"/>
  <c r="FJ86" i="2"/>
  <c r="FJ110" i="2"/>
  <c r="FJ111" i="2"/>
  <c r="FJ27" i="2"/>
  <c r="FJ127" i="2"/>
  <c r="FJ34" i="2"/>
  <c r="FJ56" i="2"/>
  <c r="FJ77" i="2"/>
  <c r="FJ113" i="2"/>
  <c r="FJ165" i="2"/>
  <c r="FJ162" i="2"/>
  <c r="FJ153" i="2"/>
  <c r="FJ4" i="2"/>
  <c r="FJ170" i="2"/>
  <c r="FJ159" i="2"/>
  <c r="FJ87" i="2"/>
  <c r="FJ121" i="2"/>
  <c r="FJ42" i="2"/>
  <c r="FJ63" i="2"/>
  <c r="FJ3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<sst xmlns="http://schemas.openxmlformats.org/spreadsheetml/2006/main" count="1175" uniqueCount="334">
  <si>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</si>
  <si>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</si>
  <si>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</si>
  <si>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</si>
  <si>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</si>
  <si>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</si>
  <si>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</si>
  <si>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</si>
  <si>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</si>
  <si>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</si>
  <si>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</si>
  <si>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</si>
  <si>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</si>
  <si>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</si>
  <si>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</si>
  <si>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</si>
  <si>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</si>
  <si>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</si>
  <si>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</si>
  <si>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</si>
  <si>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</si>
  <si>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</si>
  <si>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</si>
  <si>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</si>
  <si>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</si>
  <si>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</si>
  <si>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</si>
  <si>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</si>
  <si>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</si>
  <si>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</si>
  <si>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</si>
  <si>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</si>
  <si>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</si>
  <si>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</si>
  <si>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</si>
  <si>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</si>
  <si>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</si>
  <si>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</si>
  <si>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</si>
  <si>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</si>
  <si>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</si>
  <si>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</si>
  <si>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</si>
  <si>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</si>
  <si>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</si>
  <si>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</si>
  <si>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</si>
  <si>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</si>
  <si>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</si>
  <si>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</si>
  <si>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</si>
  <si>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</si>
  <si>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</si>
  <si>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</si>
  <si>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</si>
  <si>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</si>
  <si>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</si>
  <si>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</si>
  <si>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</si>
  <si>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</si>
  <si>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</si>
  <si>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</si>
  <si>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</si>
  <si>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</si>
  <si>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</si>
  <si>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</si>
  <si>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</si>
  <si>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</si>
  <si>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</si>
  <si>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</si>
  <si>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</si>
  <si>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</si>
  <si>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</si>
  <si>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</si>
  <si>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</si>
  <si>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</si>
  <si>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</si>
  <si>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</si>
  <si>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</si>
  <si>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</si>
  <si>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</si>
  <si>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</si>
  <si>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</si>
  <si>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</si>
  <si>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</si>
  <si>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</si>
  <si>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</si>
  <si>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</si>
  <si>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</si>
  <si>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</si>
  <si>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</si>
  <si>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</si>
  <si>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</si>
  <si>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</si>
  <si>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</si>
  <si>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</si>
  <si>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</si>
  <si>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</si>
  <si>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</si>
  <si>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</si>
  <si>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</si>
  <si>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</si>
  <si>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</si>
  <si>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</si>
  <si>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</si>
  <si>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</si>
  <si>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</si>
  <si>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</si>
  <si>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</si>
  <si>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</si>
  <si>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</si>
  <si>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</si>
  <si>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</si>
  <si>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</si>
  <si>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</si>
  <si>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</si>
  <si>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</si>
  <si>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</si>
  <si>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</si>
  <si>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</si>
  <si>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</si>
  <si>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</si>
  <si>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</si>
  <si>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</si>
  <si>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</si>
  <si>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</si>
  <si>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</si>
  <si>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</si>
  <si>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</si>
  <si>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</si>
  <si>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</si>
  <si>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</si>
  <si>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</si>
  <si>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</si>
  <si>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</si>
  <si>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</si>
  <si>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</si>
  <si>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</si>
  <si>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</si>
  <si>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</si>
  <si>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</si>
  <si>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</si>
  <si>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</si>
  <si>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</si>
  <si>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</si>
  <si>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</si>
  <si>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</si>
  <si>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</si>
  <si>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</si>
  <si>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</si>
  <si>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</si>
  <si>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</si>
  <si>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</si>
  <si>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</si>
  <si>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</si>
  <si>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</si>
  <si>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</si>
  <si>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</si>
  <si>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</si>
  <si>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</si>
  <si>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</si>
  <si>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</si>
  <si>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</si>
  <si>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</si>
  <si>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</si>
  <si>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</si>
  <si>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</si>
  <si>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</si>
  <si>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</si>
  <si>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</si>
  <si>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</si>
  <si>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</si>
  <si>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</si>
  <si>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</si>
  <si>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</si>
  <si>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</si>
  <si>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</si>
  <si>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</si>
  <si>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</si>
  <si>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</si>
  <si>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</si>
  <si>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</si>
  <si>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</si>
  <si>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</si>
  <si>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</si>
  <si>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</si>
  <si>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</si>
  <si>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</si>
  <si>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</si>
  <si>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</si>
  <si>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</si>
  <si>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</si>
  <si>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</si>
  <si>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</si>
  <si>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</si>
  <si>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</si>
  <si>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</si>
  <si>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</si>
  <si>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</si>
  <si>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</si>
  <si>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</si>
  <si>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</si>
  <si>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</si>
  <si>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</si>
  <si>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</si>
  <si>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</si>
  <si>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</si>
  <si>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</si>
  <si>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</si>
  <si>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</si>
  <si>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</si>
  <si>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</si>
  <si>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</si>
  <si>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</si>
  <si>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</si>
  <si>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</si>
  <si>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</si>
  <si>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</si>
  <si>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</si>
  <si>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</si>
  <si>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</si>
  <si>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</si>
  <si>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</si>
  <si>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</si>
  <si>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</si>
  <si>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</si>
  <si>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</si>
  <si>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</si>
  <si>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</si>
  <si>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</si>
  <si>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</si>
  <si>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</si>
  <si>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</si>
  <si>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</si>
  <si>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</si>
  <si>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</si>
  <si>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</si>
  <si>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</si>
  <si>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</si>
  <si>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</si>
  <si>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</si>
  <si>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</si>
  <si>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</si>
  <si>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</si>
  <si>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</si>
  <si>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</si>
  <si>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</si>
  <si>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</si>
  <si>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</si>
  <si>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</si>
  <si>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</si>
  <si>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</si>
  <si>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</si>
  <si>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</si>
  <si>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</si>
  <si>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</si>
  <si>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</si>
  <si>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</si>
  <si>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</si>
  <si>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</si>
  <si>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</si>
  <si>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</si>
  <si>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</si>
  <si>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</si>
  <si>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</si>
  <si>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</si>
  <si>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</si>
  <si>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</si>
  <si>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</si>
  <si>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</si>
  <si>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</si>
  <si>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</si>
  <si>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</si>
  <si>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</si>
  <si>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</si>
  <si>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</si>
  <si>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</si>
  <si>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</si>
  <si>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</si>
  <si>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</si>
  <si>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</si>
  <si>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</si>
  <si>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</si>
  <si>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</si>
  <si>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</si>
  <si>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</si>
  <si>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</si>
  <si>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</si>
  <si>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</si>
  <si>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</si>
  <si>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</si>
  <si>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</si>
  <si>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</si>
  <si>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</si>
  <si>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</si>
  <si>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</si>
  <si>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</si>
  <si>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</si>
  <si>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</si>
  <si>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</si>
  <si>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</si>
  <si>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</si>
  <si>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</si>
  <si>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</si>
  <si>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</si>
  <si>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</si>
  <si>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</si>
  <si>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</si>
  <si>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</si>
  <si>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</si>
  <si>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</si>
  <si>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</si>
  <si>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</si>
  <si>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</si>
  <si>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</si>
  <si>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</si>
  <si>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</si>
  <si>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</si>
  <si>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</si>
  <si>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</si>
  <si>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</si>
  <si>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</si>
  <si>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</si>
  <si>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</si>
  <si>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MO expert</t>
  </si>
  <si>
    <t>Entretien 2</t>
  </si>
  <si>
    <t>Entretien 3</t>
  </si>
  <si>
    <t>Entretien 1</t>
  </si>
  <si>
    <t>Coût plantation</t>
  </si>
  <si>
    <t>Clôture</t>
  </si>
  <si>
    <t>Prépa sol</t>
  </si>
  <si>
    <t>Trico</t>
  </si>
  <si>
    <t>* de Corse</t>
  </si>
  <si>
    <t>* de Calabre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</si>
</sst>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0" fillId="0" borderId="0" xfId="0" quotePrefix="1" applyProtection="1"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1.5886557507801584</c:v>
                </c:pt>
                <c:pt idx="2">
                  <c:v>2.0063519206794305</c:v>
                </c:pt>
                <c:pt idx="3">
                  <c:v>2.5343114926008989</c:v>
                </c:pt>
                <c:pt idx="4">
                  <c:v>3.2017518718733378</c:v>
                </c:pt>
                <c:pt idx="5">
                  <c:v>4.0456598134505315</c:v>
                </c:pt>
                <c:pt idx="6">
                  <c:v>5.1128641899527407</c:v>
                </c:pt>
                <c:pt idx="7">
                  <c:v>6.4626634227727813</c:v>
                </c:pt>
                <c:pt idx="8">
                  <c:v>8.1701564133008997</c:v>
                </c:pt>
                <c:pt idx="9">
                  <c:v>10.330465850940394</c:v>
                </c:pt>
                <c:pt idx="10">
                  <c:v>13.064093610229477</c:v>
                </c:pt>
                <c:pt idx="11">
                  <c:v>16.523712498054547</c:v>
                </c:pt>
                <c:pt idx="12">
                  <c:v>20.902780580254113</c:v>
                </c:pt>
                <c:pt idx="13">
                  <c:v>26.446468415209495</c:v>
                </c:pt>
                <c:pt idx="14">
                  <c:v>33.46552173659969</c:v>
                </c:pt>
                <c:pt idx="15">
                  <c:v>42.353850066816229</c:v>
                </c:pt>
                <c:pt idx="16">
                  <c:v>53.610845077448573</c:v>
                </c:pt>
                <c:pt idx="17">
                  <c:v>67.8697035369227</c:v>
                </c:pt>
                <c:pt idx="18">
                  <c:v>85.933374025383216</c:v>
                </c:pt>
                <c:pt idx="19">
                  <c:v>108.82018412098397</c:v>
                </c:pt>
                <c:pt idx="20">
                  <c:v>137.82176072987758</c:v>
                </c:pt>
                <c:pt idx="21">
                  <c:v>160.54060110894432</c:v>
                </c:pt>
                <c:pt idx="22">
                  <c:v>186.30815558675928</c:v>
                </c:pt>
                <c:pt idx="23">
                  <c:v>211.99243264369093</c:v>
                </c:pt>
                <c:pt idx="24">
                  <c:v>237.60494635085078</c:v>
                </c:pt>
                <c:pt idx="25">
                  <c:v>263.1545202984949</c:v>
                </c:pt>
                <c:pt idx="26">
                  <c:v>288.64812257422517</c:v>
                </c:pt>
                <c:pt idx="27">
                  <c:v>314.09138905980609</c:v>
                </c:pt>
                <c:pt idx="28">
                  <c:v>339.48896777409692</c:v>
                </c:pt>
                <c:pt idx="29">
                  <c:v>364.84475455625176</c:v>
                </c:pt>
                <c:pt idx="30">
                  <c:v>390.16205970401285</c:v>
                </c:pt>
                <c:pt idx="31">
                  <c:v>286.68892837529171</c:v>
                </c:pt>
                <c:pt idx="32">
                  <c:v>312.75344591553971</c:v>
                </c:pt>
                <c:pt idx="33">
                  <c:v>338.76979063952751</c:v>
                </c:pt>
                <c:pt idx="34">
                  <c:v>364.74217919503576</c:v>
                </c:pt>
                <c:pt idx="35">
                  <c:v>390.67417886469872</c:v>
                </c:pt>
                <c:pt idx="36">
                  <c:v>416.56884493053718</c:v>
                </c:pt>
                <c:pt idx="37">
                  <c:v>442.42882207371969</c:v>
                </c:pt>
                <c:pt idx="38">
                  <c:v>468.25642081960217</c:v>
                </c:pt>
                <c:pt idx="39">
                  <c:v>494.05367623436382</c:v>
                </c:pt>
                <c:pt idx="40">
                  <c:v>519.82239372367246</c:v>
                </c:pt>
                <c:pt idx="41">
                  <c:v>415.23915547538235</c:v>
                </c:pt>
                <c:pt idx="42">
                  <c:v>439.26199254204636</c:v>
                </c:pt>
                <c:pt idx="43">
                  <c:v>463.25666670821124</c:v>
                </c:pt>
                <c:pt idx="44">
                  <c:v>487.22484042893842</c:v>
                </c:pt>
                <c:pt idx="45">
                  <c:v>511.16799939464698</c:v>
                </c:pt>
                <c:pt idx="46">
                  <c:v>535.087478892229</c:v>
                </c:pt>
                <c:pt idx="47">
                  <c:v>558.98448520894783</c:v>
                </c:pt>
                <c:pt idx="48">
                  <c:v>582.86011318749945</c:v>
                </c:pt>
                <c:pt idx="49">
                  <c:v>606.71536075668712</c:v>
                </c:pt>
                <c:pt idx="50">
                  <c:v>630.55114105946643</c:v>
                </c:pt>
                <c:pt idx="51">
                  <c:v>522.87615756416233</c:v>
                </c:pt>
                <c:pt idx="52">
                  <c:v>543.22509591168171</c:v>
                </c:pt>
                <c:pt idx="53">
                  <c:v>563.55803693257519</c:v>
                </c:pt>
                <c:pt idx="54">
                  <c:v>583.87563853637141</c:v>
                </c:pt>
                <c:pt idx="55">
                  <c:v>604.1785091516623</c:v>
                </c:pt>
                <c:pt idx="56">
                  <c:v>624.46721301883508</c:v>
                </c:pt>
                <c:pt idx="57">
                  <c:v>644.74227475969394</c:v>
                </c:pt>
                <c:pt idx="58">
                  <c:v>665.00418334283881</c:v>
                </c:pt>
                <c:pt idx="59">
                  <c:v>685.2533955410355</c:v>
                </c:pt>
                <c:pt idx="60">
                  <c:v>705.49033895903665</c:v>
                </c:pt>
                <c:pt idx="61">
                  <c:v>615.94764839809375</c:v>
                </c:pt>
                <c:pt idx="62">
                  <c:v>634.80916754606733</c:v>
                </c:pt>
                <c:pt idx="63">
                  <c:v>653.65910728703489</c:v>
                </c:pt>
                <c:pt idx="64">
                  <c:v>672.49784825705763</c:v>
                </c:pt>
                <c:pt idx="65">
                  <c:v>691.32574804785463</c:v>
                </c:pt>
                <c:pt idx="66">
                  <c:v>710.14314320426149</c:v>
                </c:pt>
                <c:pt idx="67">
                  <c:v>728.95035099915822</c:v>
                </c:pt>
                <c:pt idx="68">
                  <c:v>747.74767101587031</c:v>
                </c:pt>
                <c:pt idx="69">
                  <c:v>766.53538656333706</c:v>
                </c:pt>
                <c:pt idx="70">
                  <c:v>785.31376594546725</c:v>
                </c:pt>
                <c:pt idx="71">
                  <c:v>702.75905312356235</c:v>
                </c:pt>
                <c:pt idx="72">
                  <c:v>719.24465823533922</c:v>
                </c:pt>
                <c:pt idx="73">
                  <c:v>735.72255287224664</c:v>
                </c:pt>
                <c:pt idx="74">
                  <c:v>752.19293389889947</c:v>
                </c:pt>
                <c:pt idx="75">
                  <c:v>768.65598886356258</c:v>
                </c:pt>
                <c:pt idx="76">
                  <c:v>785.11189663320283</c:v>
                </c:pt>
                <c:pt idx="77">
                  <c:v>801.56082797257807</c:v>
                </c:pt>
                <c:pt idx="78">
                  <c:v>818.00294607337173</c:v>
                </c:pt>
                <c:pt idx="79">
                  <c:v>834.43840703861497</c:v>
                </c:pt>
                <c:pt idx="80">
                  <c:v>850.86736032699798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127.5329083784389</c:v>
                </c:pt>
                <c:pt idx="22">
                  <c:v>150.81403684621014</c:v>
                </c:pt>
                <c:pt idx="23">
                  <c:v>174.00938053467337</c:v>
                </c:pt>
                <c:pt idx="24">
                  <c:v>197.13199917409852</c:v>
                </c:pt>
                <c:pt idx="25">
                  <c:v>220.19162819449525</c:v>
                </c:pt>
                <c:pt idx="26">
                  <c:v>243.19579296947248</c:v>
                </c:pt>
                <c:pt idx="27">
                  <c:v>266.15047699682117</c:v>
                </c:pt>
                <c:pt idx="28">
                  <c:v>289.06054654178126</c:v>
                </c:pt>
                <c:pt idx="29">
                  <c:v>311.93003320050815</c:v>
                </c:pt>
                <c:pt idx="30">
                  <c:v>334.76232907654128</c:v>
                </c:pt>
                <c:pt idx="31">
                  <c:v>259.12425907306857</c:v>
                </c:pt>
                <c:pt idx="32">
                  <c:v>282.46016930254592</c:v>
                </c:pt>
                <c:pt idx="33">
                  <c:v>305.75288994754123</c:v>
                </c:pt>
                <c:pt idx="34">
                  <c:v>329.00617208091745</c:v>
                </c:pt>
                <c:pt idx="35">
                  <c:v>352.22319328184176</c:v>
                </c:pt>
                <c:pt idx="36">
                  <c:v>375.40667813228606</c:v>
                </c:pt>
                <c:pt idx="37">
                  <c:v>398.55898736478298</c:v>
                </c:pt>
                <c:pt idx="38">
                  <c:v>421.68218520118631</c:v>
                </c:pt>
                <c:pt idx="39">
                  <c:v>444.77809114495147</c:v>
                </c:pt>
                <c:pt idx="40">
                  <c:v>467.84832045302431</c:v>
                </c:pt>
                <c:pt idx="41">
                  <c:v>356.73934276155018</c:v>
                </c:pt>
                <c:pt idx="42">
                  <c:v>380.73644016037707</c:v>
                </c:pt>
                <c:pt idx="43">
                  <c:v>404.70064902158566</c:v>
                </c:pt>
                <c:pt idx="44">
                  <c:v>428.63418899789554</c:v>
                </c:pt>
                <c:pt idx="45">
                  <c:v>452.53901180457274</c:v>
                </c:pt>
                <c:pt idx="46">
                  <c:v>476.4168462954683</c:v>
                </c:pt>
                <c:pt idx="47">
                  <c:v>500.2692340315354</c:v>
                </c:pt>
                <c:pt idx="48">
                  <c:v>524.09755771372511</c:v>
                </c:pt>
                <c:pt idx="49">
                  <c:v>547.90306417742806</c:v>
                </c:pt>
                <c:pt idx="50">
                  <c:v>571.68688318436864</c:v>
                </c:pt>
                <c:pt idx="51">
                  <c:v>458.86817919889182</c:v>
                </c:pt>
                <c:pt idx="52">
                  <c:v>480.49594057223567</c:v>
                </c:pt>
                <c:pt idx="53">
                  <c:v>502.10301968170171</c:v>
                </c:pt>
                <c:pt idx="54">
                  <c:v>523.69043100290867</c:v>
                </c:pt>
                <c:pt idx="55">
                  <c:v>545.25909862367178</c:v>
                </c:pt>
                <c:pt idx="56">
                  <c:v>566.80986762645261</c:v>
                </c:pt>
                <c:pt idx="57">
                  <c:v>588.34351365058626</c:v>
                </c:pt>
                <c:pt idx="58">
                  <c:v>609.8607509826237</c:v>
                </c:pt>
                <c:pt idx="59">
                  <c:v>631.36223944629717</c:v>
                </c:pt>
                <c:pt idx="60">
                  <c:v>652.84859030581401</c:v>
                </c:pt>
                <c:pt idx="61">
                  <c:v>562.54175945157522</c:v>
                </c:pt>
                <c:pt idx="62">
                  <c:v>579.81331549688002</c:v>
                </c:pt>
                <c:pt idx="63">
                  <c:v>597.07414390694851</c:v>
                </c:pt>
                <c:pt idx="64">
                  <c:v>614.32459826050399</c:v>
                </c:pt>
                <c:pt idx="65">
                  <c:v>631.56501067446993</c:v>
                </c:pt>
                <c:pt idx="66">
                  <c:v>648.79569366895078</c:v>
                </c:pt>
                <c:pt idx="67">
                  <c:v>666.01694182392941</c:v>
                </c:pt>
                <c:pt idx="68">
                  <c:v>683.2290332558332</c:v>
                </c:pt>
                <c:pt idx="69">
                  <c:v>700.43223093768881</c:v>
                </c:pt>
                <c:pt idx="70">
                  <c:v>717.62678388294535</c:v>
                </c:pt>
                <c:pt idx="71">
                  <c:v>643.42480053791849</c:v>
                </c:pt>
                <c:pt idx="72">
                  <c:v>658.31917885838322</c:v>
                </c:pt>
                <c:pt idx="73">
                  <c:v>673.20661928386801</c:v>
                </c:pt>
                <c:pt idx="74">
                  <c:v>688.08729675395978</c:v>
                </c:pt>
                <c:pt idx="75">
                  <c:v>702.96137803000727</c:v>
                </c:pt>
                <c:pt idx="76">
                  <c:v>717.82902224596603</c:v>
                </c:pt>
                <c:pt idx="77">
                  <c:v>732.69038141127101</c:v>
                </c:pt>
                <c:pt idx="78">
                  <c:v>747.54560087081745</c:v>
                </c:pt>
                <c:pt idx="79">
                  <c:v>762.39481972651276</c:v>
                </c:pt>
                <c:pt idx="80">
                  <c:v>777.23817122430239</c:v>
                </c:pt>
                <c:pt idx="81">
                  <c:v>8.0472891597182151E-12</c:v>
                </c:pt>
                <c:pt idx="82">
                  <c:v>8.0472891597182151E-12</c:v>
                </c:pt>
                <c:pt idx="83">
                  <c:v>8.0472891597182151E-12</c:v>
                </c:pt>
                <c:pt idx="84">
                  <c:v>8.0472891597182151E-12</c:v>
                </c:pt>
                <c:pt idx="85">
                  <c:v>8.0472891597182151E-12</c:v>
                </c:pt>
                <c:pt idx="86">
                  <c:v>8.0472891597182151E-12</c:v>
                </c:pt>
                <c:pt idx="87">
                  <c:v>8.0472891597182151E-12</c:v>
                </c:pt>
                <c:pt idx="88">
                  <c:v>8.0472891597182151E-12</c:v>
                </c:pt>
                <c:pt idx="89">
                  <c:v>8.0472891597182151E-12</c:v>
                </c:pt>
                <c:pt idx="90">
                  <c:v>8.0472891597182151E-12</c:v>
                </c:pt>
                <c:pt idx="91">
                  <c:v>8.0472891597182151E-12</c:v>
                </c:pt>
                <c:pt idx="92">
                  <c:v>8.0472891597182151E-12</c:v>
                </c:pt>
                <c:pt idx="93">
                  <c:v>8.0472891597182151E-12</c:v>
                </c:pt>
                <c:pt idx="94">
                  <c:v>8.0472891597182151E-12</c:v>
                </c:pt>
                <c:pt idx="95">
                  <c:v>8.0472891597182151E-12</c:v>
                </c:pt>
                <c:pt idx="96">
                  <c:v>8.0472891597182151E-12</c:v>
                </c:pt>
                <c:pt idx="97">
                  <c:v>8.0472891597182151E-12</c:v>
                </c:pt>
                <c:pt idx="98">
                  <c:v>8.0472891597182151E-12</c:v>
                </c:pt>
                <c:pt idx="99">
                  <c:v>8.0472891597182151E-12</c:v>
                </c:pt>
                <c:pt idx="100">
                  <c:v>8.0472891597182151E-12</c:v>
                </c:pt>
                <c:pt idx="101">
                  <c:v>8.0472891597182151E-12</c:v>
                </c:pt>
                <c:pt idx="102">
                  <c:v>8.0472891597182151E-12</c:v>
                </c:pt>
                <c:pt idx="103">
                  <c:v>8.0472891597182151E-12</c:v>
                </c:pt>
                <c:pt idx="104">
                  <c:v>8.0472891597182151E-12</c:v>
                </c:pt>
                <c:pt idx="105">
                  <c:v>8.0472891597182151E-12</c:v>
                </c:pt>
                <c:pt idx="106">
                  <c:v>8.0472891597182151E-12</c:v>
                </c:pt>
                <c:pt idx="107">
                  <c:v>8.0472891597182151E-12</c:v>
                </c:pt>
                <c:pt idx="108">
                  <c:v>8.0472891597182151E-12</c:v>
                </c:pt>
                <c:pt idx="109">
                  <c:v>8.0472891597182151E-12</c:v>
                </c:pt>
                <c:pt idx="110">
                  <c:v>8.0472891597182151E-12</c:v>
                </c:pt>
                <c:pt idx="111">
                  <c:v>8.0472891597182151E-12</c:v>
                </c:pt>
                <c:pt idx="112">
                  <c:v>8.0472891597182151E-12</c:v>
                </c:pt>
                <c:pt idx="113">
                  <c:v>8.0472891597182151E-12</c:v>
                </c:pt>
                <c:pt idx="114">
                  <c:v>8.0472891597182151E-12</c:v>
                </c:pt>
                <c:pt idx="115">
                  <c:v>8.0472891597182151E-12</c:v>
                </c:pt>
                <c:pt idx="116">
                  <c:v>8.0472891597182151E-12</c:v>
                </c:pt>
                <c:pt idx="117">
                  <c:v>8.0472891597182151E-12</c:v>
                </c:pt>
                <c:pt idx="118">
                  <c:v>8.0472891597182151E-12</c:v>
                </c:pt>
                <c:pt idx="119">
                  <c:v>8.0472891597182151E-12</c:v>
                </c:pt>
                <c:pt idx="120">
                  <c:v>8.0472891597182151E-12</c:v>
                </c:pt>
                <c:pt idx="121">
                  <c:v>8.0472891597182151E-12</c:v>
                </c:pt>
                <c:pt idx="122">
                  <c:v>8.0472891597182151E-12</c:v>
                </c:pt>
                <c:pt idx="123">
                  <c:v>8.0472891597182151E-12</c:v>
                </c:pt>
                <c:pt idx="124">
                  <c:v>8.0472891597182151E-12</c:v>
                </c:pt>
                <c:pt idx="125">
                  <c:v>8.0472891597182151E-12</c:v>
                </c:pt>
                <c:pt idx="126">
                  <c:v>8.0472891597182151E-12</c:v>
                </c:pt>
                <c:pt idx="127">
                  <c:v>8.0472891597182151E-12</c:v>
                </c:pt>
                <c:pt idx="128">
                  <c:v>8.0472891597182151E-12</c:v>
                </c:pt>
                <c:pt idx="129">
                  <c:v>8.0472891597182151E-12</c:v>
                </c:pt>
                <c:pt idx="130">
                  <c:v>8.0472891597182151E-12</c:v>
                </c:pt>
                <c:pt idx="131">
                  <c:v>8.0472891597182151E-12</c:v>
                </c:pt>
                <c:pt idx="132">
                  <c:v>8.0472891597182151E-12</c:v>
                </c:pt>
                <c:pt idx="133">
                  <c:v>8.0472891597182151E-12</c:v>
                </c:pt>
                <c:pt idx="134">
                  <c:v>8.0472891597182151E-12</c:v>
                </c:pt>
                <c:pt idx="135">
                  <c:v>8.0472891597182151E-12</c:v>
                </c:pt>
                <c:pt idx="136">
                  <c:v>8.0472891597182151E-12</c:v>
                </c:pt>
                <c:pt idx="137">
                  <c:v>8.0472891597182151E-12</c:v>
                </c:pt>
                <c:pt idx="138">
                  <c:v>8.0472891597182151E-12</c:v>
                </c:pt>
                <c:pt idx="139">
                  <c:v>8.0472891597182151E-12</c:v>
                </c:pt>
                <c:pt idx="140">
                  <c:v>8.0472891597182151E-12</c:v>
                </c:pt>
                <c:pt idx="141">
                  <c:v>8.0472891597182151E-12</c:v>
                </c:pt>
                <c:pt idx="142">
                  <c:v>8.0472891597182151E-12</c:v>
                </c:pt>
                <c:pt idx="143">
                  <c:v>8.0472891597182151E-12</c:v>
                </c:pt>
                <c:pt idx="144">
                  <c:v>8.0472891597182151E-12</c:v>
                </c:pt>
                <c:pt idx="145">
                  <c:v>8.0472891597182151E-12</c:v>
                </c:pt>
                <c:pt idx="146">
                  <c:v>8.0472891597182151E-12</c:v>
                </c:pt>
                <c:pt idx="147">
                  <c:v>8.0472891597182151E-12</c:v>
                </c:pt>
                <c:pt idx="148">
                  <c:v>8.0472891597182151E-12</c:v>
                </c:pt>
                <c:pt idx="149">
                  <c:v>8.0472891597182151E-12</c:v>
                </c:pt>
                <c:pt idx="150">
                  <c:v>8.0472891597182151E-12</c:v>
                </c:pt>
                <c:pt idx="151">
                  <c:v>8.0472891597182151E-12</c:v>
                </c:pt>
                <c:pt idx="152">
                  <c:v>8.0472891597182151E-12</c:v>
                </c:pt>
                <c:pt idx="153">
                  <c:v>8.0472891597182151E-12</c:v>
                </c:pt>
                <c:pt idx="154">
                  <c:v>8.0472891597182151E-12</c:v>
                </c:pt>
                <c:pt idx="155">
                  <c:v>8.0472891597182151E-12</c:v>
                </c:pt>
                <c:pt idx="156">
                  <c:v>8.0472891597182151E-12</c:v>
                </c:pt>
                <c:pt idx="157">
                  <c:v>8.0472891597182151E-12</c:v>
                </c:pt>
                <c:pt idx="158">
                  <c:v>8.0472891597182151E-12</c:v>
                </c:pt>
                <c:pt idx="159">
                  <c:v>8.0472891597182151E-12</c:v>
                </c:pt>
                <c:pt idx="160">
                  <c:v>8.0472891597182151E-12</c:v>
                </c:pt>
                <c:pt idx="161">
                  <c:v>8.0472891597182151E-12</c:v>
                </c:pt>
                <c:pt idx="162">
                  <c:v>8.0472891597182151E-12</c:v>
                </c:pt>
                <c:pt idx="163">
                  <c:v>8.0472891597182151E-12</c:v>
                </c:pt>
                <c:pt idx="164">
                  <c:v>8.0472891597182151E-12</c:v>
                </c:pt>
                <c:pt idx="165">
                  <c:v>8.0472891597182151E-12</c:v>
                </c:pt>
                <c:pt idx="166">
                  <c:v>8.0472891597182151E-12</c:v>
                </c:pt>
                <c:pt idx="167">
                  <c:v>8.0472891597182151E-12</c:v>
                </c:pt>
                <c:pt idx="168">
                  <c:v>8.0472891597182151E-12</c:v>
                </c:pt>
                <c:pt idx="169">
                  <c:v>8.0472891597182151E-12</c:v>
                </c:pt>
                <c:pt idx="170">
                  <c:v>8.0472891597182151E-12</c:v>
                </c:pt>
                <c:pt idx="171">
                  <c:v>8.0472891597182151E-12</c:v>
                </c:pt>
                <c:pt idx="172">
                  <c:v>8.0472891597182151E-12</c:v>
                </c:pt>
                <c:pt idx="173">
                  <c:v>8.0472891597182151E-12</c:v>
                </c:pt>
                <c:pt idx="174">
                  <c:v>8.0472891597182151E-12</c:v>
                </c:pt>
                <c:pt idx="175">
                  <c:v>8.0472891597182151E-12</c:v>
                </c:pt>
                <c:pt idx="176">
                  <c:v>8.0472891597182151E-12</c:v>
                </c:pt>
                <c:pt idx="177">
                  <c:v>8.0472891597182151E-12</c:v>
                </c:pt>
                <c:pt idx="178">
                  <c:v>8.0472891597182151E-12</c:v>
                </c:pt>
                <c:pt idx="179">
                  <c:v>8.0472891597182151E-12</c:v>
                </c:pt>
                <c:pt idx="180">
                  <c:v>8.0472891597182151E-12</c:v>
                </c:pt>
                <c:pt idx="181">
                  <c:v>8.0472891597182151E-12</c:v>
                </c:pt>
                <c:pt idx="182">
                  <c:v>8.0472891597182151E-12</c:v>
                </c:pt>
                <c:pt idx="183">
                  <c:v>8.0472891597182151E-12</c:v>
                </c:pt>
                <c:pt idx="184">
                  <c:v>8.0472891597182151E-12</c:v>
                </c:pt>
                <c:pt idx="185">
                  <c:v>8.0472891597182151E-12</c:v>
                </c:pt>
                <c:pt idx="186">
                  <c:v>8.0472891597182151E-12</c:v>
                </c:pt>
                <c:pt idx="187">
                  <c:v>8.0472891597182151E-12</c:v>
                </c:pt>
                <c:pt idx="188">
                  <c:v>8.0472891597182151E-12</c:v>
                </c:pt>
                <c:pt idx="189">
                  <c:v>8.0472891597182151E-12</c:v>
                </c:pt>
                <c:pt idx="190">
                  <c:v>8.0472891597182151E-12</c:v>
                </c:pt>
                <c:pt idx="191">
                  <c:v>8.0472891597182151E-12</c:v>
                </c:pt>
                <c:pt idx="192">
                  <c:v>8.0472891597182151E-12</c:v>
                </c:pt>
                <c:pt idx="193">
                  <c:v>8.0472891597182151E-12</c:v>
                </c:pt>
                <c:pt idx="194">
                  <c:v>8.0472891597182151E-12</c:v>
                </c:pt>
                <c:pt idx="195">
                  <c:v>8.0472891597182151E-12</c:v>
                </c:pt>
                <c:pt idx="196">
                  <c:v>8.0472891597182151E-12</c:v>
                </c:pt>
                <c:pt idx="197">
                  <c:v>8.0472891597182151E-12</c:v>
                </c:pt>
                <c:pt idx="198">
                  <c:v>8.0472891597182151E-12</c:v>
                </c:pt>
                <c:pt idx="199">
                  <c:v>8.0472891597182151E-12</c:v>
                </c:pt>
                <c:pt idx="200">
                  <c:v>8.0472891597182151E-12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C52" sqref="C52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8" sqref="E1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20.149999999999999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0.16277915632754344</v>
      </c>
      <c r="D9" s="33">
        <f t="shared" ref="D9:D18" si="0">C9*$C$5</f>
        <v>3.2800000000000002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2.4317617866004965E-2</v>
      </c>
      <c r="D10" s="33">
        <f t="shared" si="0"/>
        <v>0.49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45</v>
      </c>
      <c r="C11" s="32">
        <v>1.6377171215880896E-2</v>
      </c>
      <c r="D11" s="33">
        <f t="shared" si="0"/>
        <v>0.33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0.31861042183622829</v>
      </c>
      <c r="D12" s="33">
        <f t="shared" si="0"/>
        <v>6.42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18</v>
      </c>
      <c r="C13" s="32">
        <v>8.1389578163771709E-2</v>
      </c>
      <c r="D13" s="33">
        <f t="shared" si="0"/>
        <v>1.64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35</v>
      </c>
      <c r="C14" s="32">
        <v>0.15583126550868487</v>
      </c>
      <c r="D14" s="33">
        <f t="shared" si="0"/>
        <v>3.1399999999999997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304" t="s">
        <v>333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35</v>
      </c>
      <c r="C15" s="32">
        <v>0.16277915632754342</v>
      </c>
      <c r="D15" s="33">
        <f t="shared" si="0"/>
        <v>3.28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332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45</v>
      </c>
      <c r="C16" s="32">
        <v>7.7915632754342434E-2</v>
      </c>
      <c r="D16" s="33">
        <f t="shared" si="0"/>
        <v>1.5699999999999998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G17" s="304"/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20.150000000000002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20</v>
      </c>
      <c r="C36" s="60"/>
      <c r="D36" s="60">
        <v>0</v>
      </c>
      <c r="E36" s="51"/>
      <c r="F36" s="51"/>
      <c r="G36" s="51"/>
      <c r="H36" s="51"/>
      <c r="I36" s="49">
        <f>IFERROR(B36/A36,"")</f>
        <v>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195</v>
      </c>
      <c r="C37" s="60">
        <v>1</v>
      </c>
      <c r="D37" s="60">
        <v>84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17.5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360</v>
      </c>
      <c r="C38" s="60">
        <v>2</v>
      </c>
      <c r="D38" s="60">
        <v>126</v>
      </c>
      <c r="E38" s="51">
        <v>0.2</v>
      </c>
      <c r="F38" s="51">
        <v>0.4</v>
      </c>
      <c r="G38" s="51">
        <v>0.4</v>
      </c>
      <c r="H38" s="51"/>
      <c r="I38" s="53">
        <f t="shared" si="1"/>
        <v>24.9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477</v>
      </c>
      <c r="C39" s="60">
        <v>3</v>
      </c>
      <c r="D39" s="60">
        <v>126</v>
      </c>
      <c r="E39" s="51"/>
      <c r="F39" s="51"/>
      <c r="G39" s="51"/>
      <c r="H39" s="51"/>
      <c r="I39" s="49">
        <f t="shared" si="1"/>
        <v>24.3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561</v>
      </c>
      <c r="C40" s="60">
        <v>4</v>
      </c>
      <c r="D40" s="60">
        <v>119</v>
      </c>
      <c r="E40" s="51"/>
      <c r="F40" s="51"/>
      <c r="G40" s="51"/>
      <c r="H40" s="51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622</v>
      </c>
      <c r="C41" s="60">
        <v>5</v>
      </c>
      <c r="D41" s="60">
        <v>90</v>
      </c>
      <c r="E41" s="51"/>
      <c r="F41" s="51"/>
      <c r="G41" s="51"/>
      <c r="H41" s="51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677</v>
      </c>
      <c r="C42" s="60">
        <v>6</v>
      </c>
      <c r="D42" s="60">
        <v>75</v>
      </c>
      <c r="E42" s="51"/>
      <c r="F42" s="51"/>
      <c r="G42" s="51"/>
      <c r="H42" s="51"/>
      <c r="I42" s="53">
        <f t="shared" si="1"/>
        <v>14.5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v>719</v>
      </c>
      <c r="C43" s="60">
        <v>7</v>
      </c>
      <c r="D43" s="60">
        <v>719</v>
      </c>
      <c r="E43" s="51"/>
      <c r="F43" s="51"/>
      <c r="G43" s="51"/>
      <c r="H43" s="51"/>
      <c r="I43" s="49">
        <f t="shared" si="1"/>
        <v>11.7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118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5.9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220</v>
      </c>
      <c r="C63" s="60">
        <v>2</v>
      </c>
      <c r="D63" s="60">
        <v>70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13.9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283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13.3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323</v>
      </c>
      <c r="C65" s="60">
        <v>4</v>
      </c>
      <c r="D65" s="60">
        <v>60</v>
      </c>
      <c r="E65" s="51"/>
      <c r="F65" s="51"/>
      <c r="G65" s="51"/>
      <c r="H65" s="51"/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351</v>
      </c>
      <c r="C66" s="60">
        <v>5</v>
      </c>
      <c r="D66" s="60">
        <v>47</v>
      </c>
      <c r="E66" s="51"/>
      <c r="F66" s="51"/>
      <c r="G66" s="51"/>
      <c r="H66" s="51"/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372</v>
      </c>
      <c r="C67" s="60">
        <v>6</v>
      </c>
      <c r="D67" s="60">
        <v>36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387</v>
      </c>
      <c r="C68" s="60">
        <v>7</v>
      </c>
      <c r="D68" s="60">
        <v>387</v>
      </c>
      <c r="E68" s="51"/>
      <c r="F68" s="51"/>
      <c r="G68" s="51"/>
      <c r="H68" s="51"/>
      <c r="I68" s="49">
        <f t="shared" si="2"/>
        <v>5.0999999999999996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Sapin de Nordmann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128</v>
      </c>
      <c r="C88" s="60">
        <v>1</v>
      </c>
      <c r="D88" s="60">
        <v>3</v>
      </c>
      <c r="E88" s="51"/>
      <c r="F88" s="51">
        <v>0.5</v>
      </c>
      <c r="G88" s="51">
        <v>0.5</v>
      </c>
      <c r="H88" s="87"/>
      <c r="I88" s="53">
        <f>IFERROR(B88/A88,"")</f>
        <v>6.4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372</v>
      </c>
      <c r="C89" s="60">
        <v>2</v>
      </c>
      <c r="D89" s="60">
        <v>126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24.7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499</v>
      </c>
      <c r="C90" s="60">
        <v>3</v>
      </c>
      <c r="D90" s="60">
        <v>126</v>
      </c>
      <c r="E90" s="87"/>
      <c r="F90" s="87"/>
      <c r="G90" s="87"/>
      <c r="H90" s="87"/>
      <c r="I90" s="53">
        <f t="shared" si="3"/>
        <v>25.3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608</v>
      </c>
      <c r="C91" s="60">
        <v>4</v>
      </c>
      <c r="D91" s="60">
        <v>126</v>
      </c>
      <c r="E91" s="87"/>
      <c r="F91" s="87"/>
      <c r="G91" s="87"/>
      <c r="H91" s="87"/>
      <c r="I91" s="53">
        <f t="shared" si="3"/>
        <v>23.5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682</v>
      </c>
      <c r="C92" s="60">
        <v>5</v>
      </c>
      <c r="D92" s="60">
        <v>107</v>
      </c>
      <c r="E92" s="87"/>
      <c r="F92" s="87"/>
      <c r="G92" s="87"/>
      <c r="H92" s="87"/>
      <c r="I92" s="53">
        <f t="shared" si="3"/>
        <v>20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761</v>
      </c>
      <c r="C93" s="60">
        <v>6</v>
      </c>
      <c r="D93" s="60">
        <v>98</v>
      </c>
      <c r="E93" s="87"/>
      <c r="F93" s="87"/>
      <c r="G93" s="87"/>
      <c r="H93" s="87"/>
      <c r="I93" s="53">
        <f t="shared" si="3"/>
        <v>18.600000000000001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826</v>
      </c>
      <c r="C94" s="60">
        <v>7</v>
      </c>
      <c r="D94" s="60">
        <v>826</v>
      </c>
      <c r="E94" s="87"/>
      <c r="F94" s="87"/>
      <c r="G94" s="87"/>
      <c r="H94" s="87"/>
      <c r="I94" s="53">
        <f t="shared" si="3"/>
        <v>16.3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158</v>
      </c>
      <c r="C114" s="50">
        <v>1</v>
      </c>
      <c r="D114" s="60">
        <v>12.5</v>
      </c>
      <c r="E114" s="51"/>
      <c r="F114" s="51">
        <v>0.5</v>
      </c>
      <c r="G114" s="51">
        <v>0.5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237.5</v>
      </c>
      <c r="C115" s="50">
        <v>2</v>
      </c>
      <c r="D115" s="60">
        <v>45.9</v>
      </c>
      <c r="E115" s="51">
        <v>0.2</v>
      </c>
      <c r="F115" s="51">
        <v>0.4</v>
      </c>
      <c r="G115" s="51">
        <v>0.4</v>
      </c>
      <c r="H115" s="51"/>
      <c r="I115" s="53">
        <f t="shared" ref="I115:I133" si="4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291.60000000000002</v>
      </c>
      <c r="C116" s="50">
        <v>3</v>
      </c>
      <c r="D116" s="60">
        <v>83.4</v>
      </c>
      <c r="E116" s="51"/>
      <c r="F116" s="51"/>
      <c r="G116" s="51"/>
      <c r="H116" s="51"/>
      <c r="I116" s="53">
        <f t="shared" si="4"/>
        <v>10.000000000000004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323.2</v>
      </c>
      <c r="C117" s="50">
        <v>4</v>
      </c>
      <c r="D117" s="60">
        <v>83.4</v>
      </c>
      <c r="E117" s="51"/>
      <c r="F117" s="51"/>
      <c r="G117" s="51"/>
      <c r="H117" s="51"/>
      <c r="I117" s="53">
        <f t="shared" si="4"/>
        <v>11.499999999999996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374.79999999999995</v>
      </c>
      <c r="C118" s="50">
        <v>5</v>
      </c>
      <c r="D118" s="60">
        <v>83.4</v>
      </c>
      <c r="E118" s="51"/>
      <c r="F118" s="51"/>
      <c r="G118" s="51"/>
      <c r="H118" s="51"/>
      <c r="I118" s="53">
        <f t="shared" si="4"/>
        <v>13.499999999999996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446.4</v>
      </c>
      <c r="C119" s="50">
        <v>6</v>
      </c>
      <c r="D119" s="60">
        <v>83.4</v>
      </c>
      <c r="E119" s="51"/>
      <c r="F119" s="51"/>
      <c r="G119" s="51"/>
      <c r="H119" s="51"/>
      <c r="I119" s="53">
        <f t="shared" si="4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533</v>
      </c>
      <c r="C120" s="60">
        <v>7</v>
      </c>
      <c r="D120" s="60">
        <v>83.4</v>
      </c>
      <c r="E120" s="87"/>
      <c r="F120" s="87"/>
      <c r="G120" s="87"/>
      <c r="H120" s="87"/>
      <c r="I120" s="53">
        <f t="shared" si="4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624.6</v>
      </c>
      <c r="C121" s="60">
        <v>8</v>
      </c>
      <c r="D121" s="60">
        <v>83.4</v>
      </c>
      <c r="E121" s="87"/>
      <c r="F121" s="87"/>
      <c r="G121" s="87"/>
      <c r="H121" s="87"/>
      <c r="I121" s="53">
        <f t="shared" si="4"/>
        <v>17.5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726.2</v>
      </c>
      <c r="C122" s="60">
        <v>9</v>
      </c>
      <c r="D122" s="60">
        <v>726.2</v>
      </c>
      <c r="E122" s="87"/>
      <c r="F122" s="87"/>
      <c r="G122" s="87"/>
      <c r="H122" s="87"/>
      <c r="I122" s="53">
        <f t="shared" si="4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Douglas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12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162</v>
      </c>
      <c r="C141" s="50">
        <v>1</v>
      </c>
      <c r="D141" s="60">
        <v>63</v>
      </c>
      <c r="E141" s="51"/>
      <c r="F141" s="51">
        <v>0.5</v>
      </c>
      <c r="G141" s="51">
        <v>0.5</v>
      </c>
      <c r="H141" s="51"/>
      <c r="I141" s="57">
        <f t="shared" ref="I141:I159" si="5">IF(A141&lt;&gt;0,(B141-(B140-D140))/(A141-A140),"")</f>
        <v>15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321</v>
      </c>
      <c r="C142" s="50">
        <v>2</v>
      </c>
      <c r="D142" s="60">
        <v>112</v>
      </c>
      <c r="E142" s="51">
        <v>0.1</v>
      </c>
      <c r="F142" s="51">
        <v>0.45</v>
      </c>
      <c r="G142" s="51">
        <v>0.45</v>
      </c>
      <c r="H142" s="51"/>
      <c r="I142" s="57">
        <f t="shared" si="5"/>
        <v>22.2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429</v>
      </c>
      <c r="C143" s="50">
        <v>3</v>
      </c>
      <c r="D143" s="60">
        <v>112</v>
      </c>
      <c r="E143" s="51"/>
      <c r="F143" s="51"/>
      <c r="G143" s="51"/>
      <c r="H143" s="51"/>
      <c r="I143" s="57">
        <f t="shared" si="5"/>
        <v>22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509</v>
      </c>
      <c r="C144" s="50">
        <v>4</v>
      </c>
      <c r="D144" s="60">
        <v>108</v>
      </c>
      <c r="E144" s="51"/>
      <c r="F144" s="51"/>
      <c r="G144" s="51"/>
      <c r="H144" s="51"/>
      <c r="I144" s="57">
        <f t="shared" si="5"/>
        <v>19.2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563</v>
      </c>
      <c r="C145" s="50">
        <v>5</v>
      </c>
      <c r="D145" s="60">
        <v>83</v>
      </c>
      <c r="E145" s="51"/>
      <c r="F145" s="51"/>
      <c r="G145" s="51"/>
      <c r="H145" s="51"/>
      <c r="I145" s="57">
        <f t="shared" si="5"/>
        <v>16.2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614</v>
      </c>
      <c r="C146" s="50">
        <v>6</v>
      </c>
      <c r="D146" s="60">
        <v>67</v>
      </c>
      <c r="E146" s="51"/>
      <c r="F146" s="51"/>
      <c r="G146" s="51"/>
      <c r="H146" s="51"/>
      <c r="I146" s="57">
        <f t="shared" si="5"/>
        <v>13.4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v>651</v>
      </c>
      <c r="C147" s="50">
        <v>7</v>
      </c>
      <c r="D147" s="60">
        <v>651</v>
      </c>
      <c r="E147" s="51"/>
      <c r="F147" s="51"/>
      <c r="G147" s="51"/>
      <c r="H147" s="51"/>
      <c r="I147" s="57">
        <f>IF(A147&lt;&gt;0,(B147-(B146-D146))/(A147-A146),"")</f>
        <v>10.4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laricio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91</v>
      </c>
      <c r="C166" s="60">
        <v>1</v>
      </c>
      <c r="D166" s="60">
        <v>3</v>
      </c>
      <c r="E166" s="51"/>
      <c r="F166" s="51">
        <v>0.5</v>
      </c>
      <c r="G166" s="51">
        <v>0.5</v>
      </c>
      <c r="H166" s="51"/>
      <c r="I166" s="49">
        <f>IFERROR(B166/A166,"")</f>
        <v>4.55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218</v>
      </c>
      <c r="C167" s="60">
        <v>2</v>
      </c>
      <c r="D167" s="60">
        <v>70</v>
      </c>
      <c r="E167" s="51"/>
      <c r="F167" s="51">
        <v>0.5</v>
      </c>
      <c r="G167" s="51">
        <v>0.5</v>
      </c>
      <c r="H167" s="51"/>
      <c r="I167" s="49">
        <f t="shared" ref="I167:I185" si="6">IF(A167&lt;&gt;0,(B167-(B166-D166))/(A167-A166),"")</f>
        <v>13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285</v>
      </c>
      <c r="C168" s="60">
        <v>3</v>
      </c>
      <c r="D168" s="60">
        <v>70</v>
      </c>
      <c r="E168" s="51"/>
      <c r="F168" s="51"/>
      <c r="G168" s="51"/>
      <c r="H168" s="51"/>
      <c r="I168" s="49">
        <f t="shared" si="6"/>
        <v>13.7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343</v>
      </c>
      <c r="C169" s="60">
        <v>4</v>
      </c>
      <c r="D169" s="60">
        <v>70</v>
      </c>
      <c r="E169" s="51"/>
      <c r="F169" s="51"/>
      <c r="G169" s="51"/>
      <c r="H169" s="51"/>
      <c r="I169" s="49">
        <f t="shared" si="6"/>
        <v>12.8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387</v>
      </c>
      <c r="C170" s="60">
        <v>5</v>
      </c>
      <c r="D170" s="60">
        <v>57</v>
      </c>
      <c r="E170" s="51"/>
      <c r="F170" s="51"/>
      <c r="G170" s="51"/>
      <c r="H170" s="51"/>
      <c r="I170" s="49">
        <f t="shared" si="6"/>
        <v>11.4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422</v>
      </c>
      <c r="C171" s="60">
        <v>6</v>
      </c>
      <c r="D171" s="60">
        <v>44</v>
      </c>
      <c r="E171" s="51"/>
      <c r="F171" s="51"/>
      <c r="G171" s="51"/>
      <c r="H171" s="51"/>
      <c r="I171" s="49">
        <f t="shared" si="6"/>
        <v>9.1999999999999993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450</v>
      </c>
      <c r="C172" s="60">
        <v>7</v>
      </c>
      <c r="D172" s="60">
        <v>450</v>
      </c>
      <c r="E172" s="51"/>
      <c r="F172" s="51"/>
      <c r="G172" s="51"/>
      <c r="H172" s="51"/>
      <c r="I172" s="49">
        <f t="shared" si="6"/>
        <v>7.2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Pin laricio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91</v>
      </c>
      <c r="C192" s="60">
        <v>1</v>
      </c>
      <c r="D192" s="60">
        <v>3</v>
      </c>
      <c r="E192" s="51"/>
      <c r="F192" s="51">
        <v>0.5</v>
      </c>
      <c r="G192" s="51">
        <v>0.5</v>
      </c>
      <c r="H192" s="51"/>
      <c r="I192" s="49">
        <f>IFERROR(B192/A192,"")</f>
        <v>4.55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218</v>
      </c>
      <c r="C193" s="60">
        <v>2</v>
      </c>
      <c r="D193" s="60">
        <v>70</v>
      </c>
      <c r="E193" s="51"/>
      <c r="F193" s="51">
        <v>0.5</v>
      </c>
      <c r="G193" s="51">
        <v>0.5</v>
      </c>
      <c r="H193" s="51"/>
      <c r="I193" s="49">
        <f t="shared" ref="I193:I211" si="7">IF(A193&lt;&gt;0,(B193-(B192-D192))/(A193-A192),"")</f>
        <v>13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285</v>
      </c>
      <c r="C194" s="60">
        <v>3</v>
      </c>
      <c r="D194" s="60">
        <v>70</v>
      </c>
      <c r="E194" s="51"/>
      <c r="F194" s="51"/>
      <c r="G194" s="51"/>
      <c r="H194" s="51"/>
      <c r="I194" s="49">
        <f t="shared" si="7"/>
        <v>13.7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343</v>
      </c>
      <c r="C195" s="60">
        <v>4</v>
      </c>
      <c r="D195" s="60">
        <v>70</v>
      </c>
      <c r="E195" s="51"/>
      <c r="F195" s="51"/>
      <c r="G195" s="51"/>
      <c r="H195" s="51"/>
      <c r="I195" s="49">
        <f t="shared" si="7"/>
        <v>12.8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387</v>
      </c>
      <c r="C196" s="60">
        <v>5</v>
      </c>
      <c r="D196" s="60">
        <v>57</v>
      </c>
      <c r="E196" s="51"/>
      <c r="F196" s="51"/>
      <c r="G196" s="51"/>
      <c r="H196" s="51"/>
      <c r="I196" s="49">
        <f t="shared" si="7"/>
        <v>11.4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422</v>
      </c>
      <c r="C197" s="60">
        <v>6</v>
      </c>
      <c r="D197" s="60">
        <v>44</v>
      </c>
      <c r="E197" s="51"/>
      <c r="F197" s="51"/>
      <c r="G197" s="51"/>
      <c r="H197" s="51"/>
      <c r="I197" s="49">
        <f t="shared" si="7"/>
        <v>9.1999999999999993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v>450</v>
      </c>
      <c r="C198" s="60">
        <v>7</v>
      </c>
      <c r="D198" s="60">
        <v>450</v>
      </c>
      <c r="E198" s="51"/>
      <c r="F198" s="51"/>
      <c r="G198" s="51"/>
      <c r="H198" s="51"/>
      <c r="I198" s="49">
        <f t="shared" si="7"/>
        <v>7.2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Sapin de Nordmann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96</v>
      </c>
      <c r="C218" s="50"/>
      <c r="D218" s="60">
        <v>0</v>
      </c>
      <c r="E218" s="63"/>
      <c r="F218" s="63">
        <v>0.5</v>
      </c>
      <c r="G218" s="63">
        <v>0.5</v>
      </c>
      <c r="H218" s="63"/>
      <c r="I218" s="53">
        <f>IFERROR(B218/A218,"")</f>
        <v>4.8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v>318</v>
      </c>
      <c r="C219" s="50">
        <v>1</v>
      </c>
      <c r="D219" s="60">
        <v>96</v>
      </c>
      <c r="E219" s="63">
        <v>0.2</v>
      </c>
      <c r="F219" s="63">
        <v>0.4</v>
      </c>
      <c r="G219" s="63">
        <v>0.4</v>
      </c>
      <c r="H219" s="63"/>
      <c r="I219" s="53">
        <f t="shared" ref="I219:I237" si="8">IF(A219&lt;&gt;0,(B219-(B218-D218))/(A219-A218),"")</f>
        <v>22.2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v>448</v>
      </c>
      <c r="C220" s="50">
        <v>2</v>
      </c>
      <c r="D220" s="60">
        <v>132</v>
      </c>
      <c r="E220" s="63"/>
      <c r="F220" s="63"/>
      <c r="G220" s="63"/>
      <c r="H220" s="63"/>
      <c r="I220" s="53">
        <f t="shared" si="8"/>
        <v>22.6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v>550</v>
      </c>
      <c r="C221" s="55">
        <v>3</v>
      </c>
      <c r="D221" s="55">
        <v>132</v>
      </c>
      <c r="E221" s="63"/>
      <c r="F221" s="63"/>
      <c r="G221" s="63"/>
      <c r="H221" s="63"/>
      <c r="I221" s="53">
        <f t="shared" si="8"/>
        <v>23.4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v>630</v>
      </c>
      <c r="C222" s="55">
        <v>4</v>
      </c>
      <c r="D222" s="55">
        <v>106</v>
      </c>
      <c r="E222" s="63"/>
      <c r="F222" s="63"/>
      <c r="G222" s="63"/>
      <c r="H222" s="63"/>
      <c r="I222" s="53">
        <f t="shared" si="8"/>
        <v>21.2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v>694</v>
      </c>
      <c r="C223" s="55">
        <v>5</v>
      </c>
      <c r="D223" s="55">
        <v>88</v>
      </c>
      <c r="E223" s="63"/>
      <c r="F223" s="63"/>
      <c r="G223" s="63"/>
      <c r="H223" s="63"/>
      <c r="I223" s="53">
        <f t="shared" si="8"/>
        <v>17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v>753</v>
      </c>
      <c r="C224" s="55">
        <v>6</v>
      </c>
      <c r="D224" s="55">
        <v>753</v>
      </c>
      <c r="E224" s="63"/>
      <c r="F224" s="63"/>
      <c r="G224" s="63"/>
      <c r="H224" s="63"/>
      <c r="I224" s="53">
        <f t="shared" si="8"/>
        <v>14.7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Sapin de Nordmann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Douglas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laricio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laricio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Sapin de Nordmann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401.06118089678654</v>
      </c>
      <c r="T3" s="59">
        <f>IF('Données projet'!E9&gt;30,$R$33-$H$33,LOOKUP('Données projet'!$E$9,$A$3:$A$203,R3:R203)-LOOKUP('Données projet'!$E$9,$A$3:$A$203,$H$3:$H$203))</f>
        <v>399.58193819355591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240.30073883588199</v>
      </c>
      <c r="AO3" s="59">
        <f>IF('Données projet'!E10&gt;30,$AM$33-$H$33,LOOKUP('Données projet'!$E$10,$A$3:$A$203,AM3:AM203)-LOOKUP('Données projet'!$E$10,$A$3:$A$203,$H$3:$H$203))</f>
        <v>263.20351282678843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364.67510777943329</v>
      </c>
      <c r="BJ3" s="59">
        <f>IF('Données projet'!E11&gt;30,$BH$33-$H$33,LOOKUP('Données projet'!$E$11,$A$3:$A$203,BH3:BH203)-LOOKUP('Données projet'!$E$11,$A$3:$A$203,$H$3:$H$203))</f>
        <v>352.13878061387169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252.98248842635206</v>
      </c>
      <c r="CE3" s="59">
        <f>IF('Données projet'!E12&gt;30,$CC$33-$H$33,LOOKUP('Données projet'!$E$12,$A$3:$A$203,CC3:CC203)-LOOKUP('Données projet'!$E$12,$A$3:$A$203,$H$3:$H$203))</f>
        <v>207.11938580878308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356.67698551373468</v>
      </c>
      <c r="CZ3" s="59">
        <f>IF('Données projet'!E13&gt;30,$CX$33-$H$33,LOOKUP('Données projet'!$E$13,$A$3:$A$203,CX3:CX203)-LOOKUP('Données projet'!$E$13,$A$3:$A$203,$H$3:$H$203))</f>
        <v>353.21836615408171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247.30892363953825</v>
      </c>
      <c r="DU3" s="59">
        <f>IF('Données projet'!E14&gt;30,$DS$33-$H$33,LOOKUP('Données projet'!$E$14,$A$3:$A$203,DS3:DS203)-LOOKUP('Données projet'!$E$14,$A$3:$A$203,$H$3:$H$203))</f>
        <v>248.38414731596578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247.30892363953825</v>
      </c>
      <c r="EP3" s="59">
        <f>IF('Données projet'!E15&gt;30,$EN$33-$H$33,LOOKUP('Données projet'!$E$15,$A$3:$A$203,EN3:EN203)-LOOKUP('Données projet'!$E$15,$A$3:$A$203,$H$3:$H$203))</f>
        <v>248.38414731596578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322.54393676667081</v>
      </c>
      <c r="FK3" s="59">
        <f>IF('Données projet'!E16&gt;30,$FI$33-$H$33,LOOKUP('Données projet'!$E$16,$A$3:$A$203,FI3:FI203)-LOOKUP('Données projet'!$E$16,$A$3:$A$203,$H$3:$H$203))</f>
        <v>296.73904998640018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</v>
      </c>
      <c r="N4" s="13">
        <f>IF('Données projet'!$A$36&gt;35,N3+M4-V3,IF(A4&lt;'Données projet'!$A$36,$K$205^A4,IF(A4='Données projet'!$A$36,'Données projet'!$B$36,N3+M4-V3)))</f>
        <v>1.3492828476735632</v>
      </c>
      <c r="O4" s="13">
        <f>N4*VLOOKUP('Données projet'!$B$9,Paramètres!$A$1:$I$89,3,0)*VLOOKUP('Données projet'!$B$9,Paramètres!$A$1:$I$89,5,0)</f>
        <v>0.75424911184952181</v>
      </c>
      <c r="P4" s="13">
        <f>EXP(-1.0587+0.8836*LN(O4)+0.284)</f>
        <v>0.3591899268142314</v>
      </c>
      <c r="Q4" s="20">
        <f t="shared" ref="Q4:Q34" si="2">(O4+P4)*0.475*44/12</f>
        <v>1.9392396590060368</v>
      </c>
      <c r="R4" s="59">
        <f t="shared" si="0"/>
        <v>295.27257299233935</v>
      </c>
      <c r="S4" s="59">
        <f ca="1">AVERAGE(OFFSET($R$3,0,0,'Données projet'!$E$9+1,1))-AVERAGE(OFFSET($H$3,0,0,'Données projet'!$E$9+1,1))</f>
        <v>401.06118089678654</v>
      </c>
      <c r="T4" s="59">
        <f>$T$3</f>
        <v>399.58193819355591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</v>
      </c>
      <c r="AI4" s="13">
        <f>IF('Données projet'!$A$62&gt;35,AI3+AH4-AQ3,IF(A4&lt;'Données projet'!$A$62,$AF$205^A4,IF(A4='Données projet'!$A$62,'Données projet'!$B$62,AI3+AH4-AQ3)))</f>
        <v>1.2693871579679339</v>
      </c>
      <c r="AJ4" s="13">
        <f>AI4*VLOOKUP('Données projet'!$B$10,Paramètres!$A$1:$I$89,3,0)*VLOOKUP('Données projet'!$B$10,Paramètres!$A$1:$I$89,5,0)</f>
        <v>0.79209758657199081</v>
      </c>
      <c r="AK4" s="13">
        <f>EXP(-1.0587+0.8836*LN(AJ4)+0.284)</f>
        <v>0.37507050689117594</v>
      </c>
      <c r="AL4" s="20">
        <f t="shared" ref="AL4:AL67" si="4">(AJ4+AK4)*0.475*44/12</f>
        <v>2.0328177627816819</v>
      </c>
      <c r="AM4" s="59">
        <f t="shared" ref="AM4:AM67" si="5">AL4+(AD4+AE4)*44/12</f>
        <v>295.366151096115</v>
      </c>
      <c r="AN4" s="59">
        <f ca="1">AVERAGE(OFFSET($AM$3,0,0,'Données projet'!$E$10+1,1))-AVERAGE(OFFSET($H$3,0,0,'Données projet'!$E$10+1,1))</f>
        <v>240.30073883588199</v>
      </c>
      <c r="AO4" s="59">
        <f>$AO$3</f>
        <v>263.20351282678843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6.4</v>
      </c>
      <c r="BD4" s="12">
        <f>IF('Données projet'!$A$88&gt;35,BD3+BC4-BL3,IF(A4&lt;'Données projet'!$A$88,$BA$205^A4,IF(A4='Données projet'!$A$88,'Données projet'!$B$88,BD3+BC4-BL3)))</f>
        <v>1.274560627319262</v>
      </c>
      <c r="BE4" s="13">
        <f>BD4*VLOOKUP('Données projet'!$B$11,Paramètres!$A$1:$I$89,3,0)*VLOOKUP('Données projet'!$B$11,Paramètres!$A$1:$I$89,5,0)</f>
        <v>0.61306366174056504</v>
      </c>
      <c r="BF4" s="13">
        <f>EXP(-1.0587+0.8836*LN(BE4)+0.284)</f>
        <v>0.29908318081263607</v>
      </c>
      <c r="BG4" s="20">
        <f t="shared" ref="BG4:BG67" si="7">(BE4+BF4)*0.475*44/12</f>
        <v>1.5886557507801584</v>
      </c>
      <c r="BH4" s="59">
        <f t="shared" ref="BH4:BH67" si="8">BG4+(AY4+AZ4)*44/12</f>
        <v>294.92198908411348</v>
      </c>
      <c r="BI4" s="59">
        <f ca="1">AVERAGE(OFFSET($BH$3,0,0,'Données projet'!$E$11+1,1))-AVERAGE(OFFSET($H$3,0,0,'Données projet'!$E$11+1,1))</f>
        <v>364.67510777943329</v>
      </c>
      <c r="BJ4" s="59">
        <f>$BJ$3</f>
        <v>352.13878061387169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252.98248842635206</v>
      </c>
      <c r="CE4" s="59">
        <f>$CE$3</f>
        <v>207.11938580878308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1.2820888539868154</v>
      </c>
      <c r="CU4" s="17">
        <f>CT4*VLOOKUP('Données projet'!$B$13,Paramètres!$A$1:$I$89,3,0)*VLOOKUP('Données projet'!$B$13,Paramètres!$A$1:$I$89,5,0)</f>
        <v>0.71668766937862982</v>
      </c>
      <c r="CV4" s="13">
        <f>EXP(-1.0587+0.8836*LN(CU4)+0.284)</f>
        <v>0.3433377788328647</v>
      </c>
      <c r="CW4" s="20">
        <f t="shared" ref="CW4:CW67" si="13">(CU4+CV4)*0.475*44/12</f>
        <v>1.8462109889683529</v>
      </c>
      <c r="CX4" s="59">
        <f t="shared" ref="CX4:CX67" si="14">CW4+(CO4+CP4)*44/12</f>
        <v>295.17954432230169</v>
      </c>
      <c r="CY4" s="59">
        <f ca="1">AVERAGE(OFFSET($CX$3,0,0,'Données projet'!$E$13+1,1))-AVERAGE(OFFSET($H$3,0,0,'Données projet'!$E$13+1,1))</f>
        <v>356.67698551373468</v>
      </c>
      <c r="CZ4" s="59">
        <f>$CZ$3</f>
        <v>353.21836615408171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4.55</v>
      </c>
      <c r="DO4" s="12">
        <f>IF('Données projet'!$A$166&gt;35,DO3+DN4-DW3,IF(A4&lt;'Données projet'!$A$166,$DL$205^A4,IF(A4='Données projet'!$A$166,'Données projet'!$B$166,DO3+DN4-DW3)))</f>
        <v>1.2530028811664373</v>
      </c>
      <c r="DP4" s="17">
        <f>DO4*VLOOKUP('Données projet'!$B$14,Paramètres!$A$1:$I$89,3,0)*VLOOKUP('Données projet'!$B$14,Paramètres!$A$1:$I$89,5,0)</f>
        <v>0.74929572293752955</v>
      </c>
      <c r="DQ4" s="13">
        <f>EXP(-1.0587+0.8836*LN(DP4)+0.284)</f>
        <v>0.35710479340754359</v>
      </c>
      <c r="DR4" s="20">
        <f t="shared" ref="DR4:DR67" si="16">(DP4+DQ4)*0.475*44/12</f>
        <v>1.9269808993010022</v>
      </c>
      <c r="DS4" s="59">
        <f t="shared" ref="DS4:DS67" si="17">DR4+(DJ4+DK4)*44/12</f>
        <v>295.2603142326343</v>
      </c>
      <c r="DT4" s="59">
        <f ca="1">AVERAGE(OFFSET($DS$3,0,0,'Données projet'!$E$14+1,1))-AVERAGE(OFFSET($H$3,0,0,'Données projet'!$E$14+1,1))</f>
        <v>247.30892363953825</v>
      </c>
      <c r="DU4" s="59">
        <f>$DU$3</f>
        <v>248.38414731596578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4.55</v>
      </c>
      <c r="EJ4" s="12">
        <f>IF('Données projet'!$A$192&gt;35,EJ3+EI4-ER3,IF(A4&lt;'Données projet'!$A$192,$EG$205^A4,IF(A4='Données projet'!$A$192,'Données projet'!$B$192,EJ3+EI4-ER3)))</f>
        <v>1.2530028811664373</v>
      </c>
      <c r="EK4" s="17">
        <f>EJ4*VLOOKUP('Données projet'!$B$15,Paramètres!$A$1:$I$89,3,0)*VLOOKUP('Données projet'!$B$15,Paramètres!$A$1:$I$89,5,0)</f>
        <v>0.74929572293752955</v>
      </c>
      <c r="EL4" s="13">
        <f>EXP(-1.0587+0.8836*LN(EK4)+0.284)</f>
        <v>0.35710479340754359</v>
      </c>
      <c r="EM4" s="20">
        <f t="shared" ref="EM4:EM67" si="19">(EK4+EL4)*0.475*44/12</f>
        <v>1.9269808993010022</v>
      </c>
      <c r="EN4" s="59">
        <f t="shared" ref="EN4:EN67" si="20">EM4+(EE4+EF4)*44/12</f>
        <v>295.2603142326343</v>
      </c>
      <c r="EO4" s="59">
        <f ca="1">AVERAGE(OFFSET($EN$3,0,0,'Données projet'!$E$15+1,1))-AVERAGE(OFFSET($H$3,0,0,'Données projet'!$E$15+1,1))</f>
        <v>247.30892363953825</v>
      </c>
      <c r="EP4" s="59">
        <f>$EP$3</f>
        <v>248.38414731596578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4.8</v>
      </c>
      <c r="FE4" s="12">
        <f>IF('Données projet'!$A$218&gt;35,FE3+FD4-FM3,IF(A4&lt;'Données projet'!$A$218,$FB$205^A4,IF(A4='Données projet'!$A$218,'Données projet'!$B$218,FE3+FD4-FM3)))</f>
        <v>1.2563584400948855</v>
      </c>
      <c r="FF4" s="17">
        <f>FE4*VLOOKUP('Données projet'!$B$16,Paramètres!$A$1:$I$89,3,0)*VLOOKUP('Données projet'!$B$16,Paramètres!$A$1:$I$89,5,0)</f>
        <v>0.60430840968563992</v>
      </c>
      <c r="FG4" s="13">
        <f>EXP(-1.0587+0.8836*LN(FF4)+0.284)</f>
        <v>0.29530594996755061</v>
      </c>
      <c r="FH4" s="20">
        <f t="shared" ref="FH4:FH67" si="22">(FF4+FG4)*0.475*44/12</f>
        <v>1.56682834306264</v>
      </c>
      <c r="FI4" s="59">
        <f t="shared" ref="FI4:FI67" si="23">FH4+(EZ4+FA4)*44/12</f>
        <v>294.90016167639595</v>
      </c>
      <c r="FJ4" s="59">
        <f ca="1">AVERAGE(OFFSET($FI$3,0,0,'Données projet'!$E$16+1,1))-AVERAGE(OFFSET($H$3,0,0,'Données projet'!$E$16+1,1))</f>
        <v>322.54393676667081</v>
      </c>
      <c r="FK4" s="59">
        <f>$FK$3</f>
        <v>296.73904998640018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</v>
      </c>
      <c r="N5" s="13">
        <f>IF('Données projet'!$A$36&gt;35,N4+M5-V4,IF(A5&lt;'Données projet'!$A$36,$K$205^A5,IF(A5='Données projet'!$A$36,'Données projet'!$B$36,N4+M5-V4)))</f>
        <v>1.82056420302608</v>
      </c>
      <c r="O5" s="13">
        <f>N5*VLOOKUP('Données projet'!$B$9,Paramètres!$A$1:$I$89,3,0)*VLOOKUP('Données projet'!$B$9,Paramètres!$A$1:$I$89,5,0)</f>
        <v>1.0176953894915788</v>
      </c>
      <c r="P5" s="13">
        <f t="shared" ref="P5:P68" si="33">EXP(-1.0587+0.8836*LN(O5)+0.284)</f>
        <v>0.46804020312241645</v>
      </c>
      <c r="Q5" s="20">
        <f t="shared" si="2"/>
        <v>2.5876561571360415</v>
      </c>
      <c r="R5" s="59">
        <f t="shared" si="0"/>
        <v>295.92098949046937</v>
      </c>
      <c r="S5" s="59">
        <f ca="1">AVERAGE(OFFSET($R$3,0,0,'Données projet'!$E$9+1,1))-AVERAGE(OFFSET($H$3,0,0,'Données projet'!$E$9+1,1))</f>
        <v>401.06118089678654</v>
      </c>
      <c r="T5" s="59">
        <f t="shared" ref="T5:T68" si="34">$T$3</f>
        <v>399.58193819355591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</v>
      </c>
      <c r="AI5" s="13">
        <f>IF('Données projet'!$A$62&gt;35,AI4+AH5-AQ4,IF(A5&lt;'Données projet'!$A$62,$AF$205^A5,IF(A5='Données projet'!$A$62,'Données projet'!$B$62,AI4+AH5-AQ4)))</f>
        <v>1.6113437568139084</v>
      </c>
      <c r="AJ5" s="13">
        <f>AI5*VLOOKUP('Données projet'!$B$10,Paramètres!$A$1:$I$89,3,0)*VLOOKUP('Données projet'!$B$10,Paramètres!$A$1:$I$89,5,0)</f>
        <v>1.0054785042518788</v>
      </c>
      <c r="AK5" s="13">
        <f t="shared" ref="AK5:AK68" si="35">EXP(-1.0587+0.8836*LN(AJ5)+0.284)</f>
        <v>0.46307214995521828</v>
      </c>
      <c r="AL5" s="20">
        <f t="shared" si="4"/>
        <v>2.5577257227440273</v>
      </c>
      <c r="AM5" s="59">
        <f t="shared" si="5"/>
        <v>295.89105905607732</v>
      </c>
      <c r="AN5" s="59">
        <f ca="1">AVERAGE(OFFSET($AM$3,0,0,'Données projet'!$E$10+1,1))-AVERAGE(OFFSET($H$3,0,0,'Données projet'!$E$10+1,1))</f>
        <v>240.30073883588199</v>
      </c>
      <c r="AO5" s="59">
        <f t="shared" ref="AO5:AO68" si="36">$AO$3</f>
        <v>263.20351282678843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6.4</v>
      </c>
      <c r="BD5" s="12">
        <f>IF('Données projet'!$A$88&gt;35,BD4+BC5-BL4,IF(A5&lt;'Données projet'!$A$88,$BA$205^A5,IF(A5='Données projet'!$A$88,'Données projet'!$B$88,BD4+BC5-BL4)))</f>
        <v>1.6245047927124707</v>
      </c>
      <c r="BE5" s="13">
        <f>BD5*VLOOKUP('Données projet'!$B$11,Paramètres!$A$1:$I$89,3,0)*VLOOKUP('Données projet'!$B$11,Paramètres!$A$1:$I$89,5,0)</f>
        <v>0.78138680529469839</v>
      </c>
      <c r="BF5" s="13">
        <f t="shared" ref="BF5:BF68" si="37">EXP(-1.0587+0.8836*LN(BE5)+0.284)</f>
        <v>0.37058558935377844</v>
      </c>
      <c r="BG5" s="20">
        <f t="shared" si="7"/>
        <v>2.0063519206794305</v>
      </c>
      <c r="BH5" s="59">
        <f t="shared" si="8"/>
        <v>295.33968525401275</v>
      </c>
      <c r="BI5" s="59">
        <f ca="1">AVERAGE(OFFSET($BH$3,0,0,'Données projet'!$E$11+1,1))-AVERAGE(OFFSET($H$3,0,0,'Données projet'!$E$11+1,1))</f>
        <v>364.67510777943329</v>
      </c>
      <c r="BJ5" s="59">
        <f t="shared" ref="BJ5:BJ68" si="38">$BJ$3</f>
        <v>352.13878061387169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252.98248842635206</v>
      </c>
      <c r="CE5" s="59">
        <f t="shared" ref="CE5:CE68" si="40">$CE$3</f>
        <v>207.11938580878308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1.6437518295172255</v>
      </c>
      <c r="CU5" s="17">
        <f>CT5*VLOOKUP('Données projet'!$B$13,Paramètres!$A$1:$I$89,3,0)*VLOOKUP('Données projet'!$B$13,Paramètres!$A$1:$I$89,5,0)</f>
        <v>0.91885727270012907</v>
      </c>
      <c r="CV5" s="13">
        <f t="shared" ref="CV5:CV68" si="41">EXP(-1.0587+0.8836*LN(CU5)+0.284)</f>
        <v>0.4276397314244611</v>
      </c>
      <c r="CW5" s="20">
        <f t="shared" si="13"/>
        <v>2.3451489488503281</v>
      </c>
      <c r="CX5" s="59">
        <f t="shared" si="14"/>
        <v>295.67848228218367</v>
      </c>
      <c r="CY5" s="59">
        <f ca="1">AVERAGE(OFFSET($CX$3,0,0,'Données projet'!$E$13+1,1))-AVERAGE(OFFSET($H$3,0,0,'Données projet'!$E$13+1,1))</f>
        <v>356.67698551373468</v>
      </c>
      <c r="CZ5" s="59">
        <f t="shared" ref="CZ5:CZ68" si="42">$CZ$3</f>
        <v>353.21836615408171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4.55</v>
      </c>
      <c r="DO5" s="12">
        <f>IF('Données projet'!$A$166&gt;35,DO4+DN5-DW4,IF(A5&lt;'Données projet'!$A$166,$DL$205^A5,IF(A5='Données projet'!$A$166,'Données projet'!$B$166,DO4+DN5-DW4)))</f>
        <v>1.570016220211393</v>
      </c>
      <c r="DP5" s="17">
        <f>DO5*VLOOKUP('Données projet'!$B$14,Paramètres!$A$1:$I$89,3,0)*VLOOKUP('Données projet'!$B$14,Paramètres!$A$1:$I$89,5,0)</f>
        <v>0.9388696996864131</v>
      </c>
      <c r="DQ5" s="13">
        <f t="shared" ref="DQ5:DQ68" si="43">EXP(-1.0587+0.8836*LN(DP5)+0.284)</f>
        <v>0.43585911075604999</v>
      </c>
      <c r="DR5" s="20">
        <f t="shared" si="16"/>
        <v>2.3943193448539568</v>
      </c>
      <c r="DS5" s="59">
        <f t="shared" si="17"/>
        <v>295.72765267818727</v>
      </c>
      <c r="DT5" s="59">
        <f ca="1">AVERAGE(OFFSET($DS$3,0,0,'Données projet'!$E$14+1,1))-AVERAGE(OFFSET($H$3,0,0,'Données projet'!$E$14+1,1))</f>
        <v>247.30892363953825</v>
      </c>
      <c r="DU5" s="59">
        <f t="shared" ref="DU5:DU68" si="44">$DU$3</f>
        <v>248.38414731596578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4.55</v>
      </c>
      <c r="EJ5" s="12">
        <f>IF('Données projet'!$A$192&gt;35,EJ4+EI5-ER4,IF(A5&lt;'Données projet'!$A$192,$EG$205^A5,IF(A5='Données projet'!$A$192,'Données projet'!$B$192,EJ4+EI5-ER4)))</f>
        <v>1.570016220211393</v>
      </c>
      <c r="EK5" s="17">
        <f>EJ5*VLOOKUP('Données projet'!$B$15,Paramètres!$A$1:$I$89,3,0)*VLOOKUP('Données projet'!$B$15,Paramètres!$A$1:$I$89,5,0)</f>
        <v>0.9388696996864131</v>
      </c>
      <c r="EL5" s="13">
        <f t="shared" ref="EL5:EL68" si="45">EXP(-1.0587+0.8836*LN(EK5)+0.284)</f>
        <v>0.43585911075604999</v>
      </c>
      <c r="EM5" s="20">
        <f t="shared" si="19"/>
        <v>2.3943193448539568</v>
      </c>
      <c r="EN5" s="59">
        <f t="shared" si="20"/>
        <v>295.72765267818727</v>
      </c>
      <c r="EO5" s="59">
        <f ca="1">AVERAGE(OFFSET($EN$3,0,0,'Données projet'!$E$15+1,1))-AVERAGE(OFFSET($H$3,0,0,'Données projet'!$E$15+1,1))</f>
        <v>247.30892363953825</v>
      </c>
      <c r="EP5" s="59">
        <f t="shared" ref="EP5:EP68" si="46">$EP$3</f>
        <v>248.38414731596578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4.8</v>
      </c>
      <c r="FE5" s="12">
        <f>IF('Données projet'!$A$218&gt;35,FE4+FD5-FM4,IF(A5&lt;'Données projet'!$A$218,$FB$205^A5,IF(A5='Données projet'!$A$218,'Données projet'!$B$218,FE4+FD5-FM4)))</f>
        <v>1.5784365299976539</v>
      </c>
      <c r="FF5" s="17">
        <f>FE5*VLOOKUP('Données projet'!$B$16,Paramètres!$A$1:$I$89,3,0)*VLOOKUP('Données projet'!$B$16,Paramètres!$A$1:$I$89,5,0)</f>
        <v>0.75922797092887162</v>
      </c>
      <c r="FG5" s="13">
        <f t="shared" ref="FG5:FG68" si="47">EXP(-1.0587+0.8836*LN(FF5)+0.284)</f>
        <v>0.3612841762676729</v>
      </c>
      <c r="FH5" s="20">
        <f t="shared" si="22"/>
        <v>1.9515586563673146</v>
      </c>
      <c r="FI5" s="59">
        <f t="shared" si="23"/>
        <v>295.28489198970061</v>
      </c>
      <c r="FJ5" s="59">
        <f ca="1">AVERAGE(OFFSET($FI$3,0,0,'Données projet'!$E$16+1,1))-AVERAGE(OFFSET($H$3,0,0,'Données projet'!$E$16+1,1))</f>
        <v>322.54393676667081</v>
      </c>
      <c r="FK5" s="59">
        <f t="shared" ref="FK5:FK68" si="48">$FK$3</f>
        <v>296.73904998640018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</v>
      </c>
      <c r="N6" s="13">
        <f>IF('Données projet'!$A$36&gt;35,N5+M6-V5,IF(A6&lt;'Données projet'!$A$36,$K$205^A6,IF(A6='Données projet'!$A$36,'Données projet'!$B$36,N5+M6-V5)))</f>
        <v>2.4564560522315801</v>
      </c>
      <c r="O6" s="13">
        <f>N6*VLOOKUP('Données projet'!$B$9,Paramètres!$A$1:$I$89,3,0)*VLOOKUP('Données projet'!$B$9,Paramètres!$A$1:$I$89,5,0)</f>
        <v>1.3731589331974534</v>
      </c>
      <c r="P6" s="13">
        <f t="shared" si="33"/>
        <v>0.60987687957120462</v>
      </c>
      <c r="Q6" s="20">
        <f t="shared" si="2"/>
        <v>3.453787373905413</v>
      </c>
      <c r="R6" s="59">
        <f t="shared" si="0"/>
        <v>296.78712070723873</v>
      </c>
      <c r="S6" s="59">
        <f ca="1">AVERAGE(OFFSET($R$3,0,0,'Données projet'!$E$9+1,1))-AVERAGE(OFFSET($H$3,0,0,'Données projet'!$E$9+1,1))</f>
        <v>401.06118089678654</v>
      </c>
      <c r="T6" s="59">
        <f t="shared" si="34"/>
        <v>399.58193819355591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</v>
      </c>
      <c r="AI6" s="13">
        <f>IF('Données projet'!$A$62&gt;35,AI5+AH6-AQ5,IF(A6&lt;'Données projet'!$A$62,$AF$205^A6,IF(A6='Données projet'!$A$62,'Données projet'!$B$62,AI5+AH6-AQ5)))</f>
        <v>2.0454190719713807</v>
      </c>
      <c r="AJ6" s="13">
        <f>AI6*VLOOKUP('Données projet'!$B$10,Paramètres!$A$1:$I$89,3,0)*VLOOKUP('Données projet'!$B$10,Paramètres!$A$1:$I$89,5,0)</f>
        <v>1.2763415009101415</v>
      </c>
      <c r="AK6" s="13">
        <f t="shared" si="35"/>
        <v>0.57172134871794966</v>
      </c>
      <c r="AL6" s="20">
        <f t="shared" si="4"/>
        <v>3.2187094631022588</v>
      </c>
      <c r="AM6" s="59">
        <f t="shared" si="5"/>
        <v>296.55204279643556</v>
      </c>
      <c r="AN6" s="59">
        <f ca="1">AVERAGE(OFFSET($AM$3,0,0,'Données projet'!$E$10+1,1))-AVERAGE(OFFSET($H$3,0,0,'Données projet'!$E$10+1,1))</f>
        <v>240.30073883588199</v>
      </c>
      <c r="AO6" s="59">
        <f t="shared" si="36"/>
        <v>263.20351282678843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6.4</v>
      </c>
      <c r="BD6" s="12">
        <f>IF('Données projet'!$A$88&gt;35,BD5+BC6-BL5,IF(A6&lt;'Données projet'!$A$88,$BA$205^A6,IF(A6='Données projet'!$A$88,'Données projet'!$B$88,BD5+BC6-BL5)))</f>
        <v>2.0705298476827543</v>
      </c>
      <c r="BE6" s="13">
        <f>BD6*VLOOKUP('Données projet'!$B$11,Paramètres!$A$1:$I$89,3,0)*VLOOKUP('Données projet'!$B$11,Paramètres!$A$1:$I$89,5,0)</f>
        <v>0.99592485673540487</v>
      </c>
      <c r="BF6" s="13">
        <f t="shared" si="37"/>
        <v>0.45918222035602019</v>
      </c>
      <c r="BG6" s="20">
        <f t="shared" si="7"/>
        <v>2.5343114926008989</v>
      </c>
      <c r="BH6" s="59">
        <f t="shared" si="8"/>
        <v>295.86764482593424</v>
      </c>
      <c r="BI6" s="59">
        <f ca="1">AVERAGE(OFFSET($BH$3,0,0,'Données projet'!$E$11+1,1))-AVERAGE(OFFSET($H$3,0,0,'Données projet'!$E$11+1,1))</f>
        <v>364.67510777943329</v>
      </c>
      <c r="BJ6" s="59">
        <f t="shared" si="38"/>
        <v>352.13878061387169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252.98248842635206</v>
      </c>
      <c r="CE6" s="59">
        <f t="shared" si="40"/>
        <v>207.11938580878308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2.1074358993444706</v>
      </c>
      <c r="CU6" s="17">
        <f>CT6*VLOOKUP('Données projet'!$B$13,Paramètres!$A$1:$I$89,3,0)*VLOOKUP('Données projet'!$B$13,Paramètres!$A$1:$I$89,5,0)</f>
        <v>1.1780566677335591</v>
      </c>
      <c r="CV6" s="13">
        <f t="shared" si="41"/>
        <v>0.532640889430954</v>
      </c>
      <c r="CW6" s="20">
        <f t="shared" si="13"/>
        <v>2.9794649120615269</v>
      </c>
      <c r="CX6" s="59">
        <f t="shared" si="14"/>
        <v>296.31279824539484</v>
      </c>
      <c r="CY6" s="59">
        <f ca="1">AVERAGE(OFFSET($CX$3,0,0,'Données projet'!$E$13+1,1))-AVERAGE(OFFSET($H$3,0,0,'Données projet'!$E$13+1,1))</f>
        <v>356.67698551373468</v>
      </c>
      <c r="CZ6" s="59">
        <f t="shared" si="42"/>
        <v>353.21836615408171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4.55</v>
      </c>
      <c r="DO6" s="12">
        <f>IF('Données projet'!$A$166&gt;35,DO5+DN6-DW5,IF(A6&lt;'Données projet'!$A$166,$DL$205^A6,IF(A6='Données projet'!$A$166,'Données projet'!$B$166,DO5+DN6-DW5)))</f>
        <v>1.9672348474029151</v>
      </c>
      <c r="DP6" s="17">
        <f>DO6*VLOOKUP('Données projet'!$B$14,Paramètres!$A$1:$I$89,3,0)*VLOOKUP('Données projet'!$B$14,Paramètres!$A$1:$I$89,5,0)</f>
        <v>1.1764064387469433</v>
      </c>
      <c r="DQ6" s="13">
        <f t="shared" si="43"/>
        <v>0.53198155817597481</v>
      </c>
      <c r="DR6" s="20">
        <f t="shared" si="16"/>
        <v>2.9754424279740825</v>
      </c>
      <c r="DS6" s="59">
        <f t="shared" si="17"/>
        <v>296.3087757613074</v>
      </c>
      <c r="DT6" s="59">
        <f ca="1">AVERAGE(OFFSET($DS$3,0,0,'Données projet'!$E$14+1,1))-AVERAGE(OFFSET($H$3,0,0,'Données projet'!$E$14+1,1))</f>
        <v>247.30892363953825</v>
      </c>
      <c r="DU6" s="59">
        <f t="shared" si="44"/>
        <v>248.38414731596578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4.55</v>
      </c>
      <c r="EJ6" s="12">
        <f>IF('Données projet'!$A$192&gt;35,EJ5+EI6-ER5,IF(A6&lt;'Données projet'!$A$192,$EG$205^A6,IF(A6='Données projet'!$A$192,'Données projet'!$B$192,EJ5+EI6-ER5)))</f>
        <v>1.9672348474029151</v>
      </c>
      <c r="EK6" s="17">
        <f>EJ6*VLOOKUP('Données projet'!$B$15,Paramètres!$A$1:$I$89,3,0)*VLOOKUP('Données projet'!$B$15,Paramètres!$A$1:$I$89,5,0)</f>
        <v>1.1764064387469433</v>
      </c>
      <c r="EL6" s="13">
        <f t="shared" si="45"/>
        <v>0.53198155817597481</v>
      </c>
      <c r="EM6" s="20">
        <f t="shared" si="19"/>
        <v>2.9754424279740825</v>
      </c>
      <c r="EN6" s="59">
        <f t="shared" si="20"/>
        <v>296.3087757613074</v>
      </c>
      <c r="EO6" s="59">
        <f ca="1">AVERAGE(OFFSET($EN$3,0,0,'Données projet'!$E$15+1,1))-AVERAGE(OFFSET($H$3,0,0,'Données projet'!$E$15+1,1))</f>
        <v>247.30892363953825</v>
      </c>
      <c r="EP6" s="59">
        <f t="shared" si="46"/>
        <v>248.38414731596578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4.8</v>
      </c>
      <c r="FE6" s="12">
        <f>IF('Données projet'!$A$218&gt;35,FE5+FD6-FM5,IF(A6&lt;'Données projet'!$A$218,$FB$205^A6,IF(A6='Données projet'!$A$218,'Données projet'!$B$218,FE5+FD6-FM5)))</f>
        <v>1.9830820566166365</v>
      </c>
      <c r="FF6" s="17">
        <f>FE6*VLOOKUP('Données projet'!$B$16,Paramètres!$A$1:$I$89,3,0)*VLOOKUP('Données projet'!$B$16,Paramètres!$A$1:$I$89,5,0)</f>
        <v>0.95386246923260221</v>
      </c>
      <c r="FG6" s="13">
        <f t="shared" si="47"/>
        <v>0.44200347482248059</v>
      </c>
      <c r="FH6" s="20">
        <f t="shared" si="22"/>
        <v>2.4311331858959355</v>
      </c>
      <c r="FI6" s="59">
        <f t="shared" si="23"/>
        <v>295.76446651922925</v>
      </c>
      <c r="FJ6" s="59">
        <f ca="1">AVERAGE(OFFSET($FI$3,0,0,'Données projet'!$E$16+1,1))-AVERAGE(OFFSET($H$3,0,0,'Données projet'!$E$16+1,1))</f>
        <v>322.54393676667081</v>
      </c>
      <c r="FK6" s="59">
        <f t="shared" si="48"/>
        <v>296.73904998640018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</v>
      </c>
      <c r="N7" s="13">
        <f>IF('Données projet'!$A$36&gt;35,N6+M7-V6,IF(A7&lt;'Données projet'!$A$36,$K$205^A7,IF(A7='Données projet'!$A$36,'Données projet'!$B$36,N6+M7-V6)))</f>
        <v>3.3144540173399859</v>
      </c>
      <c r="O7" s="13">
        <f>N7*VLOOKUP('Données projet'!$B$9,Paramètres!$A$1:$I$89,3,0)*VLOOKUP('Données projet'!$B$9,Paramètres!$A$1:$I$89,5,0)</f>
        <v>1.8527797956930523</v>
      </c>
      <c r="P7" s="13">
        <f t="shared" si="33"/>
        <v>0.79469627983693913</v>
      </c>
      <c r="Q7" s="20">
        <f t="shared" si="2"/>
        <v>4.6110208315480676</v>
      </c>
      <c r="R7" s="59">
        <f t="shared" si="0"/>
        <v>297.94435416488136</v>
      </c>
      <c r="S7" s="59">
        <f ca="1">AVERAGE(OFFSET($R$3,0,0,'Données projet'!$E$9+1,1))-AVERAGE(OFFSET($H$3,0,0,'Données projet'!$E$9+1,1))</f>
        <v>401.06118089678654</v>
      </c>
      <c r="T7" s="59">
        <f t="shared" si="34"/>
        <v>399.58193819355591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</v>
      </c>
      <c r="AI7" s="13">
        <f>IF('Données projet'!$A$62&gt;35,AI6+AH7-AQ6,IF(A7&lt;'Données projet'!$A$62,$AF$205^A7,IF(A7='Données projet'!$A$62,'Données projet'!$B$62,AI6+AH7-AQ6)))</f>
        <v>2.5964287026231601</v>
      </c>
      <c r="AJ7" s="13">
        <f>AI7*VLOOKUP('Données projet'!$B$10,Paramètres!$A$1:$I$89,3,0)*VLOOKUP('Données projet'!$B$10,Paramètres!$A$1:$I$89,5,0)</f>
        <v>1.6201715104368517</v>
      </c>
      <c r="AK7" s="13">
        <f t="shared" si="35"/>
        <v>0.70586257586745638</v>
      </c>
      <c r="AL7" s="20">
        <f t="shared" si="4"/>
        <v>4.0511760336466702</v>
      </c>
      <c r="AM7" s="59">
        <f t="shared" si="5"/>
        <v>297.38450936698001</v>
      </c>
      <c r="AN7" s="59">
        <f ca="1">AVERAGE(OFFSET($AM$3,0,0,'Données projet'!$E$10+1,1))-AVERAGE(OFFSET($H$3,0,0,'Données projet'!$E$10+1,1))</f>
        <v>240.30073883588199</v>
      </c>
      <c r="AO7" s="59">
        <f t="shared" si="36"/>
        <v>263.20351282678843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6.4</v>
      </c>
      <c r="BD7" s="12">
        <f>IF('Données projet'!$A$88&gt;35,BD6+BC7-BL6,IF(A7&lt;'Données projet'!$A$88,$BA$205^A7,IF(A7='Données projet'!$A$88,'Données projet'!$B$88,BD6+BC7-BL6)))</f>
        <v>2.6390158215457875</v>
      </c>
      <c r="BE7" s="13">
        <f>BD7*VLOOKUP('Données projet'!$B$11,Paramètres!$A$1:$I$89,3,0)*VLOOKUP('Données projet'!$B$11,Paramètres!$A$1:$I$89,5,0)</f>
        <v>1.2693666101635237</v>
      </c>
      <c r="BF7" s="13">
        <f t="shared" si="37"/>
        <v>0.56895982344796192</v>
      </c>
      <c r="BG7" s="20">
        <f t="shared" si="7"/>
        <v>3.2017518718733378</v>
      </c>
      <c r="BH7" s="59">
        <f t="shared" si="8"/>
        <v>296.53508520520666</v>
      </c>
      <c r="BI7" s="59">
        <f ca="1">AVERAGE(OFFSET($BH$3,0,0,'Données projet'!$E$11+1,1))-AVERAGE(OFFSET($H$3,0,0,'Données projet'!$E$11+1,1))</f>
        <v>364.67510777943329</v>
      </c>
      <c r="BJ7" s="59">
        <f t="shared" si="38"/>
        <v>352.13878061387169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252.98248842635206</v>
      </c>
      <c r="CE7" s="59">
        <f t="shared" si="40"/>
        <v>207.11938580878308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2.7019200770412262</v>
      </c>
      <c r="CU7" s="17">
        <f>CT7*VLOOKUP('Données projet'!$B$13,Paramètres!$A$1:$I$89,3,0)*VLOOKUP('Données projet'!$B$13,Paramètres!$A$1:$I$89,5,0)</f>
        <v>1.5103733230660454</v>
      </c>
      <c r="CV7" s="13">
        <f t="shared" si="41"/>
        <v>0.66342366306511447</v>
      </c>
      <c r="CW7" s="20">
        <f t="shared" si="13"/>
        <v>3.786029750845104</v>
      </c>
      <c r="CX7" s="59">
        <f t="shared" si="14"/>
        <v>297.11936308417842</v>
      </c>
      <c r="CY7" s="59">
        <f ca="1">AVERAGE(OFFSET($CX$3,0,0,'Données projet'!$E$13+1,1))-AVERAGE(OFFSET($H$3,0,0,'Données projet'!$E$13+1,1))</f>
        <v>356.67698551373468</v>
      </c>
      <c r="CZ7" s="59">
        <f t="shared" si="42"/>
        <v>353.21836615408171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4.55</v>
      </c>
      <c r="DO7" s="12">
        <f>IF('Données projet'!$A$166&gt;35,DO6+DN7-DW6,IF(A7&lt;'Données projet'!$A$166,$DL$205^A7,IF(A7='Données projet'!$A$166,'Données projet'!$B$166,DO6+DN7-DW6)))</f>
        <v>2.4649509317268694</v>
      </c>
      <c r="DP7" s="17">
        <f>DO7*VLOOKUP('Données projet'!$B$14,Paramètres!$A$1:$I$89,3,0)*VLOOKUP('Données projet'!$B$14,Paramètres!$A$1:$I$89,5,0)</f>
        <v>1.4740406571726681</v>
      </c>
      <c r="DQ7" s="13">
        <f t="shared" si="43"/>
        <v>0.64930242653052039</v>
      </c>
      <c r="DR7" s="20">
        <f t="shared" si="16"/>
        <v>3.6981558707830531</v>
      </c>
      <c r="DS7" s="59">
        <f t="shared" si="17"/>
        <v>297.03148920411638</v>
      </c>
      <c r="DT7" s="59">
        <f ca="1">AVERAGE(OFFSET($DS$3,0,0,'Données projet'!$E$14+1,1))-AVERAGE(OFFSET($H$3,0,0,'Données projet'!$E$14+1,1))</f>
        <v>247.30892363953825</v>
      </c>
      <c r="DU7" s="59">
        <f t="shared" si="44"/>
        <v>248.38414731596578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4.55</v>
      </c>
      <c r="EJ7" s="12">
        <f>IF('Données projet'!$A$192&gt;35,EJ6+EI7-ER6,IF(A7&lt;'Données projet'!$A$192,$EG$205^A7,IF(A7='Données projet'!$A$192,'Données projet'!$B$192,EJ6+EI7-ER6)))</f>
        <v>2.4649509317268694</v>
      </c>
      <c r="EK7" s="17">
        <f>EJ7*VLOOKUP('Données projet'!$B$15,Paramètres!$A$1:$I$89,3,0)*VLOOKUP('Données projet'!$B$15,Paramètres!$A$1:$I$89,5,0)</f>
        <v>1.4740406571726681</v>
      </c>
      <c r="EL7" s="13">
        <f t="shared" si="45"/>
        <v>0.64930242653052039</v>
      </c>
      <c r="EM7" s="20">
        <f t="shared" si="19"/>
        <v>3.6981558707830531</v>
      </c>
      <c r="EN7" s="59">
        <f t="shared" si="20"/>
        <v>297.03148920411638</v>
      </c>
      <c r="EO7" s="59">
        <f ca="1">AVERAGE(OFFSET($EN$3,0,0,'Données projet'!$E$15+1,1))-AVERAGE(OFFSET($H$3,0,0,'Données projet'!$E$15+1,1))</f>
        <v>247.30892363953825</v>
      </c>
      <c r="EP7" s="59">
        <f t="shared" si="46"/>
        <v>248.38414731596578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4.8</v>
      </c>
      <c r="FE7" s="12">
        <f>IF('Données projet'!$A$218&gt;35,FE6+FD7-FM6,IF(A7&lt;'Données projet'!$A$218,$FB$205^A7,IF(A7='Données projet'!$A$218,'Données projet'!$B$218,FE6+FD7-FM6)))</f>
        <v>2.4914618792310348</v>
      </c>
      <c r="FF7" s="17">
        <f>FE7*VLOOKUP('Données projet'!$B$16,Paramètres!$A$1:$I$89,3,0)*VLOOKUP('Données projet'!$B$16,Paramètres!$A$1:$I$89,5,0)</f>
        <v>1.1983931639101277</v>
      </c>
      <c r="FG7" s="13">
        <f t="shared" si="47"/>
        <v>0.54075734446338186</v>
      </c>
      <c r="FH7" s="20">
        <f t="shared" si="22"/>
        <v>3.0290204687505287</v>
      </c>
      <c r="FI7" s="59">
        <f t="shared" si="23"/>
        <v>296.36235380208382</v>
      </c>
      <c r="FJ7" s="59">
        <f ca="1">AVERAGE(OFFSET($FI$3,0,0,'Données projet'!$E$16+1,1))-AVERAGE(OFFSET($H$3,0,0,'Données projet'!$E$16+1,1))</f>
        <v>322.54393676667081</v>
      </c>
      <c r="FK7" s="59">
        <f t="shared" si="48"/>
        <v>296.73904998640018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</v>
      </c>
      <c r="N8" s="13">
        <f>IF('Données projet'!$A$36&gt;35,N7+M8-V7,IF(A8&lt;'Données projet'!$A$36,$K$205^A8,IF(A8='Données projet'!$A$36,'Données projet'!$B$36,N7+M8-V7)))</f>
        <v>4.4721359549995778</v>
      </c>
      <c r="O8" s="13">
        <f>N8*VLOOKUP('Données projet'!$B$9,Paramètres!$A$1:$I$89,3,0)*VLOOKUP('Données projet'!$B$9,Paramètres!$A$1:$I$89,5,0)</f>
        <v>2.4999239988447641</v>
      </c>
      <c r="P8" s="13">
        <f t="shared" si="33"/>
        <v>1.035524051396568</v>
      </c>
      <c r="Q8" s="20">
        <f t="shared" si="2"/>
        <v>6.1575720208369864</v>
      </c>
      <c r="R8" s="59">
        <f t="shared" si="0"/>
        <v>299.49090535417031</v>
      </c>
      <c r="S8" s="59">
        <f ca="1">AVERAGE(OFFSET($R$3,0,0,'Données projet'!$E$9+1,1))-AVERAGE(OFFSET($H$3,0,0,'Données projet'!$E$9+1,1))</f>
        <v>401.06118089678654</v>
      </c>
      <c r="T8" s="59">
        <f t="shared" si="34"/>
        <v>399.58193819355591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</v>
      </c>
      <c r="AI8" s="13">
        <f>IF('Données projet'!$A$62&gt;35,AI7+AH8-AQ7,IF(A8&lt;'Données projet'!$A$62,$AF$205^A8,IF(A8='Données projet'!$A$62,'Données projet'!$B$62,AI7+AH8-AQ7)))</f>
        <v>3.2958732516891831</v>
      </c>
      <c r="AJ8" s="13">
        <f>AI8*VLOOKUP('Données projet'!$B$10,Paramètres!$A$1:$I$89,3,0)*VLOOKUP('Données projet'!$B$10,Paramètres!$A$1:$I$89,5,0)</f>
        <v>2.0566249090540505</v>
      </c>
      <c r="AK8" s="13">
        <f t="shared" si="35"/>
        <v>0.87147694786545582</v>
      </c>
      <c r="AL8" s="20">
        <f t="shared" si="4"/>
        <v>5.0997774008014733</v>
      </c>
      <c r="AM8" s="59">
        <f t="shared" si="5"/>
        <v>298.4331107341348</v>
      </c>
      <c r="AN8" s="59">
        <f ca="1">AVERAGE(OFFSET($AM$3,0,0,'Données projet'!$E$10+1,1))-AVERAGE(OFFSET($H$3,0,0,'Données projet'!$E$10+1,1))</f>
        <v>240.30073883588199</v>
      </c>
      <c r="AO8" s="59">
        <f t="shared" si="36"/>
        <v>263.20351282678843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6.4</v>
      </c>
      <c r="BD8" s="12">
        <f>IF('Données projet'!$A$88&gt;35,BD7+BC8-BL7,IF(A8&lt;'Données projet'!$A$88,$BA$205^A8,IF(A8='Données projet'!$A$88,'Données projet'!$B$88,BD7+BC8-BL7)))</f>
        <v>3.3635856610148567</v>
      </c>
      <c r="BE8" s="13">
        <f>BD8*VLOOKUP('Données projet'!$B$11,Paramètres!$A$1:$I$89,3,0)*VLOOKUP('Données projet'!$B$11,Paramètres!$A$1:$I$89,5,0)</f>
        <v>1.617884702948146</v>
      </c>
      <c r="BF8" s="13">
        <f t="shared" si="37"/>
        <v>0.70498217558804455</v>
      </c>
      <c r="BG8" s="20">
        <f t="shared" si="7"/>
        <v>4.0456598134505315</v>
      </c>
      <c r="BH8" s="59">
        <f t="shared" si="8"/>
        <v>297.37899314678384</v>
      </c>
      <c r="BI8" s="59">
        <f ca="1">AVERAGE(OFFSET($BH$3,0,0,'Données projet'!$E$11+1,1))-AVERAGE(OFFSET($H$3,0,0,'Données projet'!$E$11+1,1))</f>
        <v>364.67510777943329</v>
      </c>
      <c r="BJ8" s="59">
        <f t="shared" si="38"/>
        <v>352.13878061387169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252.98248842635206</v>
      </c>
      <c r="CE8" s="59">
        <f t="shared" si="40"/>
        <v>207.11938580878308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3.4641016151377535</v>
      </c>
      <c r="CU8" s="17">
        <f>CT8*VLOOKUP('Données projet'!$B$13,Paramètres!$A$1:$I$89,3,0)*VLOOKUP('Données projet'!$B$13,Paramètres!$A$1:$I$89,5,0)</f>
        <v>1.9364328028620041</v>
      </c>
      <c r="CV8" s="13">
        <f t="shared" si="41"/>
        <v>0.82631837969658639</v>
      </c>
      <c r="CW8" s="20">
        <f t="shared" si="13"/>
        <v>4.8117916429562113</v>
      </c>
      <c r="CX8" s="59">
        <f t="shared" si="14"/>
        <v>298.14512497628954</v>
      </c>
      <c r="CY8" s="59">
        <f ca="1">AVERAGE(OFFSET($CX$3,0,0,'Données projet'!$E$13+1,1))-AVERAGE(OFFSET($H$3,0,0,'Données projet'!$E$13+1,1))</f>
        <v>356.67698551373468</v>
      </c>
      <c r="CZ8" s="59">
        <f t="shared" si="42"/>
        <v>353.21836615408171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4.55</v>
      </c>
      <c r="DO8" s="12">
        <f>IF('Données projet'!$A$166&gt;35,DO7+DN8-DW7,IF(A8&lt;'Données projet'!$A$166,$DL$205^A8,IF(A8='Données projet'!$A$166,'Données projet'!$B$166,DO7+DN8-DW7)))</f>
        <v>3.0885906193876616</v>
      </c>
      <c r="DP8" s="17">
        <f>DO8*VLOOKUP('Données projet'!$B$14,Paramètres!$A$1:$I$89,3,0)*VLOOKUP('Données projet'!$B$14,Paramètres!$A$1:$I$89,5,0)</f>
        <v>1.8469771903938217</v>
      </c>
      <c r="DQ8" s="13">
        <f t="shared" si="43"/>
        <v>0.79249672214945899</v>
      </c>
      <c r="DR8" s="20">
        <f t="shared" si="16"/>
        <v>4.59708373101288</v>
      </c>
      <c r="DS8" s="59">
        <f t="shared" si="17"/>
        <v>297.93041706434622</v>
      </c>
      <c r="DT8" s="59">
        <f ca="1">AVERAGE(OFFSET($DS$3,0,0,'Données projet'!$E$14+1,1))-AVERAGE(OFFSET($H$3,0,0,'Données projet'!$E$14+1,1))</f>
        <v>247.30892363953825</v>
      </c>
      <c r="DU8" s="59">
        <f t="shared" si="44"/>
        <v>248.38414731596578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4.55</v>
      </c>
      <c r="EJ8" s="12">
        <f>IF('Données projet'!$A$192&gt;35,EJ7+EI8-ER7,IF(A8&lt;'Données projet'!$A$192,$EG$205^A8,IF(A8='Données projet'!$A$192,'Données projet'!$B$192,EJ7+EI8-ER7)))</f>
        <v>3.0885906193876616</v>
      </c>
      <c r="EK8" s="17">
        <f>EJ8*VLOOKUP('Données projet'!$B$15,Paramètres!$A$1:$I$89,3,0)*VLOOKUP('Données projet'!$B$15,Paramètres!$A$1:$I$89,5,0)</f>
        <v>1.8469771903938217</v>
      </c>
      <c r="EL8" s="13">
        <f t="shared" si="45"/>
        <v>0.79249672214945899</v>
      </c>
      <c r="EM8" s="20">
        <f t="shared" si="19"/>
        <v>4.59708373101288</v>
      </c>
      <c r="EN8" s="59">
        <f t="shared" si="20"/>
        <v>297.93041706434622</v>
      </c>
      <c r="EO8" s="59">
        <f ca="1">AVERAGE(OFFSET($EN$3,0,0,'Données projet'!$E$15+1,1))-AVERAGE(OFFSET($H$3,0,0,'Données projet'!$E$15+1,1))</f>
        <v>247.30892363953825</v>
      </c>
      <c r="EP8" s="59">
        <f t="shared" si="46"/>
        <v>248.38414731596578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4.8</v>
      </c>
      <c r="FE8" s="12">
        <f>IF('Données projet'!$A$218&gt;35,FE7+FD8-FM7,IF(A8&lt;'Données projet'!$A$218,$FB$205^A8,IF(A8='Données projet'!$A$218,'Données projet'!$B$218,FE7+FD8-FM7)))</f>
        <v>3.1301691601465751</v>
      </c>
      <c r="FF8" s="17">
        <f>FE8*VLOOKUP('Données projet'!$B$16,Paramètres!$A$1:$I$89,3,0)*VLOOKUP('Données projet'!$B$16,Paramètres!$A$1:$I$89,5,0)</f>
        <v>1.5056113660305028</v>
      </c>
      <c r="FG8" s="13">
        <f t="shared" si="47"/>
        <v>0.66157512835963828</v>
      </c>
      <c r="FH8" s="20">
        <f t="shared" si="22"/>
        <v>3.7745164777294953</v>
      </c>
      <c r="FI8" s="59">
        <f t="shared" si="23"/>
        <v>297.10784981106281</v>
      </c>
      <c r="FJ8" s="59">
        <f ca="1">AVERAGE(OFFSET($FI$3,0,0,'Données projet'!$E$16+1,1))-AVERAGE(OFFSET($H$3,0,0,'Données projet'!$E$16+1,1))</f>
        <v>322.54393676667081</v>
      </c>
      <c r="FK8" s="59">
        <f t="shared" si="48"/>
        <v>296.73904998640018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</v>
      </c>
      <c r="N9" s="13">
        <f>IF('Données projet'!$A$36&gt;35,N8+M9-V8,IF(A9&lt;'Données projet'!$A$36,$K$205^A9,IF(A9='Données projet'!$A$36,'Données projet'!$B$36,N8+M9-V8)))</f>
        <v>6.0341763365451611</v>
      </c>
      <c r="O9" s="13">
        <f>N9*VLOOKUP('Données projet'!$B$9,Paramètres!$A$1:$I$89,3,0)*VLOOKUP('Données projet'!$B$9,Paramètres!$A$1:$I$89,5,0)</f>
        <v>3.3731045721287449</v>
      </c>
      <c r="P9" s="13">
        <f t="shared" si="33"/>
        <v>1.3493331832895774</v>
      </c>
      <c r="Q9" s="20">
        <f t="shared" si="2"/>
        <v>8.2249124240202445</v>
      </c>
      <c r="R9" s="59">
        <f t="shared" si="0"/>
        <v>301.55824575735357</v>
      </c>
      <c r="S9" s="59">
        <f ca="1">AVERAGE(OFFSET($R$3,0,0,'Données projet'!$E$9+1,1))-AVERAGE(OFFSET($H$3,0,0,'Données projet'!$E$9+1,1))</f>
        <v>401.06118089678654</v>
      </c>
      <c r="T9" s="59">
        <f t="shared" si="34"/>
        <v>399.58193819355591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</v>
      </c>
      <c r="AI9" s="13">
        <f>IF('Données projet'!$A$62&gt;35,AI8+AH9-AQ8,IF(A9&lt;'Données projet'!$A$62,$AF$205^A9,IF(A9='Données projet'!$A$62,'Données projet'!$B$62,AI8+AH9-AQ8)))</f>
        <v>4.1837391799842649</v>
      </c>
      <c r="AJ9" s="13">
        <f>AI9*VLOOKUP('Données projet'!$B$10,Paramètres!$A$1:$I$89,3,0)*VLOOKUP('Données projet'!$B$10,Paramètres!$A$1:$I$89,5,0)</f>
        <v>2.6106532483101814</v>
      </c>
      <c r="AK9" s="13">
        <f t="shared" si="35"/>
        <v>1.075948912190948</v>
      </c>
      <c r="AL9" s="20">
        <f t="shared" si="4"/>
        <v>6.4208320962061336</v>
      </c>
      <c r="AM9" s="59">
        <f t="shared" si="5"/>
        <v>299.75416542953946</v>
      </c>
      <c r="AN9" s="59">
        <f ca="1">AVERAGE(OFFSET($AM$3,0,0,'Données projet'!$E$10+1,1))-AVERAGE(OFFSET($H$3,0,0,'Données projet'!$E$10+1,1))</f>
        <v>240.30073883588199</v>
      </c>
      <c r="AO9" s="59">
        <f t="shared" si="36"/>
        <v>263.20351282678843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6.4</v>
      </c>
      <c r="BD9" s="12">
        <f>IF('Données projet'!$A$88&gt;35,BD8+BC9-BL8,IF(A9&lt;'Données projet'!$A$88,$BA$205^A9,IF(A9='Données projet'!$A$88,'Données projet'!$B$88,BD8+BC9-BL8)))</f>
        <v>4.2870938501451699</v>
      </c>
      <c r="BE9" s="13">
        <f>BD9*VLOOKUP('Données projet'!$B$11,Paramètres!$A$1:$I$89,3,0)*VLOOKUP('Données projet'!$B$11,Paramètres!$A$1:$I$89,5,0)</f>
        <v>2.0620921419198268</v>
      </c>
      <c r="BF9" s="13">
        <f t="shared" si="37"/>
        <v>0.87352366092385247</v>
      </c>
      <c r="BG9" s="20">
        <f t="shared" si="7"/>
        <v>5.1128641899527407</v>
      </c>
      <c r="BH9" s="59">
        <f t="shared" si="8"/>
        <v>298.44619752328606</v>
      </c>
      <c r="BI9" s="59">
        <f ca="1">AVERAGE(OFFSET($BH$3,0,0,'Données projet'!$E$11+1,1))-AVERAGE(OFFSET($H$3,0,0,'Données projet'!$E$11+1,1))</f>
        <v>364.67510777943329</v>
      </c>
      <c r="BJ9" s="59">
        <f t="shared" si="38"/>
        <v>352.13878061387169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252.98248842635206</v>
      </c>
      <c r="CE9" s="59">
        <f t="shared" si="40"/>
        <v>207.11938580878308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4.4412860698458383</v>
      </c>
      <c r="CU9" s="17">
        <f>CT9*VLOOKUP('Données projet'!$B$13,Paramètres!$A$1:$I$89,3,0)*VLOOKUP('Données projet'!$B$13,Paramètres!$A$1:$I$89,5,0)</f>
        <v>2.4826789130438236</v>
      </c>
      <c r="CV9" s="13">
        <f t="shared" si="41"/>
        <v>1.0292096930485513</v>
      </c>
      <c r="CW9" s="20">
        <f t="shared" si="13"/>
        <v>6.1165393222775526</v>
      </c>
      <c r="CX9" s="59">
        <f t="shared" si="14"/>
        <v>299.44987265561087</v>
      </c>
      <c r="CY9" s="59">
        <f ca="1">AVERAGE(OFFSET($CX$3,0,0,'Données projet'!$E$13+1,1))-AVERAGE(OFFSET($H$3,0,0,'Données projet'!$E$13+1,1))</f>
        <v>356.67698551373468</v>
      </c>
      <c r="CZ9" s="59">
        <f t="shared" si="42"/>
        <v>353.21836615408171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4.55</v>
      </c>
      <c r="DO9" s="12">
        <f>IF('Données projet'!$A$166&gt;35,DO8+DN9-DW8,IF(A9&lt;'Données projet'!$A$166,$DL$205^A9,IF(A9='Données projet'!$A$166,'Données projet'!$B$166,DO8+DN9-DW8)))</f>
        <v>3.8700129448363709</v>
      </c>
      <c r="DP9" s="17">
        <f>DO9*VLOOKUP('Données projet'!$B$14,Paramètres!$A$1:$I$89,3,0)*VLOOKUP('Données projet'!$B$14,Paramètres!$A$1:$I$89,5,0)</f>
        <v>2.3142677410121499</v>
      </c>
      <c r="DQ9" s="13">
        <f t="shared" si="43"/>
        <v>0.96727045665540168</v>
      </c>
      <c r="DR9" s="20">
        <f t="shared" si="16"/>
        <v>5.7153456942709857</v>
      </c>
      <c r="DS9" s="59">
        <f t="shared" si="17"/>
        <v>299.04867902760429</v>
      </c>
      <c r="DT9" s="59">
        <f ca="1">AVERAGE(OFFSET($DS$3,0,0,'Données projet'!$E$14+1,1))-AVERAGE(OFFSET($H$3,0,0,'Données projet'!$E$14+1,1))</f>
        <v>247.30892363953825</v>
      </c>
      <c r="DU9" s="59">
        <f t="shared" si="44"/>
        <v>248.38414731596578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4.55</v>
      </c>
      <c r="EJ9" s="12">
        <f>IF('Données projet'!$A$192&gt;35,EJ8+EI9-ER8,IF(A9&lt;'Données projet'!$A$192,$EG$205^A9,IF(A9='Données projet'!$A$192,'Données projet'!$B$192,EJ8+EI9-ER8)))</f>
        <v>3.8700129448363709</v>
      </c>
      <c r="EK9" s="17">
        <f>EJ9*VLOOKUP('Données projet'!$B$15,Paramètres!$A$1:$I$89,3,0)*VLOOKUP('Données projet'!$B$15,Paramètres!$A$1:$I$89,5,0)</f>
        <v>2.3142677410121499</v>
      </c>
      <c r="EL9" s="13">
        <f t="shared" si="45"/>
        <v>0.96727045665540168</v>
      </c>
      <c r="EM9" s="20">
        <f t="shared" si="19"/>
        <v>5.7153456942709857</v>
      </c>
      <c r="EN9" s="59">
        <f t="shared" si="20"/>
        <v>299.04867902760429</v>
      </c>
      <c r="EO9" s="59">
        <f ca="1">AVERAGE(OFFSET($EN$3,0,0,'Données projet'!$E$15+1,1))-AVERAGE(OFFSET($H$3,0,0,'Données projet'!$E$15+1,1))</f>
        <v>247.30892363953825</v>
      </c>
      <c r="EP9" s="59">
        <f t="shared" si="46"/>
        <v>248.38414731596578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4.8</v>
      </c>
      <c r="FE9" s="12">
        <f>IF('Données projet'!$A$218&gt;35,FE8+FD9-FM8,IF(A9&lt;'Données projet'!$A$218,$FB$205^A9,IF(A9='Données projet'!$A$218,'Données projet'!$B$218,FE8+FD9-FM8)))</f>
        <v>3.9326144432748684</v>
      </c>
      <c r="FF9" s="17">
        <f>FE9*VLOOKUP('Données projet'!$B$16,Paramètres!$A$1:$I$89,3,0)*VLOOKUP('Données projet'!$B$16,Paramètres!$A$1:$I$89,5,0)</f>
        <v>1.8915875472152117</v>
      </c>
      <c r="FG9" s="13">
        <f t="shared" si="47"/>
        <v>0.80938641877976369</v>
      </c>
      <c r="FH9" s="20">
        <f t="shared" si="22"/>
        <v>4.7041963241079152</v>
      </c>
      <c r="FI9" s="59">
        <f t="shared" si="23"/>
        <v>298.03752965744121</v>
      </c>
      <c r="FJ9" s="59">
        <f ca="1">AVERAGE(OFFSET($FI$3,0,0,'Données projet'!$E$16+1,1))-AVERAGE(OFFSET($H$3,0,0,'Données projet'!$E$16+1,1))</f>
        <v>322.54393676667081</v>
      </c>
      <c r="FK9" s="59">
        <f t="shared" si="48"/>
        <v>296.73904998640018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</v>
      </c>
      <c r="N10" s="13">
        <f>IF('Données projet'!$A$36&gt;35,N9+M10-V9,IF(A10&lt;'Données projet'!$A$36,$K$205^A10,IF(A10='Données projet'!$A$36,'Données projet'!$B$36,N9+M10-V9)))</f>
        <v>8.1418106307380835</v>
      </c>
      <c r="O10" s="13">
        <f>N10*VLOOKUP('Données projet'!$B$9,Paramètres!$A$1:$I$89,3,0)*VLOOKUP('Données projet'!$B$9,Paramètres!$A$1:$I$89,5,0)</f>
        <v>4.5512721425825893</v>
      </c>
      <c r="P10" s="13">
        <f t="shared" si="33"/>
        <v>1.7582402234606553</v>
      </c>
      <c r="Q10" s="20">
        <f t="shared" si="2"/>
        <v>10.989067370858649</v>
      </c>
      <c r="R10" s="59">
        <f t="shared" si="0"/>
        <v>304.32240070419198</v>
      </c>
      <c r="S10" s="59">
        <f ca="1">AVERAGE(OFFSET($R$3,0,0,'Données projet'!$E$9+1,1))-AVERAGE(OFFSET($H$3,0,0,'Données projet'!$E$9+1,1))</f>
        <v>401.06118089678654</v>
      </c>
      <c r="T10" s="59">
        <f t="shared" si="34"/>
        <v>399.58193819355591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</v>
      </c>
      <c r="AI10" s="13">
        <f>IF('Données projet'!$A$62&gt;35,AI9+AH10-AQ9,IF(A10&lt;'Données projet'!$A$62,$AF$205^A10,IF(A10='Données projet'!$A$62,'Données projet'!$B$62,AI9+AH10-AQ9)))</f>
        <v>5.3107847873593199</v>
      </c>
      <c r="AJ10" s="13">
        <f>AI10*VLOOKUP('Données projet'!$B$10,Paramètres!$A$1:$I$89,3,0)*VLOOKUP('Données projet'!$B$10,Paramètres!$A$1:$I$89,5,0)</f>
        <v>3.3139297073122154</v>
      </c>
      <c r="AK10" s="13">
        <f t="shared" si="35"/>
        <v>1.3283955065941828</v>
      </c>
      <c r="AL10" s="20">
        <f t="shared" si="4"/>
        <v>8.0853830808869755</v>
      </c>
      <c r="AM10" s="59">
        <f t="shared" si="5"/>
        <v>301.41871641422028</v>
      </c>
      <c r="AN10" s="59">
        <f ca="1">AVERAGE(OFFSET($AM$3,0,0,'Données projet'!$E$10+1,1))-AVERAGE(OFFSET($H$3,0,0,'Données projet'!$E$10+1,1))</f>
        <v>240.30073883588199</v>
      </c>
      <c r="AO10" s="59">
        <f t="shared" si="36"/>
        <v>263.20351282678843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6.4</v>
      </c>
      <c r="BD10" s="12">
        <f>IF('Données projet'!$A$88&gt;35,BD9+BC10-BL9,IF(A10&lt;'Données projet'!$A$88,$BA$205^A10,IF(A10='Données projet'!$A$88,'Données projet'!$B$88,BD9+BC10-BL9)))</f>
        <v>5.4641610270175782</v>
      </c>
      <c r="BE10" s="13">
        <f>BD10*VLOOKUP('Données projet'!$B$11,Paramètres!$A$1:$I$89,3,0)*VLOOKUP('Données projet'!$B$11,Paramètres!$A$1:$I$89,5,0)</f>
        <v>2.6282614539954552</v>
      </c>
      <c r="BF10" s="13">
        <f t="shared" si="37"/>
        <v>1.082358693051118</v>
      </c>
      <c r="BG10" s="20">
        <f t="shared" si="7"/>
        <v>6.4626634227727813</v>
      </c>
      <c r="BH10" s="59">
        <f t="shared" si="8"/>
        <v>299.79599675610609</v>
      </c>
      <c r="BI10" s="59">
        <f ca="1">AVERAGE(OFFSET($BH$3,0,0,'Données projet'!$E$11+1,1))-AVERAGE(OFFSET($H$3,0,0,'Données projet'!$E$11+1,1))</f>
        <v>364.67510777943329</v>
      </c>
      <c r="BJ10" s="59">
        <f t="shared" si="38"/>
        <v>352.13878061387169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252.98248842635206</v>
      </c>
      <c r="CE10" s="59">
        <f t="shared" si="40"/>
        <v>207.11938580878308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5.6941233675162577</v>
      </c>
      <c r="CU10" s="17">
        <f>CT10*VLOOKUP('Données projet'!$B$13,Paramètres!$A$1:$I$89,3,0)*VLOOKUP('Données projet'!$B$13,Paramètres!$A$1:$I$89,5,0)</f>
        <v>3.1830149624415882</v>
      </c>
      <c r="CV10" s="13">
        <f t="shared" si="41"/>
        <v>1.2819182270325931</v>
      </c>
      <c r="CW10" s="20">
        <f t="shared" si="13"/>
        <v>7.776425305000866</v>
      </c>
      <c r="CX10" s="59">
        <f t="shared" si="14"/>
        <v>301.1097586383342</v>
      </c>
      <c r="CY10" s="59">
        <f ca="1">AVERAGE(OFFSET($CX$3,0,0,'Données projet'!$E$13+1,1))-AVERAGE(OFFSET($H$3,0,0,'Données projet'!$E$13+1,1))</f>
        <v>356.67698551373468</v>
      </c>
      <c r="CZ10" s="59">
        <f t="shared" si="42"/>
        <v>353.21836615408171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4.55</v>
      </c>
      <c r="DO10" s="12">
        <f>IF('Données projet'!$A$166&gt;35,DO9+DN10-DW9,IF(A10&lt;'Données projet'!$A$166,$DL$205^A10,IF(A10='Données projet'!$A$166,'Données projet'!$B$166,DO9+DN10-DW9)))</f>
        <v>4.8491373700313813</v>
      </c>
      <c r="DP10" s="17">
        <f>DO10*VLOOKUP('Données projet'!$B$14,Paramètres!$A$1:$I$89,3,0)*VLOOKUP('Données projet'!$B$14,Paramètres!$A$1:$I$89,5,0)</f>
        <v>2.8997841472787664</v>
      </c>
      <c r="DQ10" s="13">
        <f t="shared" si="43"/>
        <v>1.1805880203273573</v>
      </c>
      <c r="DR10" s="20">
        <f t="shared" si="16"/>
        <v>7.1066481919139983</v>
      </c>
      <c r="DS10" s="59">
        <f t="shared" si="17"/>
        <v>300.43998152524733</v>
      </c>
      <c r="DT10" s="59">
        <f ca="1">AVERAGE(OFFSET($DS$3,0,0,'Données projet'!$E$14+1,1))-AVERAGE(OFFSET($H$3,0,0,'Données projet'!$E$14+1,1))</f>
        <v>247.30892363953825</v>
      </c>
      <c r="DU10" s="59">
        <f t="shared" si="44"/>
        <v>248.38414731596578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4.55</v>
      </c>
      <c r="EJ10" s="12">
        <f>IF('Données projet'!$A$192&gt;35,EJ9+EI10-ER9,IF(A10&lt;'Données projet'!$A$192,$EG$205^A10,IF(A10='Données projet'!$A$192,'Données projet'!$B$192,EJ9+EI10-ER9)))</f>
        <v>4.8491373700313813</v>
      </c>
      <c r="EK10" s="17">
        <f>EJ10*VLOOKUP('Données projet'!$B$15,Paramètres!$A$1:$I$89,3,0)*VLOOKUP('Données projet'!$B$15,Paramètres!$A$1:$I$89,5,0)</f>
        <v>2.8997841472787664</v>
      </c>
      <c r="EL10" s="13">
        <f t="shared" si="45"/>
        <v>1.1805880203273573</v>
      </c>
      <c r="EM10" s="20">
        <f t="shared" si="19"/>
        <v>7.1066481919139983</v>
      </c>
      <c r="EN10" s="59">
        <f t="shared" si="20"/>
        <v>300.43998152524733</v>
      </c>
      <c r="EO10" s="59">
        <f ca="1">AVERAGE(OFFSET($EN$3,0,0,'Données projet'!$E$15+1,1))-AVERAGE(OFFSET($H$3,0,0,'Données projet'!$E$15+1,1))</f>
        <v>247.30892363953825</v>
      </c>
      <c r="EP10" s="59">
        <f t="shared" si="46"/>
        <v>248.38414731596578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4.8</v>
      </c>
      <c r="FE10" s="12">
        <f>IF('Données projet'!$A$218&gt;35,FE9+FD10-FM9,IF(A10&lt;'Données projet'!$A$218,$FB$205^A10,IF(A10='Données projet'!$A$218,'Données projet'!$B$218,FE9+FD10-FM9)))</f>
        <v>4.9407733474474309</v>
      </c>
      <c r="FF10" s="17">
        <f>FE10*VLOOKUP('Données projet'!$B$16,Paramètres!$A$1:$I$89,3,0)*VLOOKUP('Données projet'!$B$16,Paramètres!$A$1:$I$89,5,0)</f>
        <v>2.3765119801222143</v>
      </c>
      <c r="FG10" s="13">
        <f t="shared" si="47"/>
        <v>0.99022219370527698</v>
      </c>
      <c r="FH10" s="20">
        <f t="shared" si="22"/>
        <v>5.8637286860828803</v>
      </c>
      <c r="FI10" s="59">
        <f t="shared" si="23"/>
        <v>299.19706201941619</v>
      </c>
      <c r="FJ10" s="59">
        <f ca="1">AVERAGE(OFFSET($FI$3,0,0,'Données projet'!$E$16+1,1))-AVERAGE(OFFSET($H$3,0,0,'Données projet'!$E$16+1,1))</f>
        <v>322.54393676667081</v>
      </c>
      <c r="FK10" s="59">
        <f t="shared" si="48"/>
        <v>296.73904998640018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</v>
      </c>
      <c r="N11" s="13">
        <f>IF('Données projet'!$A$36&gt;35,N10+M11-V10,IF(A11&lt;'Données projet'!$A$36,$K$205^A11,IF(A11='Données projet'!$A$36,'Données projet'!$B$36,N10+M11-V10)))</f>
        <v>10.985605433061172</v>
      </c>
      <c r="O11" s="13">
        <f>N11*VLOOKUP('Données projet'!$B$9,Paramètres!$A$1:$I$89,3,0)*VLOOKUP('Données projet'!$B$9,Paramètres!$A$1:$I$89,5,0)</f>
        <v>6.1409534370811958</v>
      </c>
      <c r="P11" s="13">
        <f t="shared" si="33"/>
        <v>2.29106400233806</v>
      </c>
      <c r="Q11" s="20">
        <f t="shared" si="2"/>
        <v>14.685763706988537</v>
      </c>
      <c r="R11" s="59">
        <f t="shared" si="0"/>
        <v>308.01909704032187</v>
      </c>
      <c r="S11" s="59">
        <f ca="1">AVERAGE(OFFSET($R$3,0,0,'Données projet'!$E$9+1,1))-AVERAGE(OFFSET($H$3,0,0,'Données projet'!$E$9+1,1))</f>
        <v>401.06118089678654</v>
      </c>
      <c r="T11" s="59">
        <f t="shared" si="34"/>
        <v>399.58193819355591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</v>
      </c>
      <c r="AI11" s="13">
        <f>IF('Données projet'!$A$62&gt;35,AI10+AH11-AQ10,IF(A11&lt;'Données projet'!$A$62,$AF$205^A11,IF(A11='Données projet'!$A$62,'Données projet'!$B$62,AI10+AH11-AQ10)))</f>
        <v>6.7414420078053858</v>
      </c>
      <c r="AJ11" s="13">
        <f>AI11*VLOOKUP('Données projet'!$B$10,Paramètres!$A$1:$I$89,3,0)*VLOOKUP('Données projet'!$B$10,Paramètres!$A$1:$I$89,5,0)</f>
        <v>4.2066598128705603</v>
      </c>
      <c r="AK11" s="13">
        <f t="shared" si="35"/>
        <v>1.6400728714398731</v>
      </c>
      <c r="AL11" s="20">
        <f t="shared" si="4"/>
        <v>10.183059425174006</v>
      </c>
      <c r="AM11" s="59">
        <f t="shared" si="5"/>
        <v>303.51639275850732</v>
      </c>
      <c r="AN11" s="59">
        <f ca="1">AVERAGE(OFFSET($AM$3,0,0,'Données projet'!$E$10+1,1))-AVERAGE(OFFSET($H$3,0,0,'Données projet'!$E$10+1,1))</f>
        <v>240.30073883588199</v>
      </c>
      <c r="AO11" s="59">
        <f t="shared" si="36"/>
        <v>263.20351282678843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6.4</v>
      </c>
      <c r="BD11" s="12">
        <f>IF('Données projet'!$A$88&gt;35,BD10+BC11-BL10,IF(A11&lt;'Données projet'!$A$88,$BA$205^A11,IF(A11='Données projet'!$A$88,'Données projet'!$B$88,BD10+BC11-BL10)))</f>
        <v>6.9644045063689877</v>
      </c>
      <c r="BE11" s="13">
        <f>BD11*VLOOKUP('Données projet'!$B$11,Paramètres!$A$1:$I$89,3,0)*VLOOKUP('Données projet'!$B$11,Paramètres!$A$1:$I$89,5,0)</f>
        <v>3.3498785675634828</v>
      </c>
      <c r="BF11" s="13">
        <f t="shared" si="37"/>
        <v>1.3411203300255503</v>
      </c>
      <c r="BG11" s="20">
        <f t="shared" si="7"/>
        <v>8.1701564133008997</v>
      </c>
      <c r="BH11" s="59">
        <f t="shared" si="8"/>
        <v>301.50348974663422</v>
      </c>
      <c r="BI11" s="59">
        <f ca="1">AVERAGE(OFFSET($BH$3,0,0,'Données projet'!$E$11+1,1))-AVERAGE(OFFSET($H$3,0,0,'Données projet'!$E$11+1,1))</f>
        <v>364.67510777943329</v>
      </c>
      <c r="BJ11" s="59">
        <f t="shared" si="38"/>
        <v>352.13878061387169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252.98248842635206</v>
      </c>
      <c r="CE11" s="59">
        <f t="shared" si="40"/>
        <v>207.11938580878308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7.3003721027184652</v>
      </c>
      <c r="CU11" s="17">
        <f>CT11*VLOOKUP('Données projet'!$B$13,Paramètres!$A$1:$I$89,3,0)*VLOOKUP('Données projet'!$B$13,Paramètres!$A$1:$I$89,5,0)</f>
        <v>4.0809080054196221</v>
      </c>
      <c r="CV11" s="13">
        <f t="shared" si="41"/>
        <v>1.5966759270706423</v>
      </c>
      <c r="CW11" s="20">
        <f t="shared" si="13"/>
        <v>9.8884586824205432</v>
      </c>
      <c r="CX11" s="59">
        <f t="shared" si="14"/>
        <v>303.22179201575386</v>
      </c>
      <c r="CY11" s="59">
        <f ca="1">AVERAGE(OFFSET($CX$3,0,0,'Données projet'!$E$13+1,1))-AVERAGE(OFFSET($H$3,0,0,'Données projet'!$E$13+1,1))</f>
        <v>356.67698551373468</v>
      </c>
      <c r="CZ11" s="59">
        <f t="shared" si="42"/>
        <v>353.21836615408171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4.55</v>
      </c>
      <c r="DO11" s="12">
        <f>IF('Données projet'!$A$166&gt;35,DO10+DN11-DW10,IF(A11&lt;'Données projet'!$A$166,$DL$205^A11,IF(A11='Données projet'!$A$166,'Données projet'!$B$166,DO10+DN11-DW10)))</f>
        <v>6.0759830958211616</v>
      </c>
      <c r="DP11" s="17">
        <f>DO11*VLOOKUP('Données projet'!$B$14,Paramètres!$A$1:$I$89,3,0)*VLOOKUP('Données projet'!$B$14,Paramètres!$A$1:$I$89,5,0)</f>
        <v>3.633437891301055</v>
      </c>
      <c r="DQ11" s="13">
        <f t="shared" si="43"/>
        <v>1.4409496993838373</v>
      </c>
      <c r="DR11" s="20">
        <f t="shared" si="16"/>
        <v>8.8378917204428529</v>
      </c>
      <c r="DS11" s="59">
        <f t="shared" si="17"/>
        <v>302.17122505377614</v>
      </c>
      <c r="DT11" s="59">
        <f ca="1">AVERAGE(OFFSET($DS$3,0,0,'Données projet'!$E$14+1,1))-AVERAGE(OFFSET($H$3,0,0,'Données projet'!$E$14+1,1))</f>
        <v>247.30892363953825</v>
      </c>
      <c r="DU11" s="59">
        <f t="shared" si="44"/>
        <v>248.38414731596578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4.55</v>
      </c>
      <c r="EJ11" s="12">
        <f>IF('Données projet'!$A$192&gt;35,EJ10+EI11-ER10,IF(A11&lt;'Données projet'!$A$192,$EG$205^A11,IF(A11='Données projet'!$A$192,'Données projet'!$B$192,EJ10+EI11-ER10)))</f>
        <v>6.0759830958211616</v>
      </c>
      <c r="EK11" s="17">
        <f>EJ11*VLOOKUP('Données projet'!$B$15,Paramètres!$A$1:$I$89,3,0)*VLOOKUP('Données projet'!$B$15,Paramètres!$A$1:$I$89,5,0)</f>
        <v>3.633437891301055</v>
      </c>
      <c r="EL11" s="13">
        <f t="shared" si="45"/>
        <v>1.4409496993838373</v>
      </c>
      <c r="EM11" s="20">
        <f t="shared" si="19"/>
        <v>8.8378917204428529</v>
      </c>
      <c r="EN11" s="59">
        <f t="shared" si="20"/>
        <v>302.17122505377614</v>
      </c>
      <c r="EO11" s="59">
        <f ca="1">AVERAGE(OFFSET($EN$3,0,0,'Données projet'!$E$15+1,1))-AVERAGE(OFFSET($H$3,0,0,'Données projet'!$E$15+1,1))</f>
        <v>247.30892363953825</v>
      </c>
      <c r="EP11" s="59">
        <f t="shared" si="46"/>
        <v>248.38414731596578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4.8</v>
      </c>
      <c r="FE11" s="12">
        <f>IF('Données projet'!$A$218&gt;35,FE10+FD11-FM10,IF(A11&lt;'Données projet'!$A$218,$FB$205^A11,IF(A11='Données projet'!$A$218,'Données projet'!$B$218,FE10+FD11-FM10)))</f>
        <v>6.2073822956614393</v>
      </c>
      <c r="FF11" s="17">
        <f>FE11*VLOOKUP('Données projet'!$B$16,Paramètres!$A$1:$I$89,3,0)*VLOOKUP('Données projet'!$B$16,Paramètres!$A$1:$I$89,5,0)</f>
        <v>2.9857508842131524</v>
      </c>
      <c r="FG11" s="13">
        <f t="shared" si="47"/>
        <v>1.2114608920480276</v>
      </c>
      <c r="FH11" s="20">
        <f t="shared" si="22"/>
        <v>7.3101438436548882</v>
      </c>
      <c r="FI11" s="59">
        <f t="shared" si="23"/>
        <v>300.6434771769882</v>
      </c>
      <c r="FJ11" s="59">
        <f ca="1">AVERAGE(OFFSET($FI$3,0,0,'Données projet'!$E$16+1,1))-AVERAGE(OFFSET($H$3,0,0,'Données projet'!$E$16+1,1))</f>
        <v>322.54393676667081</v>
      </c>
      <c r="FK11" s="59">
        <f t="shared" si="48"/>
        <v>296.73904998640018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</v>
      </c>
      <c r="N12" s="13">
        <f>IF('Données projet'!$A$36&gt;35,N11+M12-V11,IF(A12&lt;'Données projet'!$A$36,$K$205^A12,IF(A12='Données projet'!$A$36,'Données projet'!$B$36,N11+M12-V11)))</f>
        <v>14.822688982138946</v>
      </c>
      <c r="O12" s="13">
        <f>N12*VLOOKUP('Données projet'!$B$9,Paramètres!$A$1:$I$89,3,0)*VLOOKUP('Données projet'!$B$9,Paramètres!$A$1:$I$89,5,0)</f>
        <v>8.2858831410156704</v>
      </c>
      <c r="P12" s="13">
        <f t="shared" si="33"/>
        <v>2.9853567179108209</v>
      </c>
      <c r="Q12" s="20">
        <f t="shared" si="2"/>
        <v>19.630742754296975</v>
      </c>
      <c r="R12" s="59">
        <f t="shared" si="0"/>
        <v>312.9640760876303</v>
      </c>
      <c r="S12" s="59">
        <f ca="1">AVERAGE(OFFSET($R$3,0,0,'Données projet'!$E$9+1,1))-AVERAGE(OFFSET($H$3,0,0,'Données projet'!$E$9+1,1))</f>
        <v>401.06118089678654</v>
      </c>
      <c r="T12" s="59">
        <f t="shared" si="34"/>
        <v>399.58193819355591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</v>
      </c>
      <c r="AI12" s="13">
        <f>IF('Données projet'!$A$62&gt;35,AI11+AH12-AQ11,IF(A12&lt;'Données projet'!$A$62,$AF$205^A12,IF(A12='Données projet'!$A$62,'Données projet'!$B$62,AI11+AH12-AQ11)))</f>
        <v>8.5574999108937213</v>
      </c>
      <c r="AJ12" s="13">
        <f>AI12*VLOOKUP('Données projet'!$B$10,Paramètres!$A$1:$I$89,3,0)*VLOOKUP('Données projet'!$B$10,Paramètres!$A$1:$I$89,5,0)</f>
        <v>5.3398799443976825</v>
      </c>
      <c r="AK12" s="13">
        <f t="shared" si="35"/>
        <v>2.0248781407951277</v>
      </c>
      <c r="AL12" s="20">
        <f t="shared" si="4"/>
        <v>12.826953665044144</v>
      </c>
      <c r="AM12" s="59">
        <f t="shared" si="5"/>
        <v>306.16028699837744</v>
      </c>
      <c r="AN12" s="59">
        <f ca="1">AVERAGE(OFFSET($AM$3,0,0,'Données projet'!$E$10+1,1))-AVERAGE(OFFSET($H$3,0,0,'Données projet'!$E$10+1,1))</f>
        <v>240.30073883588199</v>
      </c>
      <c r="AO12" s="59">
        <f t="shared" si="36"/>
        <v>263.20351282678843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6.4</v>
      </c>
      <c r="BD12" s="12">
        <f>IF('Données projet'!$A$88&gt;35,BD11+BC12-BL11,IF(A12&lt;'Données projet'!$A$88,$BA$205^A12,IF(A12='Données projet'!$A$88,'Données projet'!$B$88,BD11+BC12-BL11)))</f>
        <v>8.8765557765427516</v>
      </c>
      <c r="BE12" s="13">
        <f>BD12*VLOOKUP('Données projet'!$B$11,Paramètres!$A$1:$I$89,3,0)*VLOOKUP('Données projet'!$B$11,Paramètres!$A$1:$I$89,5,0)</f>
        <v>4.2696233285170635</v>
      </c>
      <c r="BF12" s="13">
        <f t="shared" si="37"/>
        <v>1.6617446241759863</v>
      </c>
      <c r="BG12" s="20">
        <f t="shared" si="7"/>
        <v>10.330465850940394</v>
      </c>
      <c r="BH12" s="59">
        <f t="shared" si="8"/>
        <v>303.66379918427373</v>
      </c>
      <c r="BI12" s="59">
        <f ca="1">AVERAGE(OFFSET($BH$3,0,0,'Données projet'!$E$11+1,1))-AVERAGE(OFFSET($H$3,0,0,'Données projet'!$E$11+1,1))</f>
        <v>364.67510777943329</v>
      </c>
      <c r="BJ12" s="59">
        <f t="shared" si="38"/>
        <v>352.13878061387169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252.98248842635206</v>
      </c>
      <c r="CE12" s="59">
        <f t="shared" si="40"/>
        <v>207.11938580878308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9.3597257028516339</v>
      </c>
      <c r="CU12" s="17">
        <f>CT12*VLOOKUP('Données projet'!$B$13,Paramètres!$A$1:$I$89,3,0)*VLOOKUP('Données projet'!$B$13,Paramètres!$A$1:$I$89,5,0)</f>
        <v>5.2320866678940634</v>
      </c>
      <c r="CV12" s="13">
        <f t="shared" si="41"/>
        <v>1.9887181275113242</v>
      </c>
      <c r="CW12" s="20">
        <f t="shared" si="13"/>
        <v>12.576235018664383</v>
      </c>
      <c r="CX12" s="59">
        <f t="shared" si="14"/>
        <v>305.90956835199768</v>
      </c>
      <c r="CY12" s="59">
        <f ca="1">AVERAGE(OFFSET($CX$3,0,0,'Données projet'!$E$13+1,1))-AVERAGE(OFFSET($H$3,0,0,'Données projet'!$E$13+1,1))</f>
        <v>356.67698551373468</v>
      </c>
      <c r="CZ12" s="59">
        <f t="shared" si="42"/>
        <v>353.21836615408171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4.55</v>
      </c>
      <c r="DO12" s="12">
        <f>IF('Données projet'!$A$166&gt;35,DO11+DN12-DW11,IF(A12&lt;'Données projet'!$A$166,$DL$205^A12,IF(A12='Données projet'!$A$166,'Données projet'!$B$166,DO11+DN12-DW11)))</f>
        <v>7.6132243249824851</v>
      </c>
      <c r="DP12" s="17">
        <f>DO12*VLOOKUP('Données projet'!$B$14,Paramètres!$A$1:$I$89,3,0)*VLOOKUP('Données projet'!$B$14,Paramètres!$A$1:$I$89,5,0)</f>
        <v>4.5527081463395263</v>
      </c>
      <c r="DQ12" s="13">
        <f t="shared" si="43"/>
        <v>1.758730395704539</v>
      </c>
      <c r="DR12" s="20">
        <f t="shared" si="16"/>
        <v>10.992422127393413</v>
      </c>
      <c r="DS12" s="59">
        <f t="shared" si="17"/>
        <v>304.32575546072673</v>
      </c>
      <c r="DT12" s="59">
        <f ca="1">AVERAGE(OFFSET($DS$3,0,0,'Données projet'!$E$14+1,1))-AVERAGE(OFFSET($H$3,0,0,'Données projet'!$E$14+1,1))</f>
        <v>247.30892363953825</v>
      </c>
      <c r="DU12" s="59">
        <f t="shared" si="44"/>
        <v>248.38414731596578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4.55</v>
      </c>
      <c r="EJ12" s="12">
        <f>IF('Données projet'!$A$192&gt;35,EJ11+EI12-ER11,IF(A12&lt;'Données projet'!$A$192,$EG$205^A12,IF(A12='Données projet'!$A$192,'Données projet'!$B$192,EJ11+EI12-ER11)))</f>
        <v>7.6132243249824851</v>
      </c>
      <c r="EK12" s="17">
        <f>EJ12*VLOOKUP('Données projet'!$B$15,Paramètres!$A$1:$I$89,3,0)*VLOOKUP('Données projet'!$B$15,Paramètres!$A$1:$I$89,5,0)</f>
        <v>4.5527081463395263</v>
      </c>
      <c r="EL12" s="13">
        <f t="shared" si="45"/>
        <v>1.758730395704539</v>
      </c>
      <c r="EM12" s="20">
        <f t="shared" si="19"/>
        <v>10.992422127393413</v>
      </c>
      <c r="EN12" s="59">
        <f t="shared" si="20"/>
        <v>304.32575546072673</v>
      </c>
      <c r="EO12" s="59">
        <f ca="1">AVERAGE(OFFSET($EN$3,0,0,'Données projet'!$E$15+1,1))-AVERAGE(OFFSET($H$3,0,0,'Données projet'!$E$15+1,1))</f>
        <v>247.30892363953825</v>
      </c>
      <c r="EP12" s="59">
        <f t="shared" si="46"/>
        <v>248.38414731596578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4.8</v>
      </c>
      <c r="FE12" s="12">
        <f>IF('Données projet'!$A$218&gt;35,FE11+FD12-FM11,IF(A12&lt;'Données projet'!$A$218,$FB$205^A12,IF(A12='Données projet'!$A$218,'Données projet'!$B$218,FE11+FD12-FM11)))</f>
        <v>7.7986971380498149</v>
      </c>
      <c r="FF12" s="17">
        <f>FE12*VLOOKUP('Données projet'!$B$16,Paramètres!$A$1:$I$89,3,0)*VLOOKUP('Données projet'!$B$16,Paramètres!$A$1:$I$89,5,0)</f>
        <v>3.7511733234019609</v>
      </c>
      <c r="FG12" s="13">
        <f t="shared" si="47"/>
        <v>1.4821294678016681</v>
      </c>
      <c r="FH12" s="20">
        <f t="shared" si="22"/>
        <v>9.1146690280129867</v>
      </c>
      <c r="FI12" s="59">
        <f t="shared" si="23"/>
        <v>302.44800236134631</v>
      </c>
      <c r="FJ12" s="59">
        <f ca="1">AVERAGE(OFFSET($FI$3,0,0,'Données projet'!$E$16+1,1))-AVERAGE(OFFSET($H$3,0,0,'Données projet'!$E$16+1,1))</f>
        <v>322.54393676667081</v>
      </c>
      <c r="FK12" s="59">
        <f t="shared" si="48"/>
        <v>296.73904998640018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20</v>
      </c>
      <c r="L13" s="12">
        <f>VLOOKUP(A13,'Données projet'!$A$35:$I$55,9,0)</f>
        <v>2</v>
      </c>
      <c r="M13" s="12">
        <f t="array" ref="M13">INDEX(L:L,MIN(IF(ISNUMBER(L13:L209),ROW(L13:L209),"")))</f>
        <v>2</v>
      </c>
      <c r="N13" s="13">
        <f>IF('Données projet'!$A$36&gt;35,N12+M13-V12,IF(A13&lt;'Données projet'!$A$36,$K$205^A13,IF(A13='Données projet'!$A$36,'Données projet'!$B$36,N12+M13-V12)))</f>
        <v>20</v>
      </c>
      <c r="O13" s="13">
        <f>N13*VLOOKUP('Données projet'!$B$9,Paramètres!$A$1:$I$89,3,0)*VLOOKUP('Données projet'!$B$9,Paramètres!$A$1:$I$89,5,0)</f>
        <v>11.18</v>
      </c>
      <c r="P13" s="13">
        <f t="shared" si="33"/>
        <v>3.8900505285230369</v>
      </c>
      <c r="Q13" s="20">
        <f t="shared" si="2"/>
        <v>26.247004670510957</v>
      </c>
      <c r="R13" s="59">
        <f t="shared" si="0"/>
        <v>319.58033800384425</v>
      </c>
      <c r="S13" s="59">
        <f ca="1">AVERAGE(OFFSET($R$3,0,0,'Données projet'!$E$9+1,1))-AVERAGE(OFFSET($H$3,0,0,'Données projet'!$E$9+1,1))</f>
        <v>401.06118089678654</v>
      </c>
      <c r="T13" s="59">
        <f t="shared" si="34"/>
        <v>399.58193819355591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</v>
      </c>
      <c r="AI13" s="13">
        <f>IF('Données projet'!$A$62&gt;35,AI12+AH13-AQ12,IF(A13&lt;'Données projet'!$A$62,$AF$205^A13,IF(A13='Données projet'!$A$62,'Données projet'!$B$62,AI12+AH13-AQ12)))</f>
        <v>10.862780491200228</v>
      </c>
      <c r="AJ13" s="13">
        <f>AI13*VLOOKUP('Données projet'!$B$10,Paramètres!$A$1:$I$89,3,0)*VLOOKUP('Données projet'!$B$10,Paramètres!$A$1:$I$89,5,0)</f>
        <v>6.7783750265089431</v>
      </c>
      <c r="AK13" s="13">
        <f t="shared" si="35"/>
        <v>2.4999690906845462</v>
      </c>
      <c r="AL13" s="20">
        <f t="shared" si="4"/>
        <v>16.159782670778661</v>
      </c>
      <c r="AM13" s="59">
        <f t="shared" si="5"/>
        <v>309.49311600411198</v>
      </c>
      <c r="AN13" s="59">
        <f ca="1">AVERAGE(OFFSET($AM$3,0,0,'Données projet'!$E$10+1,1))-AVERAGE(OFFSET($H$3,0,0,'Données projet'!$E$10+1,1))</f>
        <v>240.30073883588199</v>
      </c>
      <c r="AO13" s="59">
        <f t="shared" si="36"/>
        <v>263.20351282678843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6.4</v>
      </c>
      <c r="BD13" s="12">
        <f>IF('Données projet'!$A$88&gt;35,BD12+BC13-BL12,IF(A13&lt;'Données projet'!$A$88,$BA$205^A13,IF(A13='Données projet'!$A$88,'Données projet'!$B$88,BD12+BC13-BL12)))</f>
        <v>11.313708498984749</v>
      </c>
      <c r="BE13" s="13">
        <f>BD13*VLOOKUP('Données projet'!$B$11,Paramètres!$A$1:$I$89,3,0)*VLOOKUP('Données projet'!$B$11,Paramètres!$A$1:$I$89,5,0)</f>
        <v>5.4418937880116642</v>
      </c>
      <c r="BF13" s="13">
        <f t="shared" si="37"/>
        <v>2.0590212035076529</v>
      </c>
      <c r="BG13" s="20">
        <f t="shared" si="7"/>
        <v>13.064093610229477</v>
      </c>
      <c r="BH13" s="59">
        <f t="shared" si="8"/>
        <v>306.39742694356278</v>
      </c>
      <c r="BI13" s="59">
        <f ca="1">AVERAGE(OFFSET($BH$3,0,0,'Données projet'!$E$11+1,1))-AVERAGE(OFFSET($H$3,0,0,'Données projet'!$E$11+1,1))</f>
        <v>364.67510777943329</v>
      </c>
      <c r="BJ13" s="59">
        <f t="shared" si="38"/>
        <v>352.13878061387169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252.98248842635206</v>
      </c>
      <c r="CE13" s="59">
        <f t="shared" si="40"/>
        <v>207.11938580878308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12</v>
      </c>
      <c r="CR13" s="12">
        <f>VLOOKUP(A13,'Données projet'!$A$139:$I$159,9,0)</f>
        <v>1.2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12</v>
      </c>
      <c r="CU13" s="17">
        <f>CT13*VLOOKUP('Données projet'!$B$13,Paramètres!$A$1:$I$89,3,0)*VLOOKUP('Données projet'!$B$13,Paramètres!$A$1:$I$89,5,0)</f>
        <v>6.7080000000000002</v>
      </c>
      <c r="CV13" s="13">
        <f t="shared" si="41"/>
        <v>2.477020993200687</v>
      </c>
      <c r="CW13" s="20">
        <f t="shared" si="13"/>
        <v>15.997244896491198</v>
      </c>
      <c r="CX13" s="59">
        <f t="shared" si="14"/>
        <v>309.33057822982454</v>
      </c>
      <c r="CY13" s="59">
        <f ca="1">AVERAGE(OFFSET($CX$3,0,0,'Données projet'!$E$13+1,1))-AVERAGE(OFFSET($H$3,0,0,'Données projet'!$E$13+1,1))</f>
        <v>356.67698551373468</v>
      </c>
      <c r="CZ13" s="59">
        <f t="shared" si="42"/>
        <v>353.21836615408171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4.55</v>
      </c>
      <c r="DO13" s="12">
        <f>IF('Données projet'!$A$166&gt;35,DO12+DN13-DW12,IF(A13&lt;'Données projet'!$A$166,$DL$205^A13,IF(A13='Données projet'!$A$166,'Données projet'!$B$166,DO12+DN13-DW12)))</f>
        <v>9.5393920141694579</v>
      </c>
      <c r="DP13" s="17">
        <f>DO13*VLOOKUP('Données projet'!$B$14,Paramètres!$A$1:$I$89,3,0)*VLOOKUP('Données projet'!$B$14,Paramètres!$A$1:$I$89,5,0)</f>
        <v>5.7045564244733367</v>
      </c>
      <c r="DQ13" s="13">
        <f t="shared" si="43"/>
        <v>2.1465930463066791</v>
      </c>
      <c r="DR13" s="20">
        <f t="shared" si="16"/>
        <v>13.674085328275192</v>
      </c>
      <c r="DS13" s="59">
        <f t="shared" si="17"/>
        <v>307.00741866160848</v>
      </c>
      <c r="DT13" s="59">
        <f ca="1">AVERAGE(OFFSET($DS$3,0,0,'Données projet'!$E$14+1,1))-AVERAGE(OFFSET($H$3,0,0,'Données projet'!$E$14+1,1))</f>
        <v>247.30892363953825</v>
      </c>
      <c r="DU13" s="59">
        <f t="shared" si="44"/>
        <v>248.38414731596578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4.55</v>
      </c>
      <c r="EJ13" s="12">
        <f>IF('Données projet'!$A$192&gt;35,EJ12+EI13-ER12,IF(A13&lt;'Données projet'!$A$192,$EG$205^A13,IF(A13='Données projet'!$A$192,'Données projet'!$B$192,EJ12+EI13-ER12)))</f>
        <v>9.5393920141694579</v>
      </c>
      <c r="EK13" s="17">
        <f>EJ13*VLOOKUP('Données projet'!$B$15,Paramètres!$A$1:$I$89,3,0)*VLOOKUP('Données projet'!$B$15,Paramètres!$A$1:$I$89,5,0)</f>
        <v>5.7045564244733367</v>
      </c>
      <c r="EL13" s="13">
        <f t="shared" si="45"/>
        <v>2.1465930463066791</v>
      </c>
      <c r="EM13" s="20">
        <f t="shared" si="19"/>
        <v>13.674085328275192</v>
      </c>
      <c r="EN13" s="59">
        <f t="shared" si="20"/>
        <v>307.00741866160848</v>
      </c>
      <c r="EO13" s="59">
        <f ca="1">AVERAGE(OFFSET($EN$3,0,0,'Données projet'!$E$15+1,1))-AVERAGE(OFFSET($H$3,0,0,'Données projet'!$E$15+1,1))</f>
        <v>247.30892363953825</v>
      </c>
      <c r="EP13" s="59">
        <f t="shared" si="46"/>
        <v>248.38414731596578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4.8</v>
      </c>
      <c r="FE13" s="12">
        <f>IF('Données projet'!$A$218&gt;35,FE12+FD13-FM12,IF(A13&lt;'Données projet'!$A$218,$FB$205^A13,IF(A13='Données projet'!$A$218,'Données projet'!$B$218,FE12+FD13-FM12)))</f>
        <v>9.7979589711327133</v>
      </c>
      <c r="FF13" s="17">
        <f>FE13*VLOOKUP('Données projet'!$B$16,Paramètres!$A$1:$I$89,3,0)*VLOOKUP('Données projet'!$B$16,Paramètres!$A$1:$I$89,5,0)</f>
        <v>4.7128182651148354</v>
      </c>
      <c r="FG13" s="13">
        <f t="shared" si="47"/>
        <v>1.8132717067015065</v>
      </c>
      <c r="FH13" s="20">
        <f t="shared" si="22"/>
        <v>11.36627336758013</v>
      </c>
      <c r="FI13" s="59">
        <f t="shared" si="23"/>
        <v>304.69960670091342</v>
      </c>
      <c r="FJ13" s="59">
        <f ca="1">AVERAGE(OFFSET($FI$3,0,0,'Données projet'!$E$16+1,1))-AVERAGE(OFFSET($H$3,0,0,'Données projet'!$E$16+1,1))</f>
        <v>322.54393676667081</v>
      </c>
      <c r="FK13" s="59">
        <f t="shared" si="48"/>
        <v>296.73904998640018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17.5</v>
      </c>
      <c r="N14" s="13">
        <f>IF('Données projet'!$A$36&gt;35,N13+M14-V13,IF(A14&lt;'Données projet'!$A$36,$K$205^A14,IF(A14='Données projet'!$A$36,'Données projet'!$B$36,N13+M14-V13)))</f>
        <v>37.5</v>
      </c>
      <c r="O14" s="13">
        <f>N14*VLOOKUP('Données projet'!$B$9,Paramètres!$A$1:$I$89,3,0)*VLOOKUP('Données projet'!$B$9,Paramètres!$A$1:$I$89,5,0)</f>
        <v>20.962500000000002</v>
      </c>
      <c r="P14" s="13">
        <f t="shared" si="33"/>
        <v>6.7792112362552857</v>
      </c>
      <c r="Q14" s="20">
        <f t="shared" si="2"/>
        <v>48.316813736477961</v>
      </c>
      <c r="R14" s="59">
        <f t="shared" si="0"/>
        <v>341.65014706981128</v>
      </c>
      <c r="S14" s="59">
        <f ca="1">AVERAGE(OFFSET($R$3,0,0,'Données projet'!$E$9+1,1))-AVERAGE(OFFSET($H$3,0,0,'Données projet'!$E$9+1,1))</f>
        <v>401.06118089678654</v>
      </c>
      <c r="T14" s="59">
        <f t="shared" si="34"/>
        <v>399.58193819355591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</v>
      </c>
      <c r="AI14" s="13">
        <f>IF('Données projet'!$A$62&gt;35,AI13+AH14-AQ13,IF(A14&lt;'Données projet'!$A$62,$AF$205^A14,IF(A14='Données projet'!$A$62,'Données projet'!$B$62,AI13+AH14-AQ13)))</f>
        <v>13.789074055354174</v>
      </c>
      <c r="AJ14" s="13">
        <f>AI14*VLOOKUP('Données projet'!$B$10,Paramètres!$A$1:$I$89,3,0)*VLOOKUP('Données projet'!$B$10,Paramètres!$A$1:$I$89,5,0)</f>
        <v>8.6043822105410044</v>
      </c>
      <c r="AK14" s="13">
        <f t="shared" si="35"/>
        <v>3.0865291735155624</v>
      </c>
      <c r="AL14" s="20">
        <f t="shared" si="4"/>
        <v>20.361670660565185</v>
      </c>
      <c r="AM14" s="59">
        <f t="shared" si="5"/>
        <v>313.69500399389852</v>
      </c>
      <c r="AN14" s="59">
        <f ca="1">AVERAGE(OFFSET($AM$3,0,0,'Données projet'!$E$10+1,1))-AVERAGE(OFFSET($H$3,0,0,'Données projet'!$E$10+1,1))</f>
        <v>240.30073883588199</v>
      </c>
      <c r="AO14" s="59">
        <f t="shared" si="36"/>
        <v>263.20351282678843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6.4</v>
      </c>
      <c r="BD14" s="12">
        <f>IF('Données projet'!$A$88&gt;35,BD13+BC14-BL13,IF(A14&lt;'Données projet'!$A$88,$BA$205^A14,IF(A14='Données projet'!$A$88,'Données projet'!$B$88,BD13+BC14-BL13)))</f>
        <v>14.420007401773267</v>
      </c>
      <c r="BE14" s="13">
        <f>BD14*VLOOKUP('Données projet'!$B$11,Paramètres!$A$1:$I$89,3,0)*VLOOKUP('Données projet'!$B$11,Paramètres!$A$1:$I$89,5,0)</f>
        <v>6.9360235602529414</v>
      </c>
      <c r="BF14" s="13">
        <f t="shared" si="37"/>
        <v>2.551275481692254</v>
      </c>
      <c r="BG14" s="20">
        <f t="shared" si="7"/>
        <v>16.523712498054547</v>
      </c>
      <c r="BH14" s="59">
        <f t="shared" si="8"/>
        <v>309.85704583138784</v>
      </c>
      <c r="BI14" s="59">
        <f ca="1">AVERAGE(OFFSET($BH$3,0,0,'Données projet'!$E$11+1,1))-AVERAGE(OFFSET($H$3,0,0,'Données projet'!$E$11+1,1))</f>
        <v>364.67510777943329</v>
      </c>
      <c r="BJ14" s="59">
        <f t="shared" si="38"/>
        <v>352.13878061387169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252.98248842635206</v>
      </c>
      <c r="CE14" s="59">
        <f t="shared" si="40"/>
        <v>207.11938580878308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15</v>
      </c>
      <c r="CT14" s="12">
        <f>IF('Données projet'!$A$140&gt;35,CT13+CS14-DB13,IF(A14&lt;'Données projet'!$A$140,$CQ$205^A14,IF(A14='Données projet'!$A$140,'Données projet'!$B$140,CT13+CS14-DB13)))</f>
        <v>27</v>
      </c>
      <c r="CU14" s="17">
        <f>CT14*VLOOKUP('Données projet'!$B$13,Paramètres!$A$1:$I$89,3,0)*VLOOKUP('Données projet'!$B$13,Paramètres!$A$1:$I$89,5,0)</f>
        <v>15.093</v>
      </c>
      <c r="CV14" s="13">
        <f t="shared" si="41"/>
        <v>5.0712866613861207</v>
      </c>
      <c r="CW14" s="20">
        <f t="shared" si="13"/>
        <v>35.11946593524749</v>
      </c>
      <c r="CX14" s="59">
        <f t="shared" si="14"/>
        <v>328.4527992685808</v>
      </c>
      <c r="CY14" s="59">
        <f ca="1">AVERAGE(OFFSET($CX$3,0,0,'Données projet'!$E$13+1,1))-AVERAGE(OFFSET($H$3,0,0,'Données projet'!$E$13+1,1))</f>
        <v>356.67698551373468</v>
      </c>
      <c r="CZ14" s="59">
        <f t="shared" si="42"/>
        <v>353.21836615408171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4.55</v>
      </c>
      <c r="DO14" s="12">
        <f>IF('Données projet'!$A$166&gt;35,DO13+DN14-DW13,IF(A14&lt;'Données projet'!$A$166,$DL$205^A14,IF(A14='Données projet'!$A$166,'Données projet'!$B$166,DO13+DN14-DW13)))</f>
        <v>11.952885678330434</v>
      </c>
      <c r="DP14" s="17">
        <f>DO14*VLOOKUP('Données projet'!$B$14,Paramètres!$A$1:$I$89,3,0)*VLOOKUP('Données projet'!$B$14,Paramètres!$A$1:$I$89,5,0)</f>
        <v>7.147825635641599</v>
      </c>
      <c r="DQ14" s="13">
        <f t="shared" si="43"/>
        <v>2.6199932165306663</v>
      </c>
      <c r="DR14" s="20">
        <f t="shared" si="16"/>
        <v>17.012284500866695</v>
      </c>
      <c r="DS14" s="59">
        <f t="shared" si="17"/>
        <v>310.34561783420003</v>
      </c>
      <c r="DT14" s="59">
        <f ca="1">AVERAGE(OFFSET($DS$3,0,0,'Données projet'!$E$14+1,1))-AVERAGE(OFFSET($H$3,0,0,'Données projet'!$E$14+1,1))</f>
        <v>247.30892363953825</v>
      </c>
      <c r="DU14" s="59">
        <f t="shared" si="44"/>
        <v>248.38414731596578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4.55</v>
      </c>
      <c r="EJ14" s="12">
        <f>IF('Données projet'!$A$192&gt;35,EJ13+EI14-ER13,IF(A14&lt;'Données projet'!$A$192,$EG$205^A14,IF(A14='Données projet'!$A$192,'Données projet'!$B$192,EJ13+EI14-ER13)))</f>
        <v>11.952885678330434</v>
      </c>
      <c r="EK14" s="17">
        <f>EJ14*VLOOKUP('Données projet'!$B$15,Paramètres!$A$1:$I$89,3,0)*VLOOKUP('Données projet'!$B$15,Paramètres!$A$1:$I$89,5,0)</f>
        <v>7.147825635641599</v>
      </c>
      <c r="EL14" s="13">
        <f t="shared" si="45"/>
        <v>2.6199932165306663</v>
      </c>
      <c r="EM14" s="20">
        <f t="shared" si="19"/>
        <v>17.012284500866695</v>
      </c>
      <c r="EN14" s="59">
        <f t="shared" si="20"/>
        <v>310.34561783420003</v>
      </c>
      <c r="EO14" s="59">
        <f ca="1">AVERAGE(OFFSET($EN$3,0,0,'Données projet'!$E$15+1,1))-AVERAGE(OFFSET($H$3,0,0,'Données projet'!$E$15+1,1))</f>
        <v>247.30892363953825</v>
      </c>
      <c r="EP14" s="59">
        <f t="shared" si="46"/>
        <v>248.38414731596578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4.8</v>
      </c>
      <c r="FE14" s="12">
        <f>IF('Données projet'!$A$218&gt;35,FE13+FD14-FM13,IF(A14&lt;'Données projet'!$A$218,$FB$205^A14,IF(A14='Données projet'!$A$218,'Données projet'!$B$218,FE13+FD14-FM13)))</f>
        <v>12.309748449085985</v>
      </c>
      <c r="FF14" s="17">
        <f>FE14*VLOOKUP('Données projet'!$B$16,Paramètres!$A$1:$I$89,3,0)*VLOOKUP('Données projet'!$B$16,Paramètres!$A$1:$I$89,5,0)</f>
        <v>5.9209890040103588</v>
      </c>
      <c r="FG14" s="13">
        <f t="shared" si="47"/>
        <v>2.2183988334035152</v>
      </c>
      <c r="FH14" s="20">
        <f t="shared" si="22"/>
        <v>14.17610048349583</v>
      </c>
      <c r="FI14" s="59">
        <f t="shared" si="23"/>
        <v>307.50943381682913</v>
      </c>
      <c r="FJ14" s="59">
        <f ca="1">AVERAGE(OFFSET($FI$3,0,0,'Données projet'!$E$16+1,1))-AVERAGE(OFFSET($H$3,0,0,'Données projet'!$E$16+1,1))</f>
        <v>322.54393676667081</v>
      </c>
      <c r="FK14" s="59">
        <f t="shared" si="48"/>
        <v>296.73904998640018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17.5</v>
      </c>
      <c r="N15" s="13">
        <f>IF('Données projet'!$A$36&gt;35,N14+M15-V14,IF(A15&lt;'Données projet'!$A$36,$K$205^A15,IF(A15='Données projet'!$A$36,'Données projet'!$B$36,N14+M15-V14)))</f>
        <v>55</v>
      </c>
      <c r="O15" s="13">
        <f>N15*VLOOKUP('Données projet'!$B$9,Paramètres!$A$1:$I$89,3,0)*VLOOKUP('Données projet'!$B$9,Paramètres!$A$1:$I$89,5,0)</f>
        <v>30.744999999999997</v>
      </c>
      <c r="P15" s="13">
        <f t="shared" si="33"/>
        <v>9.5093232533499226</v>
      </c>
      <c r="Q15" s="20">
        <f t="shared" si="2"/>
        <v>70.109612999584456</v>
      </c>
      <c r="R15" s="59">
        <f t="shared" si="0"/>
        <v>363.44294633291776</v>
      </c>
      <c r="S15" s="59">
        <f ca="1">AVERAGE(OFFSET($R$3,0,0,'Données projet'!$E$9+1,1))-AVERAGE(OFFSET($H$3,0,0,'Données projet'!$E$9+1,1))</f>
        <v>401.06118089678654</v>
      </c>
      <c r="T15" s="59">
        <f t="shared" si="34"/>
        <v>399.58193819355591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</v>
      </c>
      <c r="AI15" s="13">
        <f>IF('Données projet'!$A$62&gt;35,AI14+AH15-AQ14,IF(A15&lt;'Données projet'!$A$62,$AF$205^A15,IF(A15='Données projet'!$A$62,'Données projet'!$B$62,AI14+AH15-AQ14)))</f>
        <v>17.503673526135408</v>
      </c>
      <c r="AJ15" s="13">
        <f>AI15*VLOOKUP('Données projet'!$B$10,Paramètres!$A$1:$I$89,3,0)*VLOOKUP('Données projet'!$B$10,Paramètres!$A$1:$I$89,5,0)</f>
        <v>10.922292280308493</v>
      </c>
      <c r="AK15" s="13">
        <f t="shared" si="35"/>
        <v>3.8107120501854101</v>
      </c>
      <c r="AL15" s="20">
        <f t="shared" si="4"/>
        <v>25.659982542276879</v>
      </c>
      <c r="AM15" s="59">
        <f t="shared" si="5"/>
        <v>318.99331587561016</v>
      </c>
      <c r="AN15" s="59">
        <f ca="1">AVERAGE(OFFSET($AM$3,0,0,'Données projet'!$E$10+1,1))-AVERAGE(OFFSET($H$3,0,0,'Données projet'!$E$10+1,1))</f>
        <v>240.30073883588199</v>
      </c>
      <c r="AO15" s="59">
        <f t="shared" si="36"/>
        <v>263.20351282678843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6.4</v>
      </c>
      <c r="BD15" s="12">
        <f>IF('Données projet'!$A$88&gt;35,BD14+BC15-BL14,IF(A15&lt;'Données projet'!$A$88,$BA$205^A15,IF(A15='Données projet'!$A$88,'Données projet'!$B$88,BD14+BC15-BL14)))</f>
        <v>18.37917367995254</v>
      </c>
      <c r="BE15" s="13">
        <f>BD15*VLOOKUP('Données projet'!$B$11,Paramètres!$A$1:$I$89,3,0)*VLOOKUP('Données projet'!$B$11,Paramètres!$A$1:$I$89,5,0)</f>
        <v>8.8403825400571723</v>
      </c>
      <c r="BF15" s="13">
        <f t="shared" si="37"/>
        <v>3.1612139653518891</v>
      </c>
      <c r="BG15" s="20">
        <f t="shared" si="7"/>
        <v>20.902780580254113</v>
      </c>
      <c r="BH15" s="59">
        <f t="shared" si="8"/>
        <v>314.23611391358742</v>
      </c>
      <c r="BI15" s="59">
        <f ca="1">AVERAGE(OFFSET($BH$3,0,0,'Données projet'!$E$11+1,1))-AVERAGE(OFFSET($H$3,0,0,'Données projet'!$E$11+1,1))</f>
        <v>364.67510777943329</v>
      </c>
      <c r="BJ15" s="59">
        <f t="shared" si="38"/>
        <v>352.13878061387169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252.98248842635206</v>
      </c>
      <c r="CE15" s="59">
        <f t="shared" si="40"/>
        <v>207.11938580878308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15</v>
      </c>
      <c r="CT15" s="12">
        <f>IF('Données projet'!$A$140&gt;35,CT14+CS15-DB14,IF(A15&lt;'Données projet'!$A$140,$CQ$205^A15,IF(A15='Données projet'!$A$140,'Données projet'!$B$140,CT14+CS15-DB14)))</f>
        <v>42</v>
      </c>
      <c r="CU15" s="17">
        <f>CT15*VLOOKUP('Données projet'!$B$13,Paramètres!$A$1:$I$89,3,0)*VLOOKUP('Données projet'!$B$13,Paramètres!$A$1:$I$89,5,0)</f>
        <v>23.477999999999998</v>
      </c>
      <c r="CV15" s="13">
        <f t="shared" si="41"/>
        <v>7.4932153017418202</v>
      </c>
      <c r="CW15" s="20">
        <f t="shared" si="13"/>
        <v>53.941533317200332</v>
      </c>
      <c r="CX15" s="59">
        <f t="shared" si="14"/>
        <v>347.27486665053362</v>
      </c>
      <c r="CY15" s="59">
        <f ca="1">AVERAGE(OFFSET($CX$3,0,0,'Données projet'!$E$13+1,1))-AVERAGE(OFFSET($H$3,0,0,'Données projet'!$E$13+1,1))</f>
        <v>356.67698551373468</v>
      </c>
      <c r="CZ15" s="59">
        <f t="shared" si="42"/>
        <v>353.21836615408171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4.55</v>
      </c>
      <c r="DO15" s="12">
        <f>IF('Données projet'!$A$166&gt;35,DO14+DN15-DW14,IF(A15&lt;'Données projet'!$A$166,$DL$205^A15,IF(A15='Données projet'!$A$166,'Données projet'!$B$166,DO14+DN15-DW14)))</f>
        <v>14.97700019320108</v>
      </c>
      <c r="DP15" s="17">
        <f>DO15*VLOOKUP('Données projet'!$B$14,Paramètres!$A$1:$I$89,3,0)*VLOOKUP('Données projet'!$B$14,Paramètres!$A$1:$I$89,5,0)</f>
        <v>8.9562461155342472</v>
      </c>
      <c r="DQ15" s="13">
        <f t="shared" si="43"/>
        <v>3.1977949739831653</v>
      </c>
      <c r="DR15" s="20">
        <f t="shared" si="16"/>
        <v>21.168288230909493</v>
      </c>
      <c r="DS15" s="59">
        <f t="shared" si="17"/>
        <v>314.50162156424278</v>
      </c>
      <c r="DT15" s="59">
        <f ca="1">AVERAGE(OFFSET($DS$3,0,0,'Données projet'!$E$14+1,1))-AVERAGE(OFFSET($H$3,0,0,'Données projet'!$E$14+1,1))</f>
        <v>247.30892363953825</v>
      </c>
      <c r="DU15" s="59">
        <f t="shared" si="44"/>
        <v>248.38414731596578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4.55</v>
      </c>
      <c r="EJ15" s="12">
        <f>IF('Données projet'!$A$192&gt;35,EJ14+EI15-ER14,IF(A15&lt;'Données projet'!$A$192,$EG$205^A15,IF(A15='Données projet'!$A$192,'Données projet'!$B$192,EJ14+EI15-ER14)))</f>
        <v>14.97700019320108</v>
      </c>
      <c r="EK15" s="17">
        <f>EJ15*VLOOKUP('Données projet'!$B$15,Paramètres!$A$1:$I$89,3,0)*VLOOKUP('Données projet'!$B$15,Paramètres!$A$1:$I$89,5,0)</f>
        <v>8.9562461155342472</v>
      </c>
      <c r="EL15" s="13">
        <f t="shared" si="45"/>
        <v>3.1977949739831653</v>
      </c>
      <c r="EM15" s="20">
        <f t="shared" si="19"/>
        <v>21.168288230909493</v>
      </c>
      <c r="EN15" s="59">
        <f t="shared" si="20"/>
        <v>314.50162156424278</v>
      </c>
      <c r="EO15" s="59">
        <f ca="1">AVERAGE(OFFSET($EN$3,0,0,'Données projet'!$E$15+1,1))-AVERAGE(OFFSET($H$3,0,0,'Données projet'!$E$15+1,1))</f>
        <v>247.30892363953825</v>
      </c>
      <c r="EP15" s="59">
        <f t="shared" si="46"/>
        <v>248.38414731596578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4.8</v>
      </c>
      <c r="FE15" s="12">
        <f>IF('Données projet'!$A$218&gt;35,FE14+FD15-FM14,IF(A15&lt;'Données projet'!$A$218,$FB$205^A15,IF(A15='Données projet'!$A$218,'Données projet'!$B$218,FE14+FD15-FM14)))</f>
        <v>15.465456359454105</v>
      </c>
      <c r="FF15" s="17">
        <f>FE15*VLOOKUP('Données projet'!$B$16,Paramètres!$A$1:$I$89,3,0)*VLOOKUP('Données projet'!$B$16,Paramètres!$A$1:$I$89,5,0)</f>
        <v>7.4388845088974245</v>
      </c>
      <c r="FG15" s="13">
        <f t="shared" si="47"/>
        <v>2.7140407948008654</v>
      </c>
      <c r="FH15" s="20">
        <f t="shared" si="22"/>
        <v>17.683011570607853</v>
      </c>
      <c r="FI15" s="59">
        <f t="shared" si="23"/>
        <v>311.01634490394116</v>
      </c>
      <c r="FJ15" s="59">
        <f ca="1">AVERAGE(OFFSET($FI$3,0,0,'Données projet'!$E$16+1,1))-AVERAGE(OFFSET($H$3,0,0,'Données projet'!$E$16+1,1))</f>
        <v>322.54393676667081</v>
      </c>
      <c r="FK15" s="59">
        <f t="shared" si="48"/>
        <v>296.73904998640018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17.5</v>
      </c>
      <c r="N16" s="13">
        <f>IF('Données projet'!$A$36&gt;35,N15+M16-V15,IF(A16&lt;'Données projet'!$A$36,$K$205^A16,IF(A16='Données projet'!$A$36,'Données projet'!$B$36,N15+M16-V15)))</f>
        <v>72.5</v>
      </c>
      <c r="O16" s="13">
        <f>N16*VLOOKUP('Données projet'!$B$9,Paramètres!$A$1:$I$89,3,0)*VLOOKUP('Données projet'!$B$9,Paramètres!$A$1:$I$89,5,0)</f>
        <v>40.527500000000003</v>
      </c>
      <c r="P16" s="13">
        <f t="shared" si="33"/>
        <v>12.13835405384425</v>
      </c>
      <c r="Q16" s="20">
        <f t="shared" si="2"/>
        <v>91.726362477112062</v>
      </c>
      <c r="R16" s="59">
        <f t="shared" si="0"/>
        <v>385.05969581044536</v>
      </c>
      <c r="S16" s="59">
        <f ca="1">AVERAGE(OFFSET($R$3,0,0,'Données projet'!$E$9+1,1))-AVERAGE(OFFSET($H$3,0,0,'Données projet'!$E$9+1,1))</f>
        <v>401.06118089678654</v>
      </c>
      <c r="T16" s="59">
        <f t="shared" si="34"/>
        <v>399.58193819355591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</v>
      </c>
      <c r="AI16" s="13">
        <f>IF('Données projet'!$A$62&gt;35,AI15+AH16-AQ15,IF(A16&lt;'Données projet'!$A$62,$AF$205^A16,IF(A16='Données projet'!$A$62,'Données projet'!$B$62,AI15+AH16-AQ15)))</f>
        <v>22.218938391339591</v>
      </c>
      <c r="AJ16" s="13">
        <f>AI16*VLOOKUP('Données projet'!$B$10,Paramètres!$A$1:$I$89,3,0)*VLOOKUP('Données projet'!$B$10,Paramètres!$A$1:$I$89,5,0)</f>
        <v>13.864617556195904</v>
      </c>
      <c r="AK16" s="13">
        <f t="shared" si="35"/>
        <v>4.7048077348604007</v>
      </c>
      <c r="AL16" s="20">
        <f t="shared" si="4"/>
        <v>32.341749048589733</v>
      </c>
      <c r="AM16" s="59">
        <f t="shared" si="5"/>
        <v>325.67508238192306</v>
      </c>
      <c r="AN16" s="59">
        <f ca="1">AVERAGE(OFFSET($AM$3,0,0,'Données projet'!$E$10+1,1))-AVERAGE(OFFSET($H$3,0,0,'Données projet'!$E$10+1,1))</f>
        <v>240.30073883588199</v>
      </c>
      <c r="AO16" s="59">
        <f t="shared" si="36"/>
        <v>263.20351282678843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6.4</v>
      </c>
      <c r="BD16" s="12">
        <f>IF('Données projet'!$A$88&gt;35,BD15+BC16-BL15,IF(A16&lt;'Données projet'!$A$88,$BA$205^A16,IF(A16='Données projet'!$A$88,'Données projet'!$B$88,BD15+BC16-BL15)))</f>
        <v>23.425371135129978</v>
      </c>
      <c r="BE16" s="13">
        <f>BD16*VLOOKUP('Données projet'!$B$11,Paramètres!$A$1:$I$89,3,0)*VLOOKUP('Données projet'!$B$11,Paramètres!$A$1:$I$89,5,0)</f>
        <v>11.26760351599752</v>
      </c>
      <c r="BF16" s="13">
        <f t="shared" si="37"/>
        <v>3.9169716506299408</v>
      </c>
      <c r="BG16" s="20">
        <f t="shared" si="7"/>
        <v>26.446468415209495</v>
      </c>
      <c r="BH16" s="59">
        <f t="shared" si="8"/>
        <v>319.77980174854281</v>
      </c>
      <c r="BI16" s="59">
        <f ca="1">AVERAGE(OFFSET($BH$3,0,0,'Données projet'!$E$11+1,1))-AVERAGE(OFFSET($H$3,0,0,'Données projet'!$E$11+1,1))</f>
        <v>364.67510777943329</v>
      </c>
      <c r="BJ16" s="59">
        <f t="shared" si="38"/>
        <v>352.13878061387169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252.98248842635206</v>
      </c>
      <c r="CE16" s="59">
        <f t="shared" si="40"/>
        <v>207.11938580878308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15</v>
      </c>
      <c r="CT16" s="12">
        <f>IF('Données projet'!$A$140&gt;35,CT15+CS16-DB15,IF(A16&lt;'Données projet'!$A$140,$CQ$205^A16,IF(A16='Données projet'!$A$140,'Données projet'!$B$140,CT15+CS16-DB15)))</f>
        <v>57</v>
      </c>
      <c r="CU16" s="17">
        <f>CT16*VLOOKUP('Données projet'!$B$13,Paramètres!$A$1:$I$89,3,0)*VLOOKUP('Données projet'!$B$13,Paramètres!$A$1:$I$89,5,0)</f>
        <v>31.863</v>
      </c>
      <c r="CV16" s="13">
        <f t="shared" si="41"/>
        <v>9.8142283995824151</v>
      </c>
      <c r="CW16" s="20">
        <f t="shared" si="13"/>
        <v>72.587839462606041</v>
      </c>
      <c r="CX16" s="59">
        <f t="shared" si="14"/>
        <v>365.92117279593936</v>
      </c>
      <c r="CY16" s="59">
        <f ca="1">AVERAGE(OFFSET($CX$3,0,0,'Données projet'!$E$13+1,1))-AVERAGE(OFFSET($H$3,0,0,'Données projet'!$E$13+1,1))</f>
        <v>356.67698551373468</v>
      </c>
      <c r="CZ16" s="59">
        <f t="shared" si="42"/>
        <v>353.21836615408171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4.55</v>
      </c>
      <c r="DO16" s="12">
        <f>IF('Données projet'!$A$166&gt;35,DO15+DN16-DW15,IF(A16&lt;'Données projet'!$A$166,$DL$205^A16,IF(A16='Données projet'!$A$166,'Données projet'!$B$166,DO15+DN16-DW15)))</f>
        <v>18.766224393311244</v>
      </c>
      <c r="DP16" s="17">
        <f>DO16*VLOOKUP('Données projet'!$B$14,Paramètres!$A$1:$I$89,3,0)*VLOOKUP('Données projet'!$B$14,Paramètres!$A$1:$I$89,5,0)</f>
        <v>11.222202187200125</v>
      </c>
      <c r="DQ16" s="13">
        <f t="shared" si="43"/>
        <v>3.903022584605345</v>
      </c>
      <c r="DR16" s="20">
        <f t="shared" si="16"/>
        <v>26.343099810894525</v>
      </c>
      <c r="DS16" s="59">
        <f t="shared" si="17"/>
        <v>319.67643314422781</v>
      </c>
      <c r="DT16" s="59">
        <f ca="1">AVERAGE(OFFSET($DS$3,0,0,'Données projet'!$E$14+1,1))-AVERAGE(OFFSET($H$3,0,0,'Données projet'!$E$14+1,1))</f>
        <v>247.30892363953825</v>
      </c>
      <c r="DU16" s="59">
        <f t="shared" si="44"/>
        <v>248.38414731596578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4.55</v>
      </c>
      <c r="EJ16" s="12">
        <f>IF('Données projet'!$A$192&gt;35,EJ15+EI16-ER15,IF(A16&lt;'Données projet'!$A$192,$EG$205^A16,IF(A16='Données projet'!$A$192,'Données projet'!$B$192,EJ15+EI16-ER15)))</f>
        <v>18.766224393311244</v>
      </c>
      <c r="EK16" s="17">
        <f>EJ16*VLOOKUP('Données projet'!$B$15,Paramètres!$A$1:$I$89,3,0)*VLOOKUP('Données projet'!$B$15,Paramètres!$A$1:$I$89,5,0)</f>
        <v>11.222202187200125</v>
      </c>
      <c r="EL16" s="13">
        <f t="shared" si="45"/>
        <v>3.903022584605345</v>
      </c>
      <c r="EM16" s="20">
        <f t="shared" si="19"/>
        <v>26.343099810894525</v>
      </c>
      <c r="EN16" s="59">
        <f t="shared" si="20"/>
        <v>319.67643314422781</v>
      </c>
      <c r="EO16" s="59">
        <f ca="1">AVERAGE(OFFSET($EN$3,0,0,'Données projet'!$E$15+1,1))-AVERAGE(OFFSET($H$3,0,0,'Données projet'!$E$15+1,1))</f>
        <v>247.30892363953825</v>
      </c>
      <c r="EP16" s="59">
        <f t="shared" si="46"/>
        <v>248.38414731596578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4.8</v>
      </c>
      <c r="FE16" s="12">
        <f>IF('Données projet'!$A$218&gt;35,FE15+FD16-FM15,IF(A16&lt;'Données projet'!$A$218,$FB$205^A16,IF(A16='Données projet'!$A$218,'Données projet'!$B$218,FE15+FD16-FM15)))</f>
        <v>19.430156627119288</v>
      </c>
      <c r="FF16" s="17">
        <f>FE16*VLOOKUP('Données projet'!$B$16,Paramètres!$A$1:$I$89,3,0)*VLOOKUP('Données projet'!$B$16,Paramètres!$A$1:$I$89,5,0)</f>
        <v>9.3459053376443784</v>
      </c>
      <c r="FG16" s="13">
        <f t="shared" si="47"/>
        <v>3.3204207128716408</v>
      </c>
      <c r="FH16" s="20">
        <f t="shared" si="22"/>
        <v>22.060517871315398</v>
      </c>
      <c r="FI16" s="59">
        <f t="shared" si="23"/>
        <v>315.39385120464874</v>
      </c>
      <c r="FJ16" s="59">
        <f ca="1">AVERAGE(OFFSET($FI$3,0,0,'Données projet'!$E$16+1,1))-AVERAGE(OFFSET($H$3,0,0,'Données projet'!$E$16+1,1))</f>
        <v>322.54393676667081</v>
      </c>
      <c r="FK16" s="59">
        <f t="shared" si="48"/>
        <v>296.73904998640018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17.5</v>
      </c>
      <c r="N17" s="13">
        <f>IF('Données projet'!$A$36&gt;35,N16+M17-V16,IF(A17&lt;'Données projet'!$A$36,$K$205^A17,IF(A17='Données projet'!$A$36,'Données projet'!$B$36,N16+M17-V16)))</f>
        <v>90</v>
      </c>
      <c r="O17" s="13">
        <f>N17*VLOOKUP('Données projet'!$B$9,Paramètres!$A$1:$I$89,3,0)*VLOOKUP('Données projet'!$B$9,Paramètres!$A$1:$I$89,5,0)</f>
        <v>50.31</v>
      </c>
      <c r="P17" s="13">
        <f t="shared" si="33"/>
        <v>14.693789693291551</v>
      </c>
      <c r="Q17" s="20">
        <f t="shared" si="2"/>
        <v>113.21493371581612</v>
      </c>
      <c r="R17" s="59">
        <f t="shared" si="0"/>
        <v>406.54826704914944</v>
      </c>
      <c r="S17" s="59">
        <f ca="1">AVERAGE(OFFSET($R$3,0,0,'Données projet'!$E$9+1,1))-AVERAGE(OFFSET($H$3,0,0,'Données projet'!$E$9+1,1))</f>
        <v>401.06118089678654</v>
      </c>
      <c r="T17" s="59">
        <f t="shared" si="34"/>
        <v>399.58193819355591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</v>
      </c>
      <c r="AI17" s="13">
        <f>IF('Données projet'!$A$62&gt;35,AI16+AH17-AQ16,IF(A17&lt;'Données projet'!$A$62,$AF$205^A17,IF(A17='Données projet'!$A$62,'Données projet'!$B$62,AI16+AH17-AQ16)))</f>
        <v>28.204435057647181</v>
      </c>
      <c r="AJ17" s="13">
        <f>AI17*VLOOKUP('Données projet'!$B$10,Paramètres!$A$1:$I$89,3,0)*VLOOKUP('Données projet'!$B$10,Paramètres!$A$1:$I$89,5,0)</f>
        <v>17.599567475971842</v>
      </c>
      <c r="AK17" s="13">
        <f t="shared" si="35"/>
        <v>5.8086823487293593</v>
      </c>
      <c r="AL17" s="20">
        <f t="shared" si="4"/>
        <v>40.76936844468792</v>
      </c>
      <c r="AM17" s="59">
        <f t="shared" si="5"/>
        <v>334.10270177802124</v>
      </c>
      <c r="AN17" s="59">
        <f ca="1">AVERAGE(OFFSET($AM$3,0,0,'Données projet'!$E$10+1,1))-AVERAGE(OFFSET($H$3,0,0,'Données projet'!$E$10+1,1))</f>
        <v>240.30073883588199</v>
      </c>
      <c r="AO17" s="59">
        <f t="shared" si="36"/>
        <v>263.20351282678843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6.4</v>
      </c>
      <c r="BD17" s="12">
        <f>IF('Données projet'!$A$88&gt;35,BD16+BC17-BL16,IF(A17&lt;'Données projet'!$A$88,$BA$205^A17,IF(A17='Données projet'!$A$88,'Données projet'!$B$88,BD16+BC17-BL16)))</f>
        <v>29.857055729177794</v>
      </c>
      <c r="BE17" s="13">
        <f>BD17*VLOOKUP('Données projet'!$B$11,Paramètres!$A$1:$I$89,3,0)*VLOOKUP('Données projet'!$B$11,Paramètres!$A$1:$I$89,5,0)</f>
        <v>14.361243805734521</v>
      </c>
      <c r="BF17" s="13">
        <f t="shared" si="37"/>
        <v>4.8534098229351557</v>
      </c>
      <c r="BG17" s="20">
        <f t="shared" si="7"/>
        <v>33.46552173659969</v>
      </c>
      <c r="BH17" s="59">
        <f t="shared" si="8"/>
        <v>326.79885506993298</v>
      </c>
      <c r="BI17" s="59">
        <f ca="1">AVERAGE(OFFSET($BH$3,0,0,'Données projet'!$E$11+1,1))-AVERAGE(OFFSET($H$3,0,0,'Données projet'!$E$11+1,1))</f>
        <v>364.67510777943329</v>
      </c>
      <c r="BJ17" s="59">
        <f t="shared" si="38"/>
        <v>352.13878061387169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252.98248842635206</v>
      </c>
      <c r="CE17" s="59">
        <f t="shared" si="40"/>
        <v>207.11938580878308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15</v>
      </c>
      <c r="CT17" s="12">
        <f>IF('Données projet'!$A$140&gt;35,CT16+CS17-DB16,IF(A17&lt;'Données projet'!$A$140,$CQ$205^A17,IF(A17='Données projet'!$A$140,'Données projet'!$B$140,CT16+CS17-DB16)))</f>
        <v>72</v>
      </c>
      <c r="CU17" s="17">
        <f>CT17*VLOOKUP('Données projet'!$B$13,Paramètres!$A$1:$I$89,3,0)*VLOOKUP('Données projet'!$B$13,Paramètres!$A$1:$I$89,5,0)</f>
        <v>40.248000000000005</v>
      </c>
      <c r="CV17" s="13">
        <f t="shared" si="41"/>
        <v>12.064355669675363</v>
      </c>
      <c r="CW17" s="20">
        <f t="shared" si="13"/>
        <v>91.110686124684605</v>
      </c>
      <c r="CX17" s="59">
        <f t="shared" si="14"/>
        <v>384.44401945801792</v>
      </c>
      <c r="CY17" s="59">
        <f ca="1">AVERAGE(OFFSET($CX$3,0,0,'Données projet'!$E$13+1,1))-AVERAGE(OFFSET($H$3,0,0,'Données projet'!$E$13+1,1))</f>
        <v>356.67698551373468</v>
      </c>
      <c r="CZ17" s="59">
        <f t="shared" si="42"/>
        <v>353.21836615408171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4.55</v>
      </c>
      <c r="DO17" s="12">
        <f>IF('Données projet'!$A$166&gt;35,DO16+DN17-DW16,IF(A17&lt;'Données projet'!$A$166,$DL$205^A17,IF(A17='Données projet'!$A$166,'Données projet'!$B$166,DO16+DN17-DW16)))</f>
        <v>23.514133233434862</v>
      </c>
      <c r="DP17" s="17">
        <f>DO17*VLOOKUP('Données projet'!$B$14,Paramètres!$A$1:$I$89,3,0)*VLOOKUP('Données projet'!$B$14,Paramètres!$A$1:$I$89,5,0)</f>
        <v>14.061451673594048</v>
      </c>
      <c r="DQ17" s="13">
        <f t="shared" si="43"/>
        <v>4.7637779844792423</v>
      </c>
      <c r="DR17" s="20">
        <f t="shared" si="16"/>
        <v>32.787274987810981</v>
      </c>
      <c r="DS17" s="59">
        <f t="shared" si="17"/>
        <v>326.12060832114429</v>
      </c>
      <c r="DT17" s="59">
        <f ca="1">AVERAGE(OFFSET($DS$3,0,0,'Données projet'!$E$14+1,1))-AVERAGE(OFFSET($H$3,0,0,'Données projet'!$E$14+1,1))</f>
        <v>247.30892363953825</v>
      </c>
      <c r="DU17" s="59">
        <f t="shared" si="44"/>
        <v>248.38414731596578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4.55</v>
      </c>
      <c r="EJ17" s="12">
        <f>IF('Données projet'!$A$192&gt;35,EJ16+EI17-ER16,IF(A17&lt;'Données projet'!$A$192,$EG$205^A17,IF(A17='Données projet'!$A$192,'Données projet'!$B$192,EJ16+EI17-ER16)))</f>
        <v>23.514133233434862</v>
      </c>
      <c r="EK17" s="17">
        <f>EJ17*VLOOKUP('Données projet'!$B$15,Paramètres!$A$1:$I$89,3,0)*VLOOKUP('Données projet'!$B$15,Paramètres!$A$1:$I$89,5,0)</f>
        <v>14.061451673594048</v>
      </c>
      <c r="EL17" s="13">
        <f t="shared" si="45"/>
        <v>4.7637779844792423</v>
      </c>
      <c r="EM17" s="20">
        <f t="shared" si="19"/>
        <v>32.787274987810981</v>
      </c>
      <c r="EN17" s="59">
        <f t="shared" si="20"/>
        <v>326.12060832114429</v>
      </c>
      <c r="EO17" s="59">
        <f ca="1">AVERAGE(OFFSET($EN$3,0,0,'Données projet'!$E$15+1,1))-AVERAGE(OFFSET($H$3,0,0,'Données projet'!$E$15+1,1))</f>
        <v>247.30892363953825</v>
      </c>
      <c r="EP17" s="59">
        <f t="shared" si="46"/>
        <v>248.38414731596578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4.8</v>
      </c>
      <c r="FE17" s="12">
        <f>IF('Données projet'!$A$218&gt;35,FE16+FD17-FM16,IF(A17&lt;'Données projet'!$A$218,$FB$205^A17,IF(A17='Données projet'!$A$218,'Données projet'!$B$218,FE16+FD17-FM16)))</f>
        <v>24.411241270846887</v>
      </c>
      <c r="FF17" s="17">
        <f>FE17*VLOOKUP('Données projet'!$B$16,Paramètres!$A$1:$I$89,3,0)*VLOOKUP('Données projet'!$B$16,Paramètres!$A$1:$I$89,5,0)</f>
        <v>11.741807051277354</v>
      </c>
      <c r="FG17" s="13">
        <f t="shared" si="47"/>
        <v>4.0622800259993692</v>
      </c>
      <c r="FH17" s="20">
        <f t="shared" si="22"/>
        <v>27.525451659590289</v>
      </c>
      <c r="FI17" s="59">
        <f t="shared" si="23"/>
        <v>320.85878499292357</v>
      </c>
      <c r="FJ17" s="59">
        <f ca="1">AVERAGE(OFFSET($FI$3,0,0,'Données projet'!$E$16+1,1))-AVERAGE(OFFSET($H$3,0,0,'Données projet'!$E$16+1,1))</f>
        <v>322.54393676667081</v>
      </c>
      <c r="FK17" s="59">
        <f t="shared" si="48"/>
        <v>296.73904998640018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17.5</v>
      </c>
      <c r="N18" s="13">
        <f>IF('Données projet'!$A$36&gt;35,N17+M18-V17,IF(A18&lt;'Données projet'!$A$36,$K$205^A18,IF(A18='Données projet'!$A$36,'Données projet'!$B$36,N17+M18-V17)))</f>
        <v>107.5</v>
      </c>
      <c r="O18" s="13">
        <f>N18*VLOOKUP('Données projet'!$B$9,Paramètres!$A$1:$I$89,3,0)*VLOOKUP('Données projet'!$B$9,Paramètres!$A$1:$I$89,5,0)</f>
        <v>60.092500000000001</v>
      </c>
      <c r="P18" s="13">
        <f t="shared" si="33"/>
        <v>17.191653817497027</v>
      </c>
      <c r="Q18" s="20">
        <f t="shared" si="2"/>
        <v>134.603234565474</v>
      </c>
      <c r="R18" s="59">
        <f t="shared" si="0"/>
        <v>427.93656789880731</v>
      </c>
      <c r="S18" s="59">
        <f ca="1">AVERAGE(OFFSET($R$3,0,0,'Données projet'!$E$9+1,1))-AVERAGE(OFFSET($H$3,0,0,'Données projet'!$E$9+1,1))</f>
        <v>401.06118089678654</v>
      </c>
      <c r="T18" s="59">
        <f t="shared" si="34"/>
        <v>399.58193819355591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</v>
      </c>
      <c r="AI18" s="13">
        <f>IF('Données projet'!$A$62&gt;35,AI17+AH18-AQ17,IF(A18&lt;'Données projet'!$A$62,$AF$205^A18,IF(A18='Données projet'!$A$62,'Données projet'!$B$62,AI17+AH18-AQ17)))</f>
        <v>35.802347659917913</v>
      </c>
      <c r="AJ18" s="13">
        <f>AI18*VLOOKUP('Données projet'!$B$10,Paramètres!$A$1:$I$89,3,0)*VLOOKUP('Données projet'!$B$10,Paramètres!$A$1:$I$89,5,0)</f>
        <v>22.34066493978878</v>
      </c>
      <c r="AK18" s="13">
        <f t="shared" si="35"/>
        <v>7.1715556787659356</v>
      </c>
      <c r="AL18" s="20">
        <f t="shared" si="4"/>
        <v>51.400450910649454</v>
      </c>
      <c r="AM18" s="59">
        <f t="shared" si="5"/>
        <v>344.73378424398277</v>
      </c>
      <c r="AN18" s="59">
        <f ca="1">AVERAGE(OFFSET($AM$3,0,0,'Données projet'!$E$10+1,1))-AVERAGE(OFFSET($H$3,0,0,'Données projet'!$E$10+1,1))</f>
        <v>240.30073883588199</v>
      </c>
      <c r="AO18" s="59">
        <f t="shared" si="36"/>
        <v>263.20351282678843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6.4</v>
      </c>
      <c r="BD18" s="12">
        <f>IF('Données projet'!$A$88&gt;35,BD17+BC18-BL17,IF(A18&lt;'Données projet'!$A$88,$BA$205^A18,IF(A18='Données projet'!$A$88,'Données projet'!$B$88,BD17+BC18-BL17)))</f>
        <v>38.054627680087016</v>
      </c>
      <c r="BE18" s="13">
        <f>BD18*VLOOKUP('Données projet'!$B$11,Paramètres!$A$1:$I$89,3,0)*VLOOKUP('Données projet'!$B$11,Paramètres!$A$1:$I$89,5,0)</f>
        <v>18.304275914121856</v>
      </c>
      <c r="BF18" s="13">
        <f t="shared" si="37"/>
        <v>6.0137241242415316</v>
      </c>
      <c r="BG18" s="20">
        <f t="shared" si="7"/>
        <v>42.353850066816229</v>
      </c>
      <c r="BH18" s="59">
        <f t="shared" si="8"/>
        <v>335.68718340014954</v>
      </c>
      <c r="BI18" s="59">
        <f ca="1">AVERAGE(OFFSET($BH$3,0,0,'Données projet'!$E$11+1,1))-AVERAGE(OFFSET($H$3,0,0,'Données projet'!$E$11+1,1))</f>
        <v>364.67510777943329</v>
      </c>
      <c r="BJ18" s="59">
        <f t="shared" si="38"/>
        <v>352.13878061387169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252.98248842635206</v>
      </c>
      <c r="CE18" s="59">
        <f t="shared" si="40"/>
        <v>207.11938580878308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15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48.632999999999996</v>
      </c>
      <c r="CV18" s="13">
        <f t="shared" si="41"/>
        <v>14.260158409918978</v>
      </c>
      <c r="CW18" s="20">
        <f t="shared" si="13"/>
        <v>109.53891756394221</v>
      </c>
      <c r="CX18" s="59">
        <f t="shared" si="14"/>
        <v>402.87225089727553</v>
      </c>
      <c r="CY18" s="59">
        <f ca="1">AVERAGE(OFFSET($CX$3,0,0,'Données projet'!$E$13+1,1))-AVERAGE(OFFSET($H$3,0,0,'Données projet'!$E$13+1,1))</f>
        <v>356.67698551373468</v>
      </c>
      <c r="CZ18" s="59">
        <f t="shared" si="42"/>
        <v>353.21836615408171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4.55</v>
      </c>
      <c r="DO18" s="12">
        <f>IF('Données projet'!$A$166&gt;35,DO17+DN18-DW17,IF(A18&lt;'Données projet'!$A$166,$DL$205^A18,IF(A18='Données projet'!$A$166,'Données projet'!$B$166,DO17+DN18-DW17)))</f>
        <v>29.463276689625356</v>
      </c>
      <c r="DP18" s="17">
        <f>DO18*VLOOKUP('Données projet'!$B$14,Paramètres!$A$1:$I$89,3,0)*VLOOKUP('Données projet'!$B$14,Paramètres!$A$1:$I$89,5,0)</f>
        <v>17.619039460395964</v>
      </c>
      <c r="DQ18" s="13">
        <f t="shared" si="43"/>
        <v>5.8143605868229411</v>
      </c>
      <c r="DR18" s="20">
        <f t="shared" si="16"/>
        <v>40.81317174890625</v>
      </c>
      <c r="DS18" s="59">
        <f t="shared" si="17"/>
        <v>334.14650508223957</v>
      </c>
      <c r="DT18" s="59">
        <f ca="1">AVERAGE(OFFSET($DS$3,0,0,'Données projet'!$E$14+1,1))-AVERAGE(OFFSET($H$3,0,0,'Données projet'!$E$14+1,1))</f>
        <v>247.30892363953825</v>
      </c>
      <c r="DU18" s="59">
        <f t="shared" si="44"/>
        <v>248.38414731596578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4.55</v>
      </c>
      <c r="EJ18" s="12">
        <f>IF('Données projet'!$A$192&gt;35,EJ17+EI18-ER17,IF(A18&lt;'Données projet'!$A$192,$EG$205^A18,IF(A18='Données projet'!$A$192,'Données projet'!$B$192,EJ17+EI18-ER17)))</f>
        <v>29.463276689625356</v>
      </c>
      <c r="EK18" s="17">
        <f>EJ18*VLOOKUP('Données projet'!$B$15,Paramètres!$A$1:$I$89,3,0)*VLOOKUP('Données projet'!$B$15,Paramètres!$A$1:$I$89,5,0)</f>
        <v>17.619039460395964</v>
      </c>
      <c r="EL18" s="13">
        <f t="shared" si="45"/>
        <v>5.8143605868229411</v>
      </c>
      <c r="EM18" s="20">
        <f t="shared" si="19"/>
        <v>40.81317174890625</v>
      </c>
      <c r="EN18" s="59">
        <f t="shared" si="20"/>
        <v>334.14650508223957</v>
      </c>
      <c r="EO18" s="59">
        <f ca="1">AVERAGE(OFFSET($EN$3,0,0,'Données projet'!$E$15+1,1))-AVERAGE(OFFSET($H$3,0,0,'Données projet'!$E$15+1,1))</f>
        <v>247.30892363953825</v>
      </c>
      <c r="EP18" s="59">
        <f t="shared" si="46"/>
        <v>248.38414731596578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4.8</v>
      </c>
      <c r="FE18" s="12">
        <f>IF('Données projet'!$A$218&gt;35,FE17+FD18-FM17,IF(A18&lt;'Données projet'!$A$218,$FB$205^A18,IF(A18='Données projet'!$A$218,'Données projet'!$B$218,FE17+FD18-FM17)))</f>
        <v>30.669269003821089</v>
      </c>
      <c r="FF18" s="17">
        <f>FE18*VLOOKUP('Données projet'!$B$16,Paramètres!$A$1:$I$89,3,0)*VLOOKUP('Données projet'!$B$16,Paramètres!$A$1:$I$89,5,0)</f>
        <v>14.751918390837945</v>
      </c>
      <c r="FG18" s="13">
        <f t="shared" si="47"/>
        <v>4.9698879860804466</v>
      </c>
      <c r="FH18" s="20">
        <f t="shared" si="22"/>
        <v>34.348812773132863</v>
      </c>
      <c r="FI18" s="59">
        <f t="shared" si="23"/>
        <v>327.68214610646618</v>
      </c>
      <c r="FJ18" s="59">
        <f ca="1">AVERAGE(OFFSET($FI$3,0,0,'Données projet'!$E$16+1,1))-AVERAGE(OFFSET($H$3,0,0,'Données projet'!$E$16+1,1))</f>
        <v>322.54393676667081</v>
      </c>
      <c r="FK18" s="59">
        <f t="shared" si="48"/>
        <v>296.73904998640018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17.5</v>
      </c>
      <c r="N19" s="13">
        <f>IF('Données projet'!$A$36&gt;35,N18+M19-V18,IF(A19&lt;'Données projet'!$A$36,$K$205^A19,IF(A19='Données projet'!$A$36,'Données projet'!$B$36,N18+M19-V18)))</f>
        <v>125</v>
      </c>
      <c r="O19" s="13">
        <f>N19*VLOOKUP('Données projet'!$B$9,Paramètres!$A$1:$I$89,3,0)*VLOOKUP('Données projet'!$B$9,Paramètres!$A$1:$I$89,5,0)</f>
        <v>69.875</v>
      </c>
      <c r="P19" s="13">
        <f t="shared" si="33"/>
        <v>19.64241243753855</v>
      </c>
      <c r="Q19" s="20">
        <f t="shared" si="2"/>
        <v>155.90949332871295</v>
      </c>
      <c r="R19" s="59">
        <f t="shared" si="0"/>
        <v>449.24282666204624</v>
      </c>
      <c r="S19" s="59">
        <f ca="1">AVERAGE(OFFSET($R$3,0,0,'Données projet'!$E$9+1,1))-AVERAGE(OFFSET($H$3,0,0,'Données projet'!$E$9+1,1))</f>
        <v>401.06118089678654</v>
      </c>
      <c r="T19" s="59">
        <f t="shared" si="34"/>
        <v>399.58193819355591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</v>
      </c>
      <c r="AI19" s="13">
        <f>IF('Données projet'!$A$62&gt;35,AI18+AH19-AQ18,IF(A19&lt;'Données projet'!$A$62,$AF$205^A19,IF(A19='Données projet'!$A$62,'Données projet'!$B$62,AI18+AH19-AQ18)))</f>
        <v>45.44704034460311</v>
      </c>
      <c r="AJ19" s="13">
        <f>AI19*VLOOKUP('Données projet'!$B$10,Paramètres!$A$1:$I$89,3,0)*VLOOKUP('Données projet'!$B$10,Paramètres!$A$1:$I$89,5,0)</f>
        <v>28.35895317503234</v>
      </c>
      <c r="AK19" s="13">
        <f t="shared" si="35"/>
        <v>8.8541957996533291</v>
      </c>
      <c r="AL19" s="20">
        <f t="shared" si="4"/>
        <v>64.812901130910859</v>
      </c>
      <c r="AM19" s="59">
        <f t="shared" si="5"/>
        <v>358.14623446424417</v>
      </c>
      <c r="AN19" s="59">
        <f ca="1">AVERAGE(OFFSET($AM$3,0,0,'Données projet'!$E$10+1,1))-AVERAGE(OFFSET($H$3,0,0,'Données projet'!$E$10+1,1))</f>
        <v>240.30073883588199</v>
      </c>
      <c r="AO19" s="59">
        <f t="shared" si="36"/>
        <v>263.20351282678843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6.4</v>
      </c>
      <c r="BD19" s="12">
        <f>IF('Données projet'!$A$88&gt;35,BD18+BC19-BL18,IF(A19&lt;'Données projet'!$A$88,$BA$205^A19,IF(A19='Données projet'!$A$88,'Données projet'!$B$88,BD18+BC19-BL18)))</f>
        <v>48.502930128332665</v>
      </c>
      <c r="BE19" s="13">
        <f>BD19*VLOOKUP('Données projet'!$B$11,Paramètres!$A$1:$I$89,3,0)*VLOOKUP('Données projet'!$B$11,Paramètres!$A$1:$I$89,5,0)</f>
        <v>23.329909391728009</v>
      </c>
      <c r="BF19" s="13">
        <f t="shared" si="37"/>
        <v>7.4514370642233247</v>
      </c>
      <c r="BG19" s="20">
        <f t="shared" si="7"/>
        <v>53.610845077448573</v>
      </c>
      <c r="BH19" s="59">
        <f t="shared" si="8"/>
        <v>346.94417841078189</v>
      </c>
      <c r="BI19" s="59">
        <f ca="1">AVERAGE(OFFSET($BH$3,0,0,'Données projet'!$E$11+1,1))-AVERAGE(OFFSET($H$3,0,0,'Données projet'!$E$11+1,1))</f>
        <v>364.67510777943329</v>
      </c>
      <c r="BJ19" s="59">
        <f t="shared" si="38"/>
        <v>352.13878061387169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252.98248842635206</v>
      </c>
      <c r="CE19" s="59">
        <f t="shared" si="40"/>
        <v>207.11938580878308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15</v>
      </c>
      <c r="CT19" s="12">
        <f>IF('Données projet'!$A$140&gt;35,CT18+CS19-DB18,IF(A19&lt;'Données projet'!$A$140,$CQ$205^A19,IF(A19='Données projet'!$A$140,'Données projet'!$B$140,CT18+CS19-DB18)))</f>
        <v>102</v>
      </c>
      <c r="CU19" s="17">
        <f>CT19*VLOOKUP('Données projet'!$B$13,Paramètres!$A$1:$I$89,3,0)*VLOOKUP('Données projet'!$B$13,Paramètres!$A$1:$I$89,5,0)</f>
        <v>57.018000000000001</v>
      </c>
      <c r="CV19" s="13">
        <f t="shared" si="41"/>
        <v>16.412103612717626</v>
      </c>
      <c r="CW19" s="20">
        <f t="shared" si="13"/>
        <v>127.89076379214985</v>
      </c>
      <c r="CX19" s="59">
        <f t="shared" si="14"/>
        <v>421.22409712548318</v>
      </c>
      <c r="CY19" s="59">
        <f ca="1">AVERAGE(OFFSET($CX$3,0,0,'Données projet'!$E$13+1,1))-AVERAGE(OFFSET($H$3,0,0,'Données projet'!$E$13+1,1))</f>
        <v>356.67698551373468</v>
      </c>
      <c r="CZ19" s="59">
        <f t="shared" si="42"/>
        <v>353.21836615408171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4.55</v>
      </c>
      <c r="DO19" s="12">
        <f>IF('Données projet'!$A$166&gt;35,DO18+DN19-DW18,IF(A19&lt;'Données projet'!$A$166,$DL$205^A19,IF(A19='Données projet'!$A$166,'Données projet'!$B$166,DO18+DN19-DW18)))</f>
        <v>36.917570580704506</v>
      </c>
      <c r="DP19" s="17">
        <f>DO19*VLOOKUP('Données projet'!$B$14,Paramètres!$A$1:$I$89,3,0)*VLOOKUP('Données projet'!$B$14,Paramètres!$A$1:$I$89,5,0)</f>
        <v>22.076707207261297</v>
      </c>
      <c r="DQ19" s="13">
        <f t="shared" si="43"/>
        <v>7.0966340462853541</v>
      </c>
      <c r="DR19" s="20">
        <f t="shared" si="16"/>
        <v>50.810236016593741</v>
      </c>
      <c r="DS19" s="59">
        <f t="shared" si="17"/>
        <v>344.14356934992708</v>
      </c>
      <c r="DT19" s="59">
        <f ca="1">AVERAGE(OFFSET($DS$3,0,0,'Données projet'!$E$14+1,1))-AVERAGE(OFFSET($H$3,0,0,'Données projet'!$E$14+1,1))</f>
        <v>247.30892363953825</v>
      </c>
      <c r="DU19" s="59">
        <f t="shared" si="44"/>
        <v>248.38414731596578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4.55</v>
      </c>
      <c r="EJ19" s="12">
        <f>IF('Données projet'!$A$192&gt;35,EJ18+EI19-ER18,IF(A19&lt;'Données projet'!$A$192,$EG$205^A19,IF(A19='Données projet'!$A$192,'Données projet'!$B$192,EJ18+EI19-ER18)))</f>
        <v>36.917570580704506</v>
      </c>
      <c r="EK19" s="17">
        <f>EJ19*VLOOKUP('Données projet'!$B$15,Paramètres!$A$1:$I$89,3,0)*VLOOKUP('Données projet'!$B$15,Paramètres!$A$1:$I$89,5,0)</f>
        <v>22.076707207261297</v>
      </c>
      <c r="EL19" s="13">
        <f t="shared" si="45"/>
        <v>7.0966340462853541</v>
      </c>
      <c r="EM19" s="20">
        <f t="shared" si="19"/>
        <v>50.810236016593741</v>
      </c>
      <c r="EN19" s="59">
        <f t="shared" si="20"/>
        <v>344.14356934992708</v>
      </c>
      <c r="EO19" s="59">
        <f ca="1">AVERAGE(OFFSET($EN$3,0,0,'Données projet'!$E$15+1,1))-AVERAGE(OFFSET($H$3,0,0,'Données projet'!$E$15+1,1))</f>
        <v>247.30892363953825</v>
      </c>
      <c r="EP19" s="59">
        <f t="shared" si="46"/>
        <v>248.38414731596578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4.8</v>
      </c>
      <c r="FE19" s="12">
        <f>IF('Données projet'!$A$218&gt;35,FE18+FD19-FM18,IF(A19&lt;'Données projet'!$A$218,$FB$205^A19,IF(A19='Données projet'!$A$218,'Données projet'!$B$218,FE18+FD19-FM18)))</f>
        <v>38.531594964491077</v>
      </c>
      <c r="FF19" s="17">
        <f>FE19*VLOOKUP('Données projet'!$B$16,Paramètres!$A$1:$I$89,3,0)*VLOOKUP('Données projet'!$B$16,Paramètres!$A$1:$I$89,5,0)</f>
        <v>18.533697177920207</v>
      </c>
      <c r="FG19" s="13">
        <f t="shared" si="47"/>
        <v>6.0802767007944762</v>
      </c>
      <c r="FH19" s="20">
        <f t="shared" si="22"/>
        <v>42.869337838761396</v>
      </c>
      <c r="FI19" s="59">
        <f t="shared" si="23"/>
        <v>336.20267117209471</v>
      </c>
      <c r="FJ19" s="59">
        <f ca="1">AVERAGE(OFFSET($FI$3,0,0,'Données projet'!$E$16+1,1))-AVERAGE(OFFSET($H$3,0,0,'Données projet'!$E$16+1,1))</f>
        <v>322.54393676667081</v>
      </c>
      <c r="FK19" s="59">
        <f t="shared" si="48"/>
        <v>296.73904998640018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17.5</v>
      </c>
      <c r="N20" s="13">
        <f>IF('Données projet'!$A$36&gt;35,N19+M20-V19,IF(A20&lt;'Données projet'!$A$36,$K$205^A20,IF(A20='Données projet'!$A$36,'Données projet'!$B$36,N19+M20-V19)))</f>
        <v>142.5</v>
      </c>
      <c r="O20" s="13">
        <f>N20*VLOOKUP('Données projet'!$B$9,Paramètres!$A$1:$I$89,3,0)*VLOOKUP('Données projet'!$B$9,Paramètres!$A$1:$I$89,5,0)</f>
        <v>79.657499999999999</v>
      </c>
      <c r="P20" s="13">
        <f t="shared" si="33"/>
        <v>22.05342019864063</v>
      </c>
      <c r="Q20" s="20">
        <f t="shared" si="2"/>
        <v>177.14651934596574</v>
      </c>
      <c r="R20" s="59">
        <f t="shared" si="0"/>
        <v>470.47985267929903</v>
      </c>
      <c r="S20" s="59">
        <f ca="1">AVERAGE(OFFSET($R$3,0,0,'Données projet'!$E$9+1,1))-AVERAGE(OFFSET($H$3,0,0,'Données projet'!$E$9+1,1))</f>
        <v>401.06118089678654</v>
      </c>
      <c r="T20" s="59">
        <f t="shared" si="34"/>
        <v>399.58193819355591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</v>
      </c>
      <c r="AI20" s="13">
        <f>IF('Données projet'!$A$62&gt;35,AI19+AH20-AQ19,IF(A20&lt;'Données projet'!$A$62,$AF$205^A20,IF(A20='Données projet'!$A$62,'Données projet'!$B$62,AI19+AH20-AQ19)))</f>
        <v>57.68988938108977</v>
      </c>
      <c r="AJ20" s="13">
        <f>AI20*VLOOKUP('Données projet'!$B$10,Paramètres!$A$1:$I$89,3,0)*VLOOKUP('Données projet'!$B$10,Paramètres!$A$1:$I$89,5,0)</f>
        <v>35.998490973800017</v>
      </c>
      <c r="AK20" s="13">
        <f t="shared" si="35"/>
        <v>10.931628613122477</v>
      </c>
      <c r="AL20" s="20">
        <f t="shared" si="4"/>
        <v>81.736624947223348</v>
      </c>
      <c r="AM20" s="59">
        <f t="shared" si="5"/>
        <v>375.06995828055665</v>
      </c>
      <c r="AN20" s="59">
        <f ca="1">AVERAGE(OFFSET($AM$3,0,0,'Données projet'!$E$10+1,1))-AVERAGE(OFFSET($H$3,0,0,'Données projet'!$E$10+1,1))</f>
        <v>240.30073883588199</v>
      </c>
      <c r="AO20" s="59">
        <f t="shared" si="36"/>
        <v>263.20351282678843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6.4</v>
      </c>
      <c r="BD20" s="12">
        <f>IF('Données projet'!$A$88&gt;35,BD19+BC20-BL19,IF(A20&lt;'Données projet'!$A$88,$BA$205^A20,IF(A20='Données projet'!$A$88,'Données projet'!$B$88,BD19+BC20-BL19)))</f>
        <v>61.819925051190012</v>
      </c>
      <c r="BE20" s="13">
        <f>BD20*VLOOKUP('Données projet'!$B$11,Paramètres!$A$1:$I$89,3,0)*VLOOKUP('Données projet'!$B$11,Paramètres!$A$1:$I$89,5,0)</f>
        <v>29.735383949622396</v>
      </c>
      <c r="BF20" s="13">
        <f t="shared" si="37"/>
        <v>9.2328668849743707</v>
      </c>
      <c r="BG20" s="20">
        <f t="shared" si="7"/>
        <v>67.8697035369227</v>
      </c>
      <c r="BH20" s="59">
        <f t="shared" si="8"/>
        <v>361.20303687025603</v>
      </c>
      <c r="BI20" s="59">
        <f ca="1">AVERAGE(OFFSET($BH$3,0,0,'Données projet'!$E$11+1,1))-AVERAGE(OFFSET($H$3,0,0,'Données projet'!$E$11+1,1))</f>
        <v>364.67510777943329</v>
      </c>
      <c r="BJ20" s="59">
        <f t="shared" si="38"/>
        <v>352.13878061387169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252.98248842635206</v>
      </c>
      <c r="CE20" s="59">
        <f t="shared" si="40"/>
        <v>207.11938580878308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15</v>
      </c>
      <c r="CT20" s="12">
        <f>IF('Données projet'!$A$140&gt;35,CT19+CS20-DB19,IF(A20&lt;'Données projet'!$A$140,$CQ$205^A20,IF(A20='Données projet'!$A$140,'Données projet'!$B$140,CT19+CS20-DB19)))</f>
        <v>117</v>
      </c>
      <c r="CU20" s="17">
        <f>CT20*VLOOKUP('Données projet'!$B$13,Paramètres!$A$1:$I$89,3,0)*VLOOKUP('Données projet'!$B$13,Paramètres!$A$1:$I$89,5,0)</f>
        <v>65.403000000000006</v>
      </c>
      <c r="CV20" s="13">
        <f t="shared" si="41"/>
        <v>18.527386684584471</v>
      </c>
      <c r="CW20" s="20">
        <f t="shared" si="13"/>
        <v>146.17875680898462</v>
      </c>
      <c r="CX20" s="59">
        <f t="shared" si="14"/>
        <v>439.5120901423179</v>
      </c>
      <c r="CY20" s="59">
        <f ca="1">AVERAGE(OFFSET($CX$3,0,0,'Données projet'!$E$13+1,1))-AVERAGE(OFFSET($H$3,0,0,'Données projet'!$E$13+1,1))</f>
        <v>356.67698551373468</v>
      </c>
      <c r="CZ20" s="59">
        <f t="shared" si="42"/>
        <v>353.21836615408171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4.55</v>
      </c>
      <c r="DO20" s="12">
        <f>IF('Données projet'!$A$166&gt;35,DO19+DN20-DW19,IF(A20&lt;'Données projet'!$A$166,$DL$205^A20,IF(A20='Données projet'!$A$166,'Données projet'!$B$166,DO19+DN20-DW19)))</f>
        <v>46.257822303288052</v>
      </c>
      <c r="DP20" s="17">
        <f>DO20*VLOOKUP('Données projet'!$B$14,Paramètres!$A$1:$I$89,3,0)*VLOOKUP('Données projet'!$B$14,Paramètres!$A$1:$I$89,5,0)</f>
        <v>27.66217773736626</v>
      </c>
      <c r="DQ20" s="13">
        <f t="shared" si="43"/>
        <v>8.6616944434151719</v>
      </c>
      <c r="DR20" s="20">
        <f t="shared" si="16"/>
        <v>63.264077381527663</v>
      </c>
      <c r="DS20" s="59">
        <f t="shared" si="17"/>
        <v>356.59741071486098</v>
      </c>
      <c r="DT20" s="59">
        <f ca="1">AVERAGE(OFFSET($DS$3,0,0,'Données projet'!$E$14+1,1))-AVERAGE(OFFSET($H$3,0,0,'Données projet'!$E$14+1,1))</f>
        <v>247.30892363953825</v>
      </c>
      <c r="DU20" s="59">
        <f t="shared" si="44"/>
        <v>248.38414731596578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4.55</v>
      </c>
      <c r="EJ20" s="12">
        <f>IF('Données projet'!$A$192&gt;35,EJ19+EI20-ER19,IF(A20&lt;'Données projet'!$A$192,$EG$205^A20,IF(A20='Données projet'!$A$192,'Données projet'!$B$192,EJ19+EI20-ER19)))</f>
        <v>46.257822303288052</v>
      </c>
      <c r="EK20" s="17">
        <f>EJ20*VLOOKUP('Données projet'!$B$15,Paramètres!$A$1:$I$89,3,0)*VLOOKUP('Données projet'!$B$15,Paramètres!$A$1:$I$89,5,0)</f>
        <v>27.66217773736626</v>
      </c>
      <c r="EL20" s="13">
        <f t="shared" si="45"/>
        <v>8.6616944434151719</v>
      </c>
      <c r="EM20" s="20">
        <f t="shared" si="19"/>
        <v>63.264077381527663</v>
      </c>
      <c r="EN20" s="59">
        <f t="shared" si="20"/>
        <v>356.59741071486098</v>
      </c>
      <c r="EO20" s="59">
        <f ca="1">AVERAGE(OFFSET($EN$3,0,0,'Données projet'!$E$15+1,1))-AVERAGE(OFFSET($H$3,0,0,'Données projet'!$E$15+1,1))</f>
        <v>247.30892363953825</v>
      </c>
      <c r="EP20" s="59">
        <f t="shared" si="46"/>
        <v>248.38414731596578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4.8</v>
      </c>
      <c r="FE20" s="12">
        <f>IF('Données projet'!$A$218&gt;35,FE19+FD20-FM19,IF(A20&lt;'Données projet'!$A$218,$FB$205^A20,IF(A20='Données projet'!$A$218,'Données projet'!$B$218,FE19+FD20-FM19)))</f>
        <v>48.409494543955958</v>
      </c>
      <c r="FF20" s="17">
        <f>FE20*VLOOKUP('Données projet'!$B$16,Paramètres!$A$1:$I$89,3,0)*VLOOKUP('Données projet'!$B$16,Paramètres!$A$1:$I$89,5,0)</f>
        <v>23.284966875642816</v>
      </c>
      <c r="FG20" s="13">
        <f t="shared" si="47"/>
        <v>7.4387521130794694</v>
      </c>
      <c r="FH20" s="20">
        <f t="shared" si="22"/>
        <v>53.510477238691315</v>
      </c>
      <c r="FI20" s="59">
        <f t="shared" si="23"/>
        <v>346.84381057202461</v>
      </c>
      <c r="FJ20" s="59">
        <f ca="1">AVERAGE(OFFSET($FI$3,0,0,'Données projet'!$E$16+1,1))-AVERAGE(OFFSET($H$3,0,0,'Données projet'!$E$16+1,1))</f>
        <v>322.54393676667081</v>
      </c>
      <c r="FK20" s="59">
        <f t="shared" si="48"/>
        <v>296.73904998640018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17.5</v>
      </c>
      <c r="N21" s="13">
        <f>IF('Données projet'!$A$36&gt;35,N20+M21-V20,IF(A21&lt;'Données projet'!$A$36,$K$205^A21,IF(A21='Données projet'!$A$36,'Données projet'!$B$36,N20+M21-V20)))</f>
        <v>160</v>
      </c>
      <c r="O21" s="13">
        <f>N21*VLOOKUP('Données projet'!$B$9,Paramètres!$A$1:$I$89,3,0)*VLOOKUP('Données projet'!$B$9,Paramètres!$A$1:$I$89,5,0)</f>
        <v>89.44</v>
      </c>
      <c r="P21" s="13">
        <f t="shared" si="33"/>
        <v>24.430117455867048</v>
      </c>
      <c r="Q21" s="20">
        <f t="shared" si="2"/>
        <v>198.32378790230177</v>
      </c>
      <c r="R21" s="59">
        <f t="shared" si="0"/>
        <v>491.65712123563509</v>
      </c>
      <c r="S21" s="59">
        <f ca="1">AVERAGE(OFFSET($R$3,0,0,'Données projet'!$E$9+1,1))-AVERAGE(OFFSET($H$3,0,0,'Données projet'!$E$9+1,1))</f>
        <v>401.06118089678654</v>
      </c>
      <c r="T21" s="59">
        <f t="shared" si="34"/>
        <v>399.58193819355591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</v>
      </c>
      <c r="AI21" s="13">
        <f>IF('Données projet'!$A$62&gt;35,AI20+AH21-AQ20,IF(A21&lt;'Données projet'!$A$62,$AF$205^A21,IF(A21='Données projet'!$A$62,'Données projet'!$B$62,AI20+AH21-AQ20)))</f>
        <v>73.23080472494604</v>
      </c>
      <c r="AJ21" s="13">
        <f>AI21*VLOOKUP('Données projet'!$B$10,Paramètres!$A$1:$I$89,3,0)*VLOOKUP('Données projet'!$B$10,Paramètres!$A$1:$I$89,5,0)</f>
        <v>45.696022148366332</v>
      </c>
      <c r="AK21" s="13">
        <f t="shared" si="35"/>
        <v>13.496483118197693</v>
      </c>
      <c r="AL21" s="20">
        <f t="shared" si="4"/>
        <v>103.09361333926567</v>
      </c>
      <c r="AM21" s="59">
        <f t="shared" si="5"/>
        <v>396.426946672599</v>
      </c>
      <c r="AN21" s="59">
        <f ca="1">AVERAGE(OFFSET($AM$3,0,0,'Données projet'!$E$10+1,1))-AVERAGE(OFFSET($H$3,0,0,'Données projet'!$E$10+1,1))</f>
        <v>240.30073883588199</v>
      </c>
      <c r="AO21" s="59">
        <f t="shared" si="36"/>
        <v>263.20351282678843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6.4</v>
      </c>
      <c r="BD21" s="12">
        <f>IF('Données projet'!$A$88&gt;35,BD20+BC21-BL20,IF(A21&lt;'Données projet'!$A$88,$BA$205^A21,IF(A21='Données projet'!$A$88,'Données projet'!$B$88,BD20+BC21-BL20)))</f>
        <v>78.793242454074502</v>
      </c>
      <c r="BE21" s="13">
        <f>BD21*VLOOKUP('Données projet'!$B$11,Paramètres!$A$1:$I$89,3,0)*VLOOKUP('Données projet'!$B$11,Paramètres!$A$1:$I$89,5,0)</f>
        <v>37.899549620409836</v>
      </c>
      <c r="BF21" s="13">
        <f t="shared" si="37"/>
        <v>11.44018666210685</v>
      </c>
      <c r="BG21" s="20">
        <f t="shared" si="7"/>
        <v>85.933374025383216</v>
      </c>
      <c r="BH21" s="59">
        <f t="shared" si="8"/>
        <v>379.26670735871653</v>
      </c>
      <c r="BI21" s="59">
        <f ca="1">AVERAGE(OFFSET($BH$3,0,0,'Données projet'!$E$11+1,1))-AVERAGE(OFFSET($H$3,0,0,'Données projet'!$E$11+1,1))</f>
        <v>364.67510777943329</v>
      </c>
      <c r="BJ21" s="59">
        <f t="shared" si="38"/>
        <v>352.13878061387169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252.98248842635206</v>
      </c>
      <c r="CE21" s="59">
        <f t="shared" si="40"/>
        <v>207.11938580878308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15</v>
      </c>
      <c r="CT21" s="12">
        <f>IF('Données projet'!$A$140&gt;35,CT20+CS21-DB20,IF(A21&lt;'Données projet'!$A$140,$CQ$205^A21,IF(A21='Données projet'!$A$140,'Données projet'!$B$140,CT20+CS21-DB20)))</f>
        <v>132</v>
      </c>
      <c r="CU21" s="17">
        <f>CT21*VLOOKUP('Données projet'!$B$13,Paramètres!$A$1:$I$89,3,0)*VLOOKUP('Données projet'!$B$13,Paramètres!$A$1:$I$89,5,0)</f>
        <v>73.787999999999997</v>
      </c>
      <c r="CV21" s="13">
        <f t="shared" si="41"/>
        <v>20.611246816293939</v>
      </c>
      <c r="CW21" s="20">
        <f t="shared" si="13"/>
        <v>164.41202153837858</v>
      </c>
      <c r="CX21" s="59">
        <f t="shared" si="14"/>
        <v>457.74535487171192</v>
      </c>
      <c r="CY21" s="59">
        <f ca="1">AVERAGE(OFFSET($CX$3,0,0,'Données projet'!$E$13+1,1))-AVERAGE(OFFSET($H$3,0,0,'Données projet'!$E$13+1,1))</f>
        <v>356.67698551373468</v>
      </c>
      <c r="CZ21" s="59">
        <f t="shared" si="42"/>
        <v>353.21836615408171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4.55</v>
      </c>
      <c r="DO21" s="12">
        <f>IF('Données projet'!$A$166&gt;35,DO20+DN21-DW20,IF(A21&lt;'Données projet'!$A$166,$DL$205^A21,IF(A21='Données projet'!$A$166,'Données projet'!$B$166,DO20+DN21-DW20)))</f>
        <v>57.961184622505009</v>
      </c>
      <c r="DP21" s="17">
        <f>DO21*VLOOKUP('Données projet'!$B$14,Paramètres!$A$1:$I$89,3,0)*VLOOKUP('Données projet'!$B$14,Paramètres!$A$1:$I$89,5,0)</f>
        <v>34.660788404258</v>
      </c>
      <c r="DQ21" s="13">
        <f t="shared" si="43"/>
        <v>10.571906363180744</v>
      </c>
      <c r="DR21" s="20">
        <f t="shared" si="16"/>
        <v>78.780276719955808</v>
      </c>
      <c r="DS21" s="59">
        <f t="shared" si="17"/>
        <v>372.11361005328911</v>
      </c>
      <c r="DT21" s="59">
        <f ca="1">AVERAGE(OFFSET($DS$3,0,0,'Données projet'!$E$14+1,1))-AVERAGE(OFFSET($H$3,0,0,'Données projet'!$E$14+1,1))</f>
        <v>247.30892363953825</v>
      </c>
      <c r="DU21" s="59">
        <f t="shared" si="44"/>
        <v>248.38414731596578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4.55</v>
      </c>
      <c r="EJ21" s="12">
        <f>IF('Données projet'!$A$192&gt;35,EJ20+EI21-ER20,IF(A21&lt;'Données projet'!$A$192,$EG$205^A21,IF(A21='Données projet'!$A$192,'Données projet'!$B$192,EJ20+EI21-ER20)))</f>
        <v>57.961184622505009</v>
      </c>
      <c r="EK21" s="17">
        <f>EJ21*VLOOKUP('Données projet'!$B$15,Paramètres!$A$1:$I$89,3,0)*VLOOKUP('Données projet'!$B$15,Paramètres!$A$1:$I$89,5,0)</f>
        <v>34.660788404258</v>
      </c>
      <c r="EL21" s="13">
        <f t="shared" si="45"/>
        <v>10.571906363180744</v>
      </c>
      <c r="EM21" s="20">
        <f t="shared" si="19"/>
        <v>78.780276719955808</v>
      </c>
      <c r="EN21" s="59">
        <f t="shared" si="20"/>
        <v>372.11361005328911</v>
      </c>
      <c r="EO21" s="59">
        <f ca="1">AVERAGE(OFFSET($EN$3,0,0,'Données projet'!$E$15+1,1))-AVERAGE(OFFSET($H$3,0,0,'Données projet'!$E$15+1,1))</f>
        <v>247.30892363953825</v>
      </c>
      <c r="EP21" s="59">
        <f t="shared" si="46"/>
        <v>248.38414731596578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4.8</v>
      </c>
      <c r="FE21" s="12">
        <f>IF('Données projet'!$A$218&gt;35,FE20+FD21-FM20,IF(A21&lt;'Données projet'!$A$218,$FB$205^A21,IF(A21='Données projet'!$A$218,'Données projet'!$B$218,FE20+FD21-FM20)))</f>
        <v>60.819677051026375</v>
      </c>
      <c r="FF21" s="17">
        <f>FE21*VLOOKUP('Données projet'!$B$16,Paramètres!$A$1:$I$89,3,0)*VLOOKUP('Données projet'!$B$16,Paramètres!$A$1:$I$89,5,0)</f>
        <v>29.254264661543687</v>
      </c>
      <c r="FG21" s="13">
        <f t="shared" si="47"/>
        <v>9.1007425686094034</v>
      </c>
      <c r="FH21" s="20">
        <f t="shared" si="22"/>
        <v>66.801637592516627</v>
      </c>
      <c r="FI21" s="59">
        <f t="shared" si="23"/>
        <v>360.13497092584993</v>
      </c>
      <c r="FJ21" s="59">
        <f ca="1">AVERAGE(OFFSET($FI$3,0,0,'Données projet'!$E$16+1,1))-AVERAGE(OFFSET($H$3,0,0,'Données projet'!$E$16+1,1))</f>
        <v>322.54393676667081</v>
      </c>
      <c r="FK21" s="59">
        <f t="shared" si="48"/>
        <v>296.73904998640018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17.5</v>
      </c>
      <c r="N22" s="13">
        <f>IF('Données projet'!$A$36&gt;35,N21+M22-V21,IF(A22&lt;'Données projet'!$A$36,$K$205^A22,IF(A22='Données projet'!$A$36,'Données projet'!$B$36,N21+M22-V21)))</f>
        <v>177.5</v>
      </c>
      <c r="O22" s="13">
        <f>N22*VLOOKUP('Données projet'!$B$9,Paramètres!$A$1:$I$89,3,0)*VLOOKUP('Données projet'!$B$9,Paramètres!$A$1:$I$89,5,0)</f>
        <v>99.222500000000011</v>
      </c>
      <c r="P22" s="13">
        <f t="shared" si="33"/>
        <v>26.776684834408954</v>
      </c>
      <c r="Q22" s="20">
        <f t="shared" si="2"/>
        <v>219.44858025326224</v>
      </c>
      <c r="R22" s="59">
        <f t="shared" si="0"/>
        <v>512.78191358659558</v>
      </c>
      <c r="S22" s="59">
        <f ca="1">AVERAGE(OFFSET($R$3,0,0,'Données projet'!$E$9+1,1))-AVERAGE(OFFSET($H$3,0,0,'Données projet'!$E$9+1,1))</f>
        <v>401.06118089678654</v>
      </c>
      <c r="T22" s="59">
        <f t="shared" si="34"/>
        <v>399.58193819355591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</v>
      </c>
      <c r="AI22" s="13">
        <f>IF('Données projet'!$A$62&gt;35,AI21+AH22-AQ21,IF(A22&lt;'Données projet'!$A$62,$AF$205^A22,IF(A22='Données projet'!$A$62,'Données projet'!$B$62,AI21+AH22-AQ21)))</f>
        <v>92.958243085503995</v>
      </c>
      <c r="AJ22" s="13">
        <f>AI22*VLOOKUP('Données projet'!$B$10,Paramètres!$A$1:$I$89,3,0)*VLOOKUP('Données projet'!$B$10,Paramètres!$A$1:$I$89,5,0)</f>
        <v>58.005943685354488</v>
      </c>
      <c r="AK22" s="13">
        <f t="shared" si="35"/>
        <v>16.663121571943435</v>
      </c>
      <c r="AL22" s="20">
        <f t="shared" si="4"/>
        <v>130.04862198979387</v>
      </c>
      <c r="AM22" s="59">
        <f t="shared" si="5"/>
        <v>423.38195532312716</v>
      </c>
      <c r="AN22" s="59">
        <f ca="1">AVERAGE(OFFSET($AM$3,0,0,'Données projet'!$E$10+1,1))-AVERAGE(OFFSET($H$3,0,0,'Données projet'!$E$10+1,1))</f>
        <v>240.30073883588199</v>
      </c>
      <c r="AO22" s="59">
        <f t="shared" si="36"/>
        <v>263.20351282678843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6.4</v>
      </c>
      <c r="BD22" s="12">
        <f>IF('Données projet'!$A$88&gt;35,BD21+BC22-BL21,IF(A22&lt;'Données projet'!$A$88,$BA$205^A22,IF(A22='Données projet'!$A$88,'Données projet'!$B$88,BD21+BC22-BL21)))</f>
        <v>100.4267645307839</v>
      </c>
      <c r="BE22" s="13">
        <f>BD22*VLOOKUP('Données projet'!$B$11,Paramètres!$A$1:$I$89,3,0)*VLOOKUP('Données projet'!$B$11,Paramètres!$A$1:$I$89,5,0)</f>
        <v>48.305273739307054</v>
      </c>
      <c r="BF22" s="13">
        <f t="shared" si="37"/>
        <v>14.175214751210056</v>
      </c>
      <c r="BG22" s="20">
        <f t="shared" si="7"/>
        <v>108.82018412098397</v>
      </c>
      <c r="BH22" s="59">
        <f t="shared" si="8"/>
        <v>402.1535174543173</v>
      </c>
      <c r="BI22" s="59">
        <f ca="1">AVERAGE(OFFSET($BH$3,0,0,'Données projet'!$E$11+1,1))-AVERAGE(OFFSET($H$3,0,0,'Données projet'!$E$11+1,1))</f>
        <v>364.67510777943329</v>
      </c>
      <c r="BJ22" s="59">
        <f t="shared" si="38"/>
        <v>352.13878061387169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252.98248842635206</v>
      </c>
      <c r="CE22" s="59">
        <f t="shared" si="40"/>
        <v>207.11938580878308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15</v>
      </c>
      <c r="CT22" s="12">
        <f>IF('Données projet'!$A$140&gt;35,CT21+CS22-DB21,IF(A22&lt;'Données projet'!$A$140,$CQ$205^A22,IF(A22='Données projet'!$A$140,'Données projet'!$B$140,CT21+CS22-DB21)))</f>
        <v>147</v>
      </c>
      <c r="CU22" s="17">
        <f>CT22*VLOOKUP('Données projet'!$B$13,Paramètres!$A$1:$I$89,3,0)*VLOOKUP('Données projet'!$B$13,Paramètres!$A$1:$I$89,5,0)</f>
        <v>82.173000000000002</v>
      </c>
      <c r="CV22" s="13">
        <f t="shared" si="41"/>
        <v>22.667662370396656</v>
      </c>
      <c r="CW22" s="20">
        <f t="shared" si="13"/>
        <v>182.59748696177417</v>
      </c>
      <c r="CX22" s="59">
        <f t="shared" si="14"/>
        <v>475.93082029510748</v>
      </c>
      <c r="CY22" s="59">
        <f ca="1">AVERAGE(OFFSET($CX$3,0,0,'Données projet'!$E$13+1,1))-AVERAGE(OFFSET($H$3,0,0,'Données projet'!$E$13+1,1))</f>
        <v>356.67698551373468</v>
      </c>
      <c r="CZ22" s="59">
        <f t="shared" si="42"/>
        <v>353.21836615408171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4.55</v>
      </c>
      <c r="DO22" s="12">
        <f>IF('Données projet'!$A$166&gt;35,DO21+DN22-DW21,IF(A22&lt;'Données projet'!$A$166,$DL$205^A22,IF(A22='Données projet'!$A$166,'Données projet'!$B$166,DO21+DN22-DW21)))</f>
        <v>72.625531327818578</v>
      </c>
      <c r="DP22" s="17">
        <f>DO22*VLOOKUP('Données projet'!$B$14,Paramètres!$A$1:$I$89,3,0)*VLOOKUP('Données projet'!$B$14,Paramètres!$A$1:$I$89,5,0)</f>
        <v>43.430067734035511</v>
      </c>
      <c r="DQ22" s="13">
        <f t="shared" si="43"/>
        <v>12.903388001273598</v>
      </c>
      <c r="DR22" s="20">
        <f t="shared" si="16"/>
        <v>98.114102072330027</v>
      </c>
      <c r="DS22" s="59">
        <f t="shared" si="17"/>
        <v>391.44743540566333</v>
      </c>
      <c r="DT22" s="59">
        <f ca="1">AVERAGE(OFFSET($DS$3,0,0,'Données projet'!$E$14+1,1))-AVERAGE(OFFSET($H$3,0,0,'Données projet'!$E$14+1,1))</f>
        <v>247.30892363953825</v>
      </c>
      <c r="DU22" s="59">
        <f t="shared" si="44"/>
        <v>248.38414731596578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4.55</v>
      </c>
      <c r="EJ22" s="12">
        <f>IF('Données projet'!$A$192&gt;35,EJ21+EI22-ER21,IF(A22&lt;'Données projet'!$A$192,$EG$205^A22,IF(A22='Données projet'!$A$192,'Données projet'!$B$192,EJ21+EI22-ER21)))</f>
        <v>72.625531327818578</v>
      </c>
      <c r="EK22" s="17">
        <f>EJ22*VLOOKUP('Données projet'!$B$15,Paramètres!$A$1:$I$89,3,0)*VLOOKUP('Données projet'!$B$15,Paramètres!$A$1:$I$89,5,0)</f>
        <v>43.430067734035511</v>
      </c>
      <c r="EL22" s="13">
        <f t="shared" si="45"/>
        <v>12.903388001273598</v>
      </c>
      <c r="EM22" s="20">
        <f t="shared" si="19"/>
        <v>98.114102072330027</v>
      </c>
      <c r="EN22" s="59">
        <f t="shared" si="20"/>
        <v>391.44743540566333</v>
      </c>
      <c r="EO22" s="59">
        <f ca="1">AVERAGE(OFFSET($EN$3,0,0,'Données projet'!$E$15+1,1))-AVERAGE(OFFSET($H$3,0,0,'Données projet'!$E$15+1,1))</f>
        <v>247.30892363953825</v>
      </c>
      <c r="EP22" s="59">
        <f t="shared" si="46"/>
        <v>248.38414731596578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4.8</v>
      </c>
      <c r="FE22" s="12">
        <f>IF('Données projet'!$A$218&gt;35,FE21+FD22-FM21,IF(A22&lt;'Données projet'!$A$218,$FB$205^A22,IF(A22='Données projet'!$A$218,'Données projet'!$B$218,FE21+FD22-FM21)))</f>
        <v>76.411314586902208</v>
      </c>
      <c r="FF22" s="17">
        <f>FE22*VLOOKUP('Données projet'!$B$16,Paramètres!$A$1:$I$89,3,0)*VLOOKUP('Données projet'!$B$16,Paramètres!$A$1:$I$89,5,0)</f>
        <v>36.753842316299966</v>
      </c>
      <c r="FG22" s="13">
        <f t="shared" si="47"/>
        <v>11.134060396295732</v>
      </c>
      <c r="FH22" s="20">
        <f t="shared" si="22"/>
        <v>83.404763891104167</v>
      </c>
      <c r="FI22" s="59">
        <f t="shared" si="23"/>
        <v>376.73809722443747</v>
      </c>
      <c r="FJ22" s="59">
        <f ca="1">AVERAGE(OFFSET($FI$3,0,0,'Données projet'!$E$16+1,1))-AVERAGE(OFFSET($H$3,0,0,'Données projet'!$E$16+1,1))</f>
        <v>322.54393676667081</v>
      </c>
      <c r="FK22" s="59">
        <f t="shared" si="48"/>
        <v>296.73904998640018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195</v>
      </c>
      <c r="L23" s="12">
        <f>VLOOKUP(A23,'Données projet'!$A$35:$I$55,9,0)</f>
        <v>17.5</v>
      </c>
      <c r="M23" s="12">
        <f t="array" ref="M23">INDEX(L:L,MIN(IF(ISNUMBER(L23:L219),ROW(L23:L219),"")))</f>
        <v>17.5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533.85999229005665</v>
      </c>
      <c r="S23" s="59">
        <f ca="1">AVERAGE(OFFSET($R$3,0,0,'Données projet'!$E$9+1,1))-AVERAGE(OFFSET($H$3,0,0,'Données projet'!$E$9+1,1))</f>
        <v>401.06118089678654</v>
      </c>
      <c r="T23" s="59">
        <f t="shared" si="34"/>
        <v>399.58193819355591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118</v>
      </c>
      <c r="AG23" s="12">
        <f>VLOOKUP(A23,'Données projet'!$A$61:$I$81,9,0)</f>
        <v>5.9</v>
      </c>
      <c r="AH23" s="12">
        <f t="array" ref="AH23">INDEX(AG:AG,MIN(IF(ISNUMBER(AG23:AG219),ROW(AG23:AG219),"")))</f>
        <v>5.9</v>
      </c>
      <c r="AI23" s="13">
        <f>IF('Données projet'!$A$62&gt;35,AI22+AH23-AQ22,IF(A23&lt;'Données projet'!$A$62,$AF$205^A23,IF(A23='Données projet'!$A$62,'Données projet'!$B$62,AI22+AH23-AQ22)))</f>
        <v>118</v>
      </c>
      <c r="AJ23" s="13">
        <f>AI23*VLOOKUP('Données projet'!$B$10,Paramètres!$A$1:$I$89,3,0)*VLOOKUP('Données projet'!$B$10,Paramètres!$A$1:$I$89,5,0)</f>
        <v>73.632000000000005</v>
      </c>
      <c r="AK23" s="13">
        <f t="shared" si="35"/>
        <v>20.572738697163981</v>
      </c>
      <c r="AL23" s="20">
        <f t="shared" si="4"/>
        <v>164.07325323089393</v>
      </c>
      <c r="AM23" s="59">
        <f t="shared" si="5"/>
        <v>457.40658656422727</v>
      </c>
      <c r="AN23" s="59">
        <f ca="1">AVERAGE(OFFSET($AM$3,0,0,'Données projet'!$E$10+1,1))-AVERAGE(OFFSET($H$3,0,0,'Données projet'!$E$10+1,1))</f>
        <v>240.30073883588199</v>
      </c>
      <c r="AO23" s="59">
        <f t="shared" si="36"/>
        <v>263.20351282678843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9.1521381428676971</v>
      </c>
      <c r="AW23" s="21">
        <f>EXP(-LN(2)/2)*AW22+(1-EXP(-LN(2)/2))/(LN(2)/2)*AQ23*AT23*VLOOKUP('Données projet'!$B$10,Paramètres!$A$1:$I$89,3,0)*0.475*44/12</f>
        <v>13.070489642645519</v>
      </c>
      <c r="AX23" s="21">
        <f t="shared" si="6"/>
        <v>22.222627785513218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128</v>
      </c>
      <c r="BB23" s="12">
        <f>VLOOKUP(A23,'Données projet'!$A$87:$I$107,9,0)</f>
        <v>6.4</v>
      </c>
      <c r="BC23" s="12">
        <f t="array" ref="BC23">INDEX(BB:BB,MIN(IF(ISNUMBER(BB23:BB219),ROW(BB23:BB219),"")))</f>
        <v>6.4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61.567999999999998</v>
      </c>
      <c r="BF23" s="13">
        <f t="shared" si="37"/>
        <v>17.564111423853156</v>
      </c>
      <c r="BG23" s="20">
        <f t="shared" si="7"/>
        <v>137.82176072987758</v>
      </c>
      <c r="BH23" s="59">
        <f t="shared" si="8"/>
        <v>431.15509406321087</v>
      </c>
      <c r="BI23" s="59">
        <f ca="1">AVERAGE(OFFSET($BH$3,0,0,'Données projet'!$E$11+1,1))-AVERAGE(OFFSET($H$3,0,0,'Données projet'!$E$11+1,1))</f>
        <v>364.67510777943329</v>
      </c>
      <c r="BJ23" s="59">
        <f t="shared" si="38"/>
        <v>352.13878061387169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0.52434124776846203</v>
      </c>
      <c r="BR23" s="21">
        <f>EXP(-LN(2)/2)*BR22+(1-EXP(-LN(2)/2))/(LN(2)/2)*BL23*BO23*VLOOKUP('Données projet'!$B$11,Paramètres!$A$1:$I$89,3,0)*0.475*44/12</f>
        <v>0.81690560266534507</v>
      </c>
      <c r="BS23" s="22">
        <f t="shared" si="9"/>
        <v>1.3412468504338071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252.98248842635206</v>
      </c>
      <c r="CE23" s="59">
        <f t="shared" si="40"/>
        <v>207.11938580878308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12.5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2.1257077612234943</v>
      </c>
      <c r="CM23" s="21">
        <f>EXP(-LN(2)/2)*CM22+(1-EXP(-LN(2)/2))/(LN(2)/2)*CG23*CJ23*VLOOKUP('Données projet'!$B$12,Paramètres!$A$1:$I$89,3,0)*0.475*44/12</f>
        <v>3.3117794702649124</v>
      </c>
      <c r="CN23" s="22">
        <f t="shared" si="12"/>
        <v>5.4374872314884062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162</v>
      </c>
      <c r="CR23" s="12">
        <f>VLOOKUP(A23,'Données projet'!$A$139:$I$159,9,0)</f>
        <v>15</v>
      </c>
      <c r="CS23" s="12">
        <f t="array" ref="CS23">INDEX(CR:CR,MIN(IF(ISNUMBER(CR23:CR219),ROW(CR23:CR219),"")))</f>
        <v>15</v>
      </c>
      <c r="CT23" s="12">
        <f>IF('Données projet'!$A$140&gt;35,CT22+CS23-DB22,IF(A23&lt;'Données projet'!$A$140,$CQ$205^A23,IF(A23='Données projet'!$A$140,'Données projet'!$B$140,CT22+CS23-DB22)))</f>
        <v>162</v>
      </c>
      <c r="CU23" s="17">
        <f>CT23*VLOOKUP('Données projet'!$B$13,Paramètres!$A$1:$I$89,3,0)*VLOOKUP('Données projet'!$B$13,Paramètres!$A$1:$I$89,5,0)</f>
        <v>90.557999999999993</v>
      </c>
      <c r="CV23" s="13">
        <f t="shared" si="41"/>
        <v>24.699752708509138</v>
      </c>
      <c r="CW23" s="20">
        <f t="shared" si="13"/>
        <v>200.74058596732007</v>
      </c>
      <c r="CX23" s="59">
        <f t="shared" si="14"/>
        <v>494.07391930065342</v>
      </c>
      <c r="CY23" s="59">
        <f ca="1">AVERAGE(OFFSET($CX$3,0,0,'Données projet'!$E$13+1,1))-AVERAGE(OFFSET($H$3,0,0,'Données projet'!$E$13+1,1))</f>
        <v>356.67698551373468</v>
      </c>
      <c r="CZ23" s="59">
        <f t="shared" si="42"/>
        <v>353.21836615408171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0.27500000000000002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12.796760722565436</v>
      </c>
      <c r="DH23" s="21">
        <f>EXP(-LN(2)/2)*DH22+(1-EXP(-LN(2)/2))/(LN(2)/2)*DB23*DE23*VLOOKUP('Données projet'!$B$13,Paramètres!$A$1:$I$89,3,0)*0.475*44/12</f>
        <v>19.936912410994776</v>
      </c>
      <c r="DI23" s="22">
        <f t="shared" si="15"/>
        <v>32.73367313356021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91</v>
      </c>
      <c r="DM23" s="12">
        <f>VLOOKUP(A23,'Données projet'!$A$165:$I$185,9,0)</f>
        <v>4.55</v>
      </c>
      <c r="DN23" s="12">
        <f t="array" ref="DN23">INDEX(DM:DM,MIN(IF(ISNUMBER(DM23:DM219),ROW(DM23:DM219),"")))</f>
        <v>4.55</v>
      </c>
      <c r="DO23" s="12">
        <f>IF('Données projet'!$A$166&gt;35,DO22+DN23-DW22,IF(A23&lt;'Données projet'!$A$166,$DL$205^A23,IF(A23='Données projet'!$A$166,'Données projet'!$B$166,DO22+DN23-DW22)))</f>
        <v>91</v>
      </c>
      <c r="DP23" s="17">
        <f>DO23*VLOOKUP('Données projet'!$B$14,Paramètres!$A$1:$I$89,3,0)*VLOOKUP('Données projet'!$B$14,Paramètres!$A$1:$I$89,5,0)</f>
        <v>54.417999999999999</v>
      </c>
      <c r="DQ23" s="13">
        <f t="shared" si="43"/>
        <v>15.749044324804036</v>
      </c>
      <c r="DR23" s="20">
        <f t="shared" si="16"/>
        <v>122.20760219903367</v>
      </c>
      <c r="DS23" s="59">
        <f t="shared" si="17"/>
        <v>415.54093553236697</v>
      </c>
      <c r="DT23" s="59">
        <f ca="1">AVERAGE(OFFSET($DS$3,0,0,'Données projet'!$E$14+1,1))-AVERAGE(OFFSET($H$3,0,0,'Données projet'!$E$14+1,1))</f>
        <v>247.30892363953825</v>
      </c>
      <c r="DU23" s="59">
        <f t="shared" si="44"/>
        <v>248.38414731596578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3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0.22500000000000001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0.53335940190698583</v>
      </c>
      <c r="EC23" s="21">
        <f>EXP(-LN(2)/2)*EC22+(1-EXP(-LN(2)/2))/(LN(2)/2)*DW23*DZ23*VLOOKUP('Données projet'!$B$14,Paramètres!$A$1:$I$89,3,0)*0.475*44/12</f>
        <v>1.0156123708812399</v>
      </c>
      <c r="ED23" s="22">
        <f t="shared" si="18"/>
        <v>1.5489717727882257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91</v>
      </c>
      <c r="EH23" s="12">
        <f>VLOOKUP(A23,'Données projet'!$A$191:$I$211,9,0)</f>
        <v>4.55</v>
      </c>
      <c r="EI23" s="12">
        <f t="array" ref="EI23">INDEX(EH:EH,MIN(IF(ISNUMBER(EH23:EH219),ROW(EH23:EH219),"")))</f>
        <v>4.55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54.417999999999999</v>
      </c>
      <c r="EL23" s="13">
        <f t="shared" si="45"/>
        <v>15.749044324804036</v>
      </c>
      <c r="EM23" s="20">
        <f t="shared" si="19"/>
        <v>122.20760219903367</v>
      </c>
      <c r="EN23" s="59">
        <f t="shared" si="20"/>
        <v>415.54093553236697</v>
      </c>
      <c r="EO23" s="59">
        <f ca="1">AVERAGE(OFFSET($EN$3,0,0,'Données projet'!$E$15+1,1))-AVERAGE(OFFSET($H$3,0,0,'Données projet'!$E$15+1,1))</f>
        <v>247.30892363953825</v>
      </c>
      <c r="EP23" s="59">
        <f t="shared" si="46"/>
        <v>248.38414731596578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0.22500000000000001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0.53335940190698583</v>
      </c>
      <c r="EX23" s="21">
        <f>EXP(-LN(2)/2)*EX22+(1-EXP(-LN(2)/2))/(LN(2)/2)*ER23*EU23*VLOOKUP('Données projet'!$B$15,Paramètres!$A$1:$I$89,3,0)*0.475*44/12</f>
        <v>1.0156123708812399</v>
      </c>
      <c r="EY23" s="22">
        <f t="shared" si="21"/>
        <v>1.5489717727882257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96</v>
      </c>
      <c r="FC23" s="12">
        <f>VLOOKUP(A23,'Données projet'!$A$217:$I$237,9,0)</f>
        <v>4.8</v>
      </c>
      <c r="FD23" s="12">
        <f t="array" ref="FD23">INDEX(FC:FC,MIN(IF(ISNUMBER(FC23:FC219),ROW(FC23:FC219),"")))</f>
        <v>4.8</v>
      </c>
      <c r="FE23" s="12">
        <f>IF('Données projet'!$A$218&gt;35,FE22+FD23-FM22,IF(A23&lt;'Données projet'!$A$218,$FB$205^A23,IF(A23='Données projet'!$A$218,'Données projet'!$B$218,FE22+FD23-FM22)))</f>
        <v>96</v>
      </c>
      <c r="FF23" s="17">
        <f>FE23*VLOOKUP('Données projet'!$B$16,Paramètres!$A$1:$I$89,3,0)*VLOOKUP('Données projet'!$B$16,Paramètres!$A$1:$I$89,5,0)</f>
        <v>46.175999999999995</v>
      </c>
      <c r="FG23" s="13">
        <f t="shared" si="47"/>
        <v>13.621668778540489</v>
      </c>
      <c r="FH23" s="20">
        <f t="shared" si="22"/>
        <v>104.14760645595801</v>
      </c>
      <c r="FI23" s="59">
        <f t="shared" si="23"/>
        <v>397.48093978929131</v>
      </c>
      <c r="FJ23" s="59">
        <f ca="1">AVERAGE(OFFSET($FI$3,0,0,'Données projet'!$E$16+1,1))-AVERAGE(OFFSET($H$3,0,0,'Données projet'!$E$16+1,1))</f>
        <v>322.54393676667081</v>
      </c>
      <c r="FK23" s="59">
        <f t="shared" si="48"/>
        <v>296.73904998640018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0.27500000000000002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462.47793251493277</v>
      </c>
      <c r="S24" s="59">
        <f ca="1">AVERAGE(OFFSET($R$3,0,0,'Données projet'!$E$9+1,1))-AVERAGE(OFFSET($H$3,0,0,'Données projet'!$E$9+1,1))</f>
        <v>401.06118089678654</v>
      </c>
      <c r="T24" s="59">
        <f t="shared" si="34"/>
        <v>399.58193819355591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13.9</v>
      </c>
      <c r="AI24" s="13">
        <f>IF('Données projet'!$A$62&gt;35,AI23+AH24-AQ23,IF(A24&lt;'Données projet'!$A$62,$AF$205^A24,IF(A24='Données projet'!$A$62,'Données projet'!$B$62,AI23+AH24-AQ23)))</f>
        <v>94.9</v>
      </c>
      <c r="AJ24" s="13">
        <f>AI24*VLOOKUP('Données projet'!$B$10,Paramètres!$A$1:$I$89,3,0)*VLOOKUP('Données projet'!$B$10,Paramètres!$A$1:$I$89,5,0)</f>
        <v>59.217600000000004</v>
      </c>
      <c r="AK24" s="13">
        <f t="shared" si="35"/>
        <v>16.970302883579741</v>
      </c>
      <c r="AL24" s="20">
        <f t="shared" si="4"/>
        <v>132.69393085556803</v>
      </c>
      <c r="AM24" s="59">
        <f t="shared" si="5"/>
        <v>426.02726418890131</v>
      </c>
      <c r="AN24" s="59">
        <f ca="1">AVERAGE(OFFSET($AM$3,0,0,'Données projet'!$E$10+1,1))-AVERAGE(OFFSET($H$3,0,0,'Données projet'!$E$10+1,1))</f>
        <v>240.30073883588199</v>
      </c>
      <c r="AO24" s="59">
        <f t="shared" si="36"/>
        <v>263.20351282678843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8.9018724440609525</v>
      </c>
      <c r="AW24" s="21">
        <f>EXP(-LN(2)/2)*AW23+(1-EXP(-LN(2)/2))/(LN(2)/2)*AQ24*AT24*VLOOKUP('Données projet'!$B$10,Paramètres!$A$1:$I$89,3,0)*0.475*44/12</f>
        <v>9.2422318597431818</v>
      </c>
      <c r="AX24" s="21">
        <f t="shared" si="6"/>
        <v>18.144104303804134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24.7</v>
      </c>
      <c r="BD24" s="12">
        <f>IF('Données projet'!$A$88&gt;35,BD23+BC24-BL23,IF(A24&lt;'Données projet'!$A$88,$BA$205^A24,IF(A24='Données projet'!$A$88,'Données projet'!$B$88,BD23+BC24-BL23)))</f>
        <v>149.69999999999999</v>
      </c>
      <c r="BE24" s="13">
        <f>BD24*VLOOKUP('Données projet'!$B$11,Paramètres!$A$1:$I$89,3,0)*VLOOKUP('Données projet'!$B$11,Paramètres!$A$1:$I$89,5,0)</f>
        <v>72.00569999999999</v>
      </c>
      <c r="BF24" s="13">
        <f t="shared" si="37"/>
        <v>20.170721689346038</v>
      </c>
      <c r="BG24" s="20">
        <f t="shared" si="7"/>
        <v>160.54060110894432</v>
      </c>
      <c r="BH24" s="59">
        <f t="shared" si="8"/>
        <v>453.87393444227763</v>
      </c>
      <c r="BI24" s="59">
        <f ca="1">AVERAGE(OFFSET($BH$3,0,0,'Données projet'!$E$11+1,1))-AVERAGE(OFFSET($H$3,0,0,'Données projet'!$E$11+1,1))</f>
        <v>364.67510777943329</v>
      </c>
      <c r="BJ24" s="59">
        <f t="shared" si="38"/>
        <v>352.13878061387169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0.51000310877432564</v>
      </c>
      <c r="BR24" s="21">
        <f>EXP(-LN(2)/2)*BR23+(1-EXP(-LN(2)/2))/(LN(2)/2)*BL24*BO24*VLOOKUP('Données projet'!$B$11,Paramètres!$A$1:$I$89,3,0)*0.475*44/12</f>
        <v>0.57763949123394898</v>
      </c>
      <c r="BS24" s="22">
        <f t="shared" si="9"/>
        <v>1.0876426000082746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154.69999999999999</v>
      </c>
      <c r="BZ24" s="13">
        <f>BY24*VLOOKUP('Données projet'!$B$12,Paramètres!$A$1:$I$89,3,0)*VLOOKUP('Données projet'!$B$12,Paramètres!$A$1:$I$89,5,0)</f>
        <v>72.399599999999992</v>
      </c>
      <c r="CA24" s="13">
        <f t="shared" si="39"/>
        <v>20.268188832715463</v>
      </c>
      <c r="CB24" s="20">
        <f t="shared" si="10"/>
        <v>161.3963988836461</v>
      </c>
      <c r="CC24" s="59">
        <f t="shared" si="11"/>
        <v>454.72973221697941</v>
      </c>
      <c r="CD24" s="59">
        <f ca="1">AVERAGE(OFFSET($CC$3,0,0,'Données projet'!$E$12+1,1))-AVERAGE(OFFSET($H$3,0,0,'Données projet'!$E$12+1,1))</f>
        <v>252.98248842635206</v>
      </c>
      <c r="CE24" s="59">
        <f t="shared" si="40"/>
        <v>207.11938580878308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2.0675801707067252</v>
      </c>
      <c r="CM24" s="21">
        <f>EXP(-LN(2)/2)*CM23+(1-EXP(-LN(2)/2))/(LN(2)/2)*CG24*CJ24*VLOOKUP('Données projet'!$B$12,Paramètres!$A$1:$I$89,3,0)*0.475*44/12</f>
        <v>2.341781721218712</v>
      </c>
      <c r="CN24" s="22">
        <f t="shared" si="12"/>
        <v>4.4093618919254371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22.2</v>
      </c>
      <c r="CT24" s="12">
        <f>IF('Données projet'!$A$140&gt;35,CT23+CS24-DB23,IF(A24&lt;'Données projet'!$A$140,$CQ$205^A24,IF(A24='Données projet'!$A$140,'Données projet'!$B$140,CT23+CS24-DB23)))</f>
        <v>121.19999999999999</v>
      </c>
      <c r="CU24" s="17">
        <f>CT24*VLOOKUP('Données projet'!$B$13,Paramètres!$A$1:$I$89,3,0)*VLOOKUP('Données projet'!$B$13,Paramètres!$A$1:$I$89,5,0)</f>
        <v>67.750799999999998</v>
      </c>
      <c r="CV24" s="13">
        <f t="shared" si="41"/>
        <v>19.113844706860473</v>
      </c>
      <c r="CW24" s="20">
        <f t="shared" si="13"/>
        <v>151.28925619778201</v>
      </c>
      <c r="CX24" s="59">
        <f t="shared" si="14"/>
        <v>444.6225895311153</v>
      </c>
      <c r="CY24" s="59">
        <f ca="1">AVERAGE(OFFSET($CX$3,0,0,'Données projet'!$E$13+1,1))-AVERAGE(OFFSET($H$3,0,0,'Données projet'!$E$13+1,1))</f>
        <v>356.67698551373468</v>
      </c>
      <c r="CZ24" s="59">
        <f t="shared" si="42"/>
        <v>353.21836615408171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12.446832627654485</v>
      </c>
      <c r="DH24" s="21">
        <f>EXP(-LN(2)/2)*DH23+(1-EXP(-LN(2)/2))/(LN(2)/2)*DB24*DE24*VLOOKUP('Données projet'!$B$13,Paramètres!$A$1:$I$89,3,0)*0.475*44/12</f>
        <v>14.097525961736647</v>
      </c>
      <c r="DI24" s="22">
        <f t="shared" si="15"/>
        <v>26.54435858939113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</v>
      </c>
      <c r="DO24" s="12">
        <f>IF('Données projet'!$A$166&gt;35,DO23+DN24-DW23,IF(A24&lt;'Données projet'!$A$166,$DL$205^A24,IF(A24='Données projet'!$A$166,'Données projet'!$B$166,DO23+DN24-DW23)))</f>
        <v>101</v>
      </c>
      <c r="DP24" s="17">
        <f>DO24*VLOOKUP('Données projet'!$B$14,Paramètres!$A$1:$I$89,3,0)*VLOOKUP('Données projet'!$B$14,Paramètres!$A$1:$I$89,5,0)</f>
        <v>60.398000000000003</v>
      </c>
      <c r="DQ24" s="13">
        <f t="shared" si="43"/>
        <v>17.26885714728807</v>
      </c>
      <c r="DR24" s="20">
        <f t="shared" si="16"/>
        <v>135.26977619819337</v>
      </c>
      <c r="DS24" s="59">
        <f t="shared" si="17"/>
        <v>428.60310953152668</v>
      </c>
      <c r="DT24" s="59">
        <f ca="1">AVERAGE(OFFSET($DS$3,0,0,'Données projet'!$E$14+1,1))-AVERAGE(OFFSET($H$3,0,0,'Données projet'!$E$14+1,1))</f>
        <v>247.30892363953825</v>
      </c>
      <c r="DU24" s="59">
        <f t="shared" si="44"/>
        <v>248.38414731596578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0.51877466101368741</v>
      </c>
      <c r="EC24" s="21">
        <f>EXP(-LN(2)/2)*EC23+(1-EXP(-LN(2)/2))/(LN(2)/2)*DW24*DZ24*VLOOKUP('Données projet'!$B$14,Paramètres!$A$1:$I$89,3,0)*0.475*44/12</f>
        <v>0.71814639450707174</v>
      </c>
      <c r="ED24" s="22">
        <f t="shared" si="18"/>
        <v>1.2369210555207593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13</v>
      </c>
      <c r="EJ24" s="12">
        <f>IF('Données projet'!$A$192&gt;35,EJ23+EI24-ER23,IF(A24&lt;'Données projet'!$A$192,$EG$205^A24,IF(A24='Données projet'!$A$192,'Données projet'!$B$192,EJ23+EI24-ER23)))</f>
        <v>101</v>
      </c>
      <c r="EK24" s="17">
        <f>EJ24*VLOOKUP('Données projet'!$B$15,Paramètres!$A$1:$I$89,3,0)*VLOOKUP('Données projet'!$B$15,Paramètres!$A$1:$I$89,5,0)</f>
        <v>60.398000000000003</v>
      </c>
      <c r="EL24" s="13">
        <f t="shared" si="45"/>
        <v>17.26885714728807</v>
      </c>
      <c r="EM24" s="20">
        <f t="shared" si="19"/>
        <v>135.26977619819337</v>
      </c>
      <c r="EN24" s="59">
        <f t="shared" si="20"/>
        <v>428.60310953152668</v>
      </c>
      <c r="EO24" s="59">
        <f ca="1">AVERAGE(OFFSET($EN$3,0,0,'Données projet'!$E$15+1,1))-AVERAGE(OFFSET($H$3,0,0,'Données projet'!$E$15+1,1))</f>
        <v>247.30892363953825</v>
      </c>
      <c r="EP24" s="59">
        <f t="shared" si="46"/>
        <v>248.38414731596578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0.51877466101368741</v>
      </c>
      <c r="EX24" s="21">
        <f>EXP(-LN(2)/2)*EX23+(1-EXP(-LN(2)/2))/(LN(2)/2)*ER24*EU24*VLOOKUP('Données projet'!$B$15,Paramètres!$A$1:$I$89,3,0)*0.475*44/12</f>
        <v>0.71814639450707174</v>
      </c>
      <c r="EY24" s="22">
        <f t="shared" si="21"/>
        <v>1.2369210555207593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22.2</v>
      </c>
      <c r="FE24" s="12">
        <f>IF('Données projet'!$A$218&gt;35,FE23+FD24-FM23,IF(A24&lt;'Données projet'!$A$218,$FB$205^A24,IF(A24='Données projet'!$A$218,'Données projet'!$B$218,FE23+FD24-FM23)))</f>
        <v>118.2</v>
      </c>
      <c r="FF24" s="17">
        <f>FE24*VLOOKUP('Données projet'!$B$16,Paramètres!$A$1:$I$89,3,0)*VLOOKUP('Données projet'!$B$16,Paramètres!$A$1:$I$89,5,0)</f>
        <v>56.854200000000006</v>
      </c>
      <c r="FG24" s="13">
        <f t="shared" si="47"/>
        <v>16.370436389534291</v>
      </c>
      <c r="FH24" s="20">
        <f t="shared" si="22"/>
        <v>127.5329083784389</v>
      </c>
      <c r="FI24" s="59">
        <f t="shared" si="23"/>
        <v>420.8662417117722</v>
      </c>
      <c r="FJ24" s="59">
        <f ca="1">AVERAGE(OFFSET($FI$3,0,0,'Données projet'!$E$16+1,1))-AVERAGE(OFFSET($H$3,0,0,'Données projet'!$E$16+1,1))</f>
        <v>322.54393676667081</v>
      </c>
      <c r="FK24" s="59">
        <f t="shared" si="48"/>
        <v>296.73904998640018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492.62392198533553</v>
      </c>
      <c r="S25" s="59">
        <f ca="1">AVERAGE(OFFSET($R$3,0,0,'Données projet'!$E$9+1,1))-AVERAGE(OFFSET($H$3,0,0,'Données projet'!$E$9+1,1))</f>
        <v>401.06118089678654</v>
      </c>
      <c r="T25" s="59">
        <f t="shared" si="34"/>
        <v>399.58193819355591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13.9</v>
      </c>
      <c r="AI25" s="13">
        <f>IF('Données projet'!$A$62&gt;35,AI24+AH25-AQ24,IF(A25&lt;'Données projet'!$A$62,$AF$205^A25,IF(A25='Données projet'!$A$62,'Données projet'!$B$62,AI24+AH25-AQ24)))</f>
        <v>108.80000000000001</v>
      </c>
      <c r="AJ25" s="13">
        <f>AI25*VLOOKUP('Données projet'!$B$10,Paramètres!$A$1:$I$89,3,0)*VLOOKUP('Données projet'!$B$10,Paramètres!$A$1:$I$89,5,0)</f>
        <v>67.891200000000012</v>
      </c>
      <c r="AK25" s="13">
        <f t="shared" si="35"/>
        <v>19.148839553800077</v>
      </c>
      <c r="AL25" s="20">
        <f t="shared" si="4"/>
        <v>151.59473555620181</v>
      </c>
      <c r="AM25" s="59">
        <f t="shared" si="5"/>
        <v>444.9280688895351</v>
      </c>
      <c r="AN25" s="59">
        <f ca="1">AVERAGE(OFFSET($AM$3,0,0,'Données projet'!$E$10+1,1))-AVERAGE(OFFSET($H$3,0,0,'Données projet'!$E$10+1,1))</f>
        <v>240.30073883588199</v>
      </c>
      <c r="AO25" s="59">
        <f t="shared" si="36"/>
        <v>263.20351282678843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8.6584502739489793</v>
      </c>
      <c r="AW25" s="21">
        <f>EXP(-LN(2)/2)*AW24+(1-EXP(-LN(2)/2))/(LN(2)/2)*AQ25*AT25*VLOOKUP('Données projet'!$B$10,Paramètres!$A$1:$I$89,3,0)*0.475*44/12</f>
        <v>6.5352448213227605</v>
      </c>
      <c r="AX25" s="21">
        <f t="shared" si="6"/>
        <v>15.193695095271739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24.7</v>
      </c>
      <c r="BD25" s="12">
        <f>IF('Données projet'!$A$88&gt;35,BD24+BC25-BL24,IF(A25&lt;'Données projet'!$A$88,$BA$205^A25,IF(A25='Données projet'!$A$88,'Données projet'!$B$88,BD24+BC25-BL24)))</f>
        <v>174.39999999999998</v>
      </c>
      <c r="BE25" s="13">
        <f>BD25*VLOOKUP('Données projet'!$B$11,Paramètres!$A$1:$I$89,3,0)*VLOOKUP('Données projet'!$B$11,Paramètres!$A$1:$I$89,5,0)</f>
        <v>83.886399999999995</v>
      </c>
      <c r="BF25" s="13">
        <f t="shared" si="37"/>
        <v>23.084789810579508</v>
      </c>
      <c r="BG25" s="20">
        <f t="shared" si="7"/>
        <v>186.30815558675928</v>
      </c>
      <c r="BH25" s="59">
        <f t="shared" si="8"/>
        <v>479.64148892009257</v>
      </c>
      <c r="BI25" s="59">
        <f ca="1">AVERAGE(OFFSET($BH$3,0,0,'Données projet'!$E$11+1,1))-AVERAGE(OFFSET($H$3,0,0,'Données projet'!$E$11+1,1))</f>
        <v>364.67510777943329</v>
      </c>
      <c r="BJ25" s="59">
        <f t="shared" si="38"/>
        <v>352.13878061387169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0.49605704694499386</v>
      </c>
      <c r="BR25" s="21">
        <f>EXP(-LN(2)/2)*BR24+(1-EXP(-LN(2)/2))/(LN(2)/2)*BL25*BO25*VLOOKUP('Données projet'!$B$11,Paramètres!$A$1:$I$89,3,0)*0.475*44/12</f>
        <v>0.40845280133267264</v>
      </c>
      <c r="BS25" s="22">
        <f t="shared" si="9"/>
        <v>0.90450984827766656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163.89999999999998</v>
      </c>
      <c r="BZ25" s="13">
        <f>BY25*VLOOKUP('Données projet'!$B$12,Paramètres!$A$1:$I$89,3,0)*VLOOKUP('Données projet'!$B$12,Paramètres!$A$1:$I$89,5,0)</f>
        <v>76.705199999999991</v>
      </c>
      <c r="CA25" s="13">
        <f t="shared" si="39"/>
        <v>21.32962715676695</v>
      </c>
      <c r="CB25" s="20">
        <f t="shared" si="10"/>
        <v>170.74399063136909</v>
      </c>
      <c r="CC25" s="59">
        <f t="shared" si="11"/>
        <v>464.07732396470237</v>
      </c>
      <c r="CD25" s="59">
        <f ca="1">AVERAGE(OFFSET($CC$3,0,0,'Données projet'!$E$12+1,1))-AVERAGE(OFFSET($H$3,0,0,'Données projet'!$E$12+1,1))</f>
        <v>252.98248842635206</v>
      </c>
      <c r="CE25" s="59">
        <f t="shared" si="40"/>
        <v>207.11938580878308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2.0110420822094341</v>
      </c>
      <c r="CM25" s="21">
        <f>EXP(-LN(2)/2)*CM24+(1-EXP(-LN(2)/2))/(LN(2)/2)*CG25*CJ25*VLOOKUP('Données projet'!$B$12,Paramètres!$A$1:$I$89,3,0)*0.475*44/12</f>
        <v>1.6558897351324564</v>
      </c>
      <c r="CN25" s="22">
        <f t="shared" si="12"/>
        <v>3.6669318173418906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22.2</v>
      </c>
      <c r="CT25" s="12">
        <f>IF('Données projet'!$A$140&gt;35,CT24+CS25-DB24,IF(A25&lt;'Données projet'!$A$140,$CQ$205^A25,IF(A25='Données projet'!$A$140,'Données projet'!$B$140,CT24+CS25-DB24)))</f>
        <v>143.39999999999998</v>
      </c>
      <c r="CU25" s="17">
        <f>CT25*VLOOKUP('Données projet'!$B$13,Paramètres!$A$1:$I$89,3,0)*VLOOKUP('Données projet'!$B$13,Paramètres!$A$1:$I$89,5,0)</f>
        <v>80.160599999999988</v>
      </c>
      <c r="CV25" s="13">
        <f t="shared" si="41"/>
        <v>22.176447079115164</v>
      </c>
      <c r="CW25" s="20">
        <f t="shared" si="13"/>
        <v>178.23702366279221</v>
      </c>
      <c r="CX25" s="59">
        <f t="shared" si="14"/>
        <v>471.5703569961255</v>
      </c>
      <c r="CY25" s="59">
        <f ca="1">AVERAGE(OFFSET($CX$3,0,0,'Données projet'!$E$13+1,1))-AVERAGE(OFFSET($H$3,0,0,'Données projet'!$E$13+1,1))</f>
        <v>356.67698551373468</v>
      </c>
      <c r="CZ25" s="59">
        <f t="shared" si="42"/>
        <v>353.21836615408171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12.106473334900793</v>
      </c>
      <c r="DH25" s="21">
        <f>EXP(-LN(2)/2)*DH24+(1-EXP(-LN(2)/2))/(LN(2)/2)*DB25*DE25*VLOOKUP('Données projet'!$B$13,Paramètres!$A$1:$I$89,3,0)*0.475*44/12</f>
        <v>9.9684562054973895</v>
      </c>
      <c r="DI25" s="22">
        <f t="shared" si="15"/>
        <v>22.07492954039818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</v>
      </c>
      <c r="DO25" s="12">
        <f>IF('Données projet'!$A$166&gt;35,DO24+DN25-DW24,IF(A25&lt;'Données projet'!$A$166,$DL$205^A25,IF(A25='Données projet'!$A$166,'Données projet'!$B$166,DO24+DN25-DW24)))</f>
        <v>114</v>
      </c>
      <c r="DP25" s="17">
        <f>DO25*VLOOKUP('Données projet'!$B$14,Paramètres!$A$1:$I$89,3,0)*VLOOKUP('Données projet'!$B$14,Paramètres!$A$1:$I$89,5,0)</f>
        <v>68.172000000000011</v>
      </c>
      <c r="DQ25" s="13">
        <f t="shared" si="43"/>
        <v>19.21880399855084</v>
      </c>
      <c r="DR25" s="20">
        <f t="shared" si="16"/>
        <v>152.20565029747607</v>
      </c>
      <c r="DS25" s="59">
        <f t="shared" si="17"/>
        <v>445.53898363080941</v>
      </c>
      <c r="DT25" s="59">
        <f ca="1">AVERAGE(OFFSET($DS$3,0,0,'Données projet'!$E$14+1,1))-AVERAGE(OFFSET($H$3,0,0,'Données projet'!$E$14+1,1))</f>
        <v>247.30892363953825</v>
      </c>
      <c r="DU25" s="59">
        <f t="shared" si="44"/>
        <v>248.38414731596578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0.50458874062709436</v>
      </c>
      <c r="EC25" s="21">
        <f>EXP(-LN(2)/2)*EC24+(1-EXP(-LN(2)/2))/(LN(2)/2)*DW25*DZ25*VLOOKUP('Données projet'!$B$14,Paramètres!$A$1:$I$89,3,0)*0.475*44/12</f>
        <v>0.50780618544062006</v>
      </c>
      <c r="ED25" s="22">
        <f t="shared" si="18"/>
        <v>1.0123949260677145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13</v>
      </c>
      <c r="EJ25" s="12">
        <f>IF('Données projet'!$A$192&gt;35,EJ24+EI25-ER24,IF(A25&lt;'Données projet'!$A$192,$EG$205^A25,IF(A25='Données projet'!$A$192,'Données projet'!$B$192,EJ24+EI25-ER24)))</f>
        <v>114</v>
      </c>
      <c r="EK25" s="17">
        <f>EJ25*VLOOKUP('Données projet'!$B$15,Paramètres!$A$1:$I$89,3,0)*VLOOKUP('Données projet'!$B$15,Paramètres!$A$1:$I$89,5,0)</f>
        <v>68.172000000000011</v>
      </c>
      <c r="EL25" s="13">
        <f t="shared" si="45"/>
        <v>19.21880399855084</v>
      </c>
      <c r="EM25" s="20">
        <f t="shared" si="19"/>
        <v>152.20565029747607</v>
      </c>
      <c r="EN25" s="59">
        <f t="shared" si="20"/>
        <v>445.53898363080941</v>
      </c>
      <c r="EO25" s="59">
        <f ca="1">AVERAGE(OFFSET($EN$3,0,0,'Données projet'!$E$15+1,1))-AVERAGE(OFFSET($H$3,0,0,'Données projet'!$E$15+1,1))</f>
        <v>247.30892363953825</v>
      </c>
      <c r="EP25" s="59">
        <f t="shared" si="46"/>
        <v>248.38414731596578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0.50458874062709436</v>
      </c>
      <c r="EX25" s="21">
        <f>EXP(-LN(2)/2)*EX24+(1-EXP(-LN(2)/2))/(LN(2)/2)*ER25*EU25*VLOOKUP('Données projet'!$B$15,Paramètres!$A$1:$I$89,3,0)*0.475*44/12</f>
        <v>0.50780618544062006</v>
      </c>
      <c r="EY25" s="22">
        <f t="shared" si="21"/>
        <v>1.0123949260677145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22.2</v>
      </c>
      <c r="FE25" s="12">
        <f>IF('Données projet'!$A$218&gt;35,FE24+FD25-FM24,IF(A25&lt;'Données projet'!$A$218,$FB$205^A25,IF(A25='Données projet'!$A$218,'Données projet'!$B$218,FE24+FD25-FM24)))</f>
        <v>140.4</v>
      </c>
      <c r="FF25" s="17">
        <f>FE25*VLOOKUP('Données projet'!$B$16,Paramètres!$A$1:$I$89,3,0)*VLOOKUP('Données projet'!$B$16,Paramètres!$A$1:$I$89,5,0)</f>
        <v>67.53240000000001</v>
      </c>
      <c r="FG25" s="13">
        <f t="shared" si="47"/>
        <v>19.059391490646973</v>
      </c>
      <c r="FH25" s="20">
        <f t="shared" si="22"/>
        <v>150.81403684621014</v>
      </c>
      <c r="FI25" s="59">
        <f t="shared" si="23"/>
        <v>444.14737017954349</v>
      </c>
      <c r="FJ25" s="59">
        <f ca="1">AVERAGE(OFFSET($FI$3,0,0,'Données projet'!$E$16+1,1))-AVERAGE(OFFSET($H$3,0,0,'Données projet'!$E$16+1,1))</f>
        <v>322.54393676667081</v>
      </c>
      <c r="FK25" s="59">
        <f t="shared" si="48"/>
        <v>296.73904998640018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522.6640088501066</v>
      </c>
      <c r="S26" s="59">
        <f ca="1">AVERAGE(OFFSET($R$3,0,0,'Données projet'!$E$9+1,1))-AVERAGE(OFFSET($H$3,0,0,'Données projet'!$E$9+1,1))</f>
        <v>401.06118089678654</v>
      </c>
      <c r="T26" s="59">
        <f t="shared" si="34"/>
        <v>399.58193819355591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13.9</v>
      </c>
      <c r="AI26" s="13">
        <f>IF('Données projet'!$A$62&gt;35,AI25+AH26-AQ25,IF(A26&lt;'Données projet'!$A$62,$AF$205^A26,IF(A26='Données projet'!$A$62,'Données projet'!$B$62,AI25+AH26-AQ25)))</f>
        <v>122.70000000000002</v>
      </c>
      <c r="AJ26" s="13">
        <f>AI26*VLOOKUP('Données projet'!$B$10,Paramètres!$A$1:$I$89,3,0)*VLOOKUP('Données projet'!$B$10,Paramètres!$A$1:$I$89,5,0)</f>
        <v>76.56480000000002</v>
      </c>
      <c r="AK26" s="13">
        <f t="shared" si="35"/>
        <v>21.295126483826621</v>
      </c>
      <c r="AL26" s="20">
        <f t="shared" si="4"/>
        <v>170.4393719593314</v>
      </c>
      <c r="AM26" s="59">
        <f t="shared" si="5"/>
        <v>463.77270529266468</v>
      </c>
      <c r="AN26" s="59">
        <f ca="1">AVERAGE(OFFSET($AM$3,0,0,'Données projet'!$E$10+1,1))-AVERAGE(OFFSET($H$3,0,0,'Données projet'!$E$10+1,1))</f>
        <v>240.30073883588199</v>
      </c>
      <c r="AO26" s="59">
        <f t="shared" si="36"/>
        <v>263.20351282678843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8.4216844958797346</v>
      </c>
      <c r="AW26" s="21">
        <f>EXP(-LN(2)/2)*AW25+(1-EXP(-LN(2)/2))/(LN(2)/2)*AQ26*AT26*VLOOKUP('Données projet'!$B$10,Paramètres!$A$1:$I$89,3,0)*0.475*44/12</f>
        <v>4.6211159298715918</v>
      </c>
      <c r="AX26" s="21">
        <f t="shared" si="6"/>
        <v>13.042800425751327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24.7</v>
      </c>
      <c r="BD26" s="12">
        <f>IF('Données projet'!$A$88&gt;35,BD25+BC26-BL25,IF(A26&lt;'Données projet'!$A$88,$BA$205^A26,IF(A26='Données projet'!$A$88,'Données projet'!$B$88,BD25+BC26-BL25)))</f>
        <v>199.09999999999997</v>
      </c>
      <c r="BE26" s="13">
        <f>BD26*VLOOKUP('Données projet'!$B$11,Paramètres!$A$1:$I$89,3,0)*VLOOKUP('Données projet'!$B$11,Paramètres!$A$1:$I$89,5,0)</f>
        <v>95.767099999999985</v>
      </c>
      <c r="BF26" s="13">
        <f t="shared" si="37"/>
        <v>25.951043144702957</v>
      </c>
      <c r="BG26" s="20">
        <f t="shared" si="7"/>
        <v>211.99243264369093</v>
      </c>
      <c r="BH26" s="59">
        <f t="shared" si="8"/>
        <v>505.32576597702428</v>
      </c>
      <c r="BI26" s="59">
        <f ca="1">AVERAGE(OFFSET($BH$3,0,0,'Données projet'!$E$11+1,1))-AVERAGE(OFFSET($H$3,0,0,'Données projet'!$E$11+1,1))</f>
        <v>364.67510777943329</v>
      </c>
      <c r="BJ26" s="59">
        <f t="shared" si="38"/>
        <v>352.13878061387169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0.48249234090977666</v>
      </c>
      <c r="BR26" s="21">
        <f>EXP(-LN(2)/2)*BR25+(1-EXP(-LN(2)/2))/(LN(2)/2)*BL26*BO26*VLOOKUP('Données projet'!$B$11,Paramètres!$A$1:$I$89,3,0)*0.475*44/12</f>
        <v>0.28881974561697454</v>
      </c>
      <c r="BS26" s="22">
        <f t="shared" si="9"/>
        <v>0.77131208652675121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173.09999999999997</v>
      </c>
      <c r="BZ26" s="13">
        <f>BY26*VLOOKUP('Données projet'!$B$12,Paramètres!$A$1:$I$89,3,0)*VLOOKUP('Données projet'!$B$12,Paramètres!$A$1:$I$89,5,0)</f>
        <v>81.010799999999989</v>
      </c>
      <c r="CA26" s="13">
        <f t="shared" si="39"/>
        <v>22.384149091932141</v>
      </c>
      <c r="CB26" s="20">
        <f t="shared" si="10"/>
        <v>180.07953633511511</v>
      </c>
      <c r="CC26" s="59">
        <f t="shared" si="11"/>
        <v>473.41286966844842</v>
      </c>
      <c r="CD26" s="59">
        <f ca="1">AVERAGE(OFFSET($CC$3,0,0,'Données projet'!$E$12+1,1))-AVERAGE(OFFSET($H$3,0,0,'Données projet'!$E$12+1,1))</f>
        <v>252.98248842635206</v>
      </c>
      <c r="CE26" s="59">
        <f t="shared" si="40"/>
        <v>207.11938580878308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1.9560500307153104</v>
      </c>
      <c r="CM26" s="21">
        <f>EXP(-LN(2)/2)*CM25+(1-EXP(-LN(2)/2))/(LN(2)/2)*CG26*CJ26*VLOOKUP('Données projet'!$B$12,Paramètres!$A$1:$I$89,3,0)*0.475*44/12</f>
        <v>1.170890860609356</v>
      </c>
      <c r="CN26" s="22">
        <f t="shared" si="12"/>
        <v>3.1269408913246663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22.2</v>
      </c>
      <c r="CT26" s="12">
        <f>IF('Données projet'!$A$140&gt;35,CT25+CS26-DB25,IF(A26&lt;'Données projet'!$A$140,$CQ$205^A26,IF(A26='Données projet'!$A$140,'Données projet'!$B$140,CT25+CS26-DB25)))</f>
        <v>165.59999999999997</v>
      </c>
      <c r="CU26" s="17">
        <f>CT26*VLOOKUP('Données projet'!$B$13,Paramètres!$A$1:$I$89,3,0)*VLOOKUP('Données projet'!$B$13,Paramètres!$A$1:$I$89,5,0)</f>
        <v>92.570399999999978</v>
      </c>
      <c r="CV26" s="13">
        <f t="shared" si="41"/>
        <v>25.184123943972491</v>
      </c>
      <c r="CW26" s="20">
        <f t="shared" si="13"/>
        <v>205.08912920241869</v>
      </c>
      <c r="CX26" s="59">
        <f t="shared" si="14"/>
        <v>498.422462535752</v>
      </c>
      <c r="CY26" s="59">
        <f ca="1">AVERAGE(OFFSET($CX$3,0,0,'Données projet'!$E$13+1,1))-AVERAGE(OFFSET($H$3,0,0,'Données projet'!$E$13+1,1))</f>
        <v>356.67698551373468</v>
      </c>
      <c r="CZ26" s="59">
        <f t="shared" si="42"/>
        <v>353.21836615408171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11.775421184906168</v>
      </c>
      <c r="DH26" s="21">
        <f>EXP(-LN(2)/2)*DH25+(1-EXP(-LN(2)/2))/(LN(2)/2)*DB26*DE26*VLOOKUP('Données projet'!$B$13,Paramètres!$A$1:$I$89,3,0)*0.475*44/12</f>
        <v>7.0487629808683252</v>
      </c>
      <c r="DI26" s="22">
        <f t="shared" si="15"/>
        <v>18.824184165774493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</v>
      </c>
      <c r="DO26" s="12">
        <f>IF('Données projet'!$A$166&gt;35,DO25+DN26-DW25,IF(A26&lt;'Données projet'!$A$166,$DL$205^A26,IF(A26='Données projet'!$A$166,'Données projet'!$B$166,DO25+DN26-DW25)))</f>
        <v>127</v>
      </c>
      <c r="DP26" s="17">
        <f>DO26*VLOOKUP('Données projet'!$B$14,Paramètres!$A$1:$I$89,3,0)*VLOOKUP('Données projet'!$B$14,Paramètres!$A$1:$I$89,5,0)</f>
        <v>75.945999999999998</v>
      </c>
      <c r="DQ26" s="13">
        <f t="shared" si="43"/>
        <v>21.142979995226831</v>
      </c>
      <c r="DR26" s="20">
        <f t="shared" si="16"/>
        <v>169.09664015835338</v>
      </c>
      <c r="DS26" s="59">
        <f t="shared" si="17"/>
        <v>462.42997349168672</v>
      </c>
      <c r="DT26" s="59">
        <f ca="1">AVERAGE(OFFSET($DS$3,0,0,'Données projet'!$E$14+1,1))-AVERAGE(OFFSET($H$3,0,0,'Données projet'!$E$14+1,1))</f>
        <v>247.30892363953825</v>
      </c>
      <c r="DU26" s="59">
        <f t="shared" si="44"/>
        <v>248.38414731596578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0.49079073497947784</v>
      </c>
      <c r="EC26" s="21">
        <f>EXP(-LN(2)/2)*EC25+(1-EXP(-LN(2)/2))/(LN(2)/2)*DW26*DZ26*VLOOKUP('Données projet'!$B$14,Paramètres!$A$1:$I$89,3,0)*0.475*44/12</f>
        <v>0.35907319725353593</v>
      </c>
      <c r="ED26" s="22">
        <f t="shared" si="18"/>
        <v>0.84986393223301371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13</v>
      </c>
      <c r="EJ26" s="12">
        <f>IF('Données projet'!$A$192&gt;35,EJ25+EI26-ER25,IF(A26&lt;'Données projet'!$A$192,$EG$205^A26,IF(A26='Données projet'!$A$192,'Données projet'!$B$192,EJ25+EI26-ER25)))</f>
        <v>127</v>
      </c>
      <c r="EK26" s="17">
        <f>EJ26*VLOOKUP('Données projet'!$B$15,Paramètres!$A$1:$I$89,3,0)*VLOOKUP('Données projet'!$B$15,Paramètres!$A$1:$I$89,5,0)</f>
        <v>75.945999999999998</v>
      </c>
      <c r="EL26" s="13">
        <f t="shared" si="45"/>
        <v>21.142979995226831</v>
      </c>
      <c r="EM26" s="20">
        <f t="shared" si="19"/>
        <v>169.09664015835338</v>
      </c>
      <c r="EN26" s="59">
        <f t="shared" si="20"/>
        <v>462.42997349168672</v>
      </c>
      <c r="EO26" s="59">
        <f ca="1">AVERAGE(OFFSET($EN$3,0,0,'Données projet'!$E$15+1,1))-AVERAGE(OFFSET($H$3,0,0,'Données projet'!$E$15+1,1))</f>
        <v>247.30892363953825</v>
      </c>
      <c r="EP26" s="59">
        <f t="shared" si="46"/>
        <v>248.38414731596578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0.49079073497947784</v>
      </c>
      <c r="EX26" s="21">
        <f>EXP(-LN(2)/2)*EX25+(1-EXP(-LN(2)/2))/(LN(2)/2)*ER26*EU26*VLOOKUP('Données projet'!$B$15,Paramètres!$A$1:$I$89,3,0)*0.475*44/12</f>
        <v>0.35907319725353593</v>
      </c>
      <c r="EY26" s="22">
        <f t="shared" si="21"/>
        <v>0.84986393223301371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22.2</v>
      </c>
      <c r="FE26" s="12">
        <f>IF('Données projet'!$A$218&gt;35,FE25+FD26-FM25,IF(A26&lt;'Données projet'!$A$218,$FB$205^A26,IF(A26='Données projet'!$A$218,'Données projet'!$B$218,FE25+FD26-FM25)))</f>
        <v>162.6</v>
      </c>
      <c r="FF26" s="17">
        <f>FE26*VLOOKUP('Données projet'!$B$16,Paramètres!$A$1:$I$89,3,0)*VLOOKUP('Données projet'!$B$16,Paramètres!$A$1:$I$89,5,0)</f>
        <v>78.210599999999999</v>
      </c>
      <c r="FG26" s="13">
        <f t="shared" si="47"/>
        <v>21.699092173018201</v>
      </c>
      <c r="FH26" s="20">
        <f t="shared" si="22"/>
        <v>174.00938053467337</v>
      </c>
      <c r="FI26" s="59">
        <f t="shared" si="23"/>
        <v>467.34271386800668</v>
      </c>
      <c r="FJ26" s="59">
        <f ca="1">AVERAGE(OFFSET($FI$3,0,0,'Données projet'!$E$16+1,1))-AVERAGE(OFFSET($H$3,0,0,'Données projet'!$E$16+1,1))</f>
        <v>322.54393676667081</v>
      </c>
      <c r="FK26" s="59">
        <f t="shared" si="48"/>
        <v>296.73904998640018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552.61402521678201</v>
      </c>
      <c r="S27" s="59">
        <f ca="1">AVERAGE(OFFSET($R$3,0,0,'Données projet'!$E$9+1,1))-AVERAGE(OFFSET($H$3,0,0,'Données projet'!$E$9+1,1))</f>
        <v>401.06118089678654</v>
      </c>
      <c r="T27" s="59">
        <f t="shared" si="34"/>
        <v>399.58193819355591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13.9</v>
      </c>
      <c r="AI27" s="13">
        <f>IF('Données projet'!$A$62&gt;35,AI26+AH27-AQ26,IF(A27&lt;'Données projet'!$A$62,$AF$205^A27,IF(A27='Données projet'!$A$62,'Données projet'!$B$62,AI26+AH27-AQ26)))</f>
        <v>136.60000000000002</v>
      </c>
      <c r="AJ27" s="13">
        <f>AI27*VLOOKUP('Données projet'!$B$10,Paramètres!$A$1:$I$89,3,0)*VLOOKUP('Données projet'!$B$10,Paramètres!$A$1:$I$89,5,0)</f>
        <v>85.238400000000013</v>
      </c>
      <c r="AK27" s="13">
        <f t="shared" si="35"/>
        <v>23.413234033238567</v>
      </c>
      <c r="AL27" s="20">
        <f t="shared" si="4"/>
        <v>189.2349292745572</v>
      </c>
      <c r="AM27" s="59">
        <f t="shared" si="5"/>
        <v>482.56826260789052</v>
      </c>
      <c r="AN27" s="59">
        <f ca="1">AVERAGE(OFFSET($AM$3,0,0,'Données projet'!$E$10+1,1))-AVERAGE(OFFSET($H$3,0,0,'Données projet'!$E$10+1,1))</f>
        <v>240.30073883588199</v>
      </c>
      <c r="AO27" s="59">
        <f t="shared" si="36"/>
        <v>263.20351282678843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8.1913930904627641</v>
      </c>
      <c r="AW27" s="21">
        <f>EXP(-LN(2)/2)*AW26+(1-EXP(-LN(2)/2))/(LN(2)/2)*AQ27*AT27*VLOOKUP('Données projet'!$B$10,Paramètres!$A$1:$I$89,3,0)*0.475*44/12</f>
        <v>3.2676224106613811</v>
      </c>
      <c r="AX27" s="21">
        <f t="shared" si="6"/>
        <v>11.459015501124146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24.7</v>
      </c>
      <c r="BD27" s="12">
        <f>IF('Données projet'!$A$88&gt;35,BD26+BC27-BL26,IF(A27&lt;'Données projet'!$A$88,$BA$205^A27,IF(A27='Données projet'!$A$88,'Données projet'!$B$88,BD26+BC27-BL26)))</f>
        <v>223.79999999999995</v>
      </c>
      <c r="BE27" s="13">
        <f>BD27*VLOOKUP('Données projet'!$B$11,Paramètres!$A$1:$I$89,3,0)*VLOOKUP('Données projet'!$B$11,Paramètres!$A$1:$I$89,5,0)</f>
        <v>107.64779999999998</v>
      </c>
      <c r="BF27" s="13">
        <f t="shared" si="37"/>
        <v>28.776092641636819</v>
      </c>
      <c r="BG27" s="20">
        <f t="shared" si="7"/>
        <v>237.60494635085078</v>
      </c>
      <c r="BH27" s="59">
        <f t="shared" si="8"/>
        <v>530.93827968418407</v>
      </c>
      <c r="BI27" s="59">
        <f ca="1">AVERAGE(OFFSET($BH$3,0,0,'Données projet'!$E$11+1,1))-AVERAGE(OFFSET($H$3,0,0,'Données projet'!$E$11+1,1))</f>
        <v>364.67510777943329</v>
      </c>
      <c r="BJ27" s="59">
        <f t="shared" si="38"/>
        <v>352.13878061387169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0.46929856247442936</v>
      </c>
      <c r="BR27" s="21">
        <f>EXP(-LN(2)/2)*BR26+(1-EXP(-LN(2)/2))/(LN(2)/2)*BL27*BO27*VLOOKUP('Données projet'!$B$11,Paramètres!$A$1:$I$89,3,0)*0.475*44/12</f>
        <v>0.20422640066633635</v>
      </c>
      <c r="BS27" s="22">
        <f t="shared" si="9"/>
        <v>0.67352496314076571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182.29999999999995</v>
      </c>
      <c r="BZ27" s="13">
        <f>BY27*VLOOKUP('Données projet'!$B$12,Paramètres!$A$1:$I$89,3,0)*VLOOKUP('Données projet'!$B$12,Paramètres!$A$1:$I$89,5,0)</f>
        <v>85.316399999999987</v>
      </c>
      <c r="CA27" s="13">
        <f t="shared" si="39"/>
        <v>23.432164150529264</v>
      </c>
      <c r="CB27" s="20">
        <f t="shared" si="10"/>
        <v>189.40374922883845</v>
      </c>
      <c r="CC27" s="59">
        <f t="shared" si="11"/>
        <v>482.73708256217174</v>
      </c>
      <c r="CD27" s="59">
        <f ca="1">AVERAGE(OFFSET($CC$3,0,0,'Données projet'!$E$12+1,1))-AVERAGE(OFFSET($H$3,0,0,'Données projet'!$E$12+1,1))</f>
        <v>252.98248842635206</v>
      </c>
      <c r="CE27" s="59">
        <f t="shared" si="40"/>
        <v>207.11938580878308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1.9025617397611998</v>
      </c>
      <c r="CM27" s="21">
        <f>EXP(-LN(2)/2)*CM26+(1-EXP(-LN(2)/2))/(LN(2)/2)*CG27*CJ27*VLOOKUP('Données projet'!$B$12,Paramètres!$A$1:$I$89,3,0)*0.475*44/12</f>
        <v>0.8279448675662282</v>
      </c>
      <c r="CN27" s="22">
        <f t="shared" si="12"/>
        <v>2.730506607327428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22.2</v>
      </c>
      <c r="CT27" s="12">
        <f>IF('Données projet'!$A$140&gt;35,CT26+CS27-DB26,IF(A27&lt;'Données projet'!$A$140,$CQ$205^A27,IF(A27='Données projet'!$A$140,'Données projet'!$B$140,CT26+CS27-DB26)))</f>
        <v>187.79999999999995</v>
      </c>
      <c r="CU27" s="17">
        <f>CT27*VLOOKUP('Données projet'!$B$13,Paramètres!$A$1:$I$89,3,0)*VLOOKUP('Données projet'!$B$13,Paramètres!$A$1:$I$89,5,0)</f>
        <v>104.98019999999997</v>
      </c>
      <c r="CV27" s="13">
        <f t="shared" si="41"/>
        <v>28.145084690033578</v>
      </c>
      <c r="CW27" s="20">
        <f t="shared" si="13"/>
        <v>231.85987083514172</v>
      </c>
      <c r="CX27" s="59">
        <f t="shared" si="14"/>
        <v>525.19320416847506</v>
      </c>
      <c r="CY27" s="59">
        <f ca="1">AVERAGE(OFFSET($CX$3,0,0,'Données projet'!$E$13+1,1))-AVERAGE(OFFSET($H$3,0,0,'Données projet'!$E$13+1,1))</f>
        <v>356.67698551373468</v>
      </c>
      <c r="CZ27" s="59">
        <f t="shared" si="42"/>
        <v>353.21836615408171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11.453421673362422</v>
      </c>
      <c r="DH27" s="21">
        <f>EXP(-LN(2)/2)*DH26+(1-EXP(-LN(2)/2))/(LN(2)/2)*DB27*DE27*VLOOKUP('Données projet'!$B$13,Paramètres!$A$1:$I$89,3,0)*0.475*44/12</f>
        <v>4.9842281027486957</v>
      </c>
      <c r="DI27" s="22">
        <f t="shared" si="15"/>
        <v>16.437649776111119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</v>
      </c>
      <c r="DO27" s="12">
        <f>IF('Données projet'!$A$166&gt;35,DO26+DN27-DW26,IF(A27&lt;'Données projet'!$A$166,$DL$205^A27,IF(A27='Données projet'!$A$166,'Données projet'!$B$166,DO26+DN27-DW26)))</f>
        <v>140</v>
      </c>
      <c r="DP27" s="17">
        <f>DO27*VLOOKUP('Données projet'!$B$14,Paramètres!$A$1:$I$89,3,0)*VLOOKUP('Données projet'!$B$14,Paramètres!$A$1:$I$89,5,0)</f>
        <v>83.720000000000013</v>
      </c>
      <c r="DQ27" s="13">
        <f t="shared" si="43"/>
        <v>23.044323503842598</v>
      </c>
      <c r="DR27" s="20">
        <f t="shared" si="16"/>
        <v>185.9478634358592</v>
      </c>
      <c r="DS27" s="59">
        <f t="shared" si="17"/>
        <v>479.28119676919255</v>
      </c>
      <c r="DT27" s="59">
        <f ca="1">AVERAGE(OFFSET($DS$3,0,0,'Données projet'!$E$14+1,1))-AVERAGE(OFFSET($H$3,0,0,'Données projet'!$E$14+1,1))</f>
        <v>247.30892363953825</v>
      </c>
      <c r="DU27" s="59">
        <f t="shared" si="44"/>
        <v>248.38414731596578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0.47737003652190096</v>
      </c>
      <c r="EC27" s="21">
        <f>EXP(-LN(2)/2)*EC26+(1-EXP(-LN(2)/2))/(LN(2)/2)*DW27*DZ27*VLOOKUP('Données projet'!$B$14,Paramètres!$A$1:$I$89,3,0)*0.475*44/12</f>
        <v>0.25390309272031009</v>
      </c>
      <c r="ED27" s="22">
        <f t="shared" si="18"/>
        <v>0.731273129242211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13</v>
      </c>
      <c r="EJ27" s="12">
        <f>IF('Données projet'!$A$192&gt;35,EJ26+EI27-ER26,IF(A27&lt;'Données projet'!$A$192,$EG$205^A27,IF(A27='Données projet'!$A$192,'Données projet'!$B$192,EJ26+EI27-ER26)))</f>
        <v>140</v>
      </c>
      <c r="EK27" s="17">
        <f>EJ27*VLOOKUP('Données projet'!$B$15,Paramètres!$A$1:$I$89,3,0)*VLOOKUP('Données projet'!$B$15,Paramètres!$A$1:$I$89,5,0)</f>
        <v>83.720000000000013</v>
      </c>
      <c r="EL27" s="13">
        <f t="shared" si="45"/>
        <v>23.044323503842598</v>
      </c>
      <c r="EM27" s="20">
        <f t="shared" si="19"/>
        <v>185.9478634358592</v>
      </c>
      <c r="EN27" s="59">
        <f t="shared" si="20"/>
        <v>479.28119676919255</v>
      </c>
      <c r="EO27" s="59">
        <f ca="1">AVERAGE(OFFSET($EN$3,0,0,'Données projet'!$E$15+1,1))-AVERAGE(OFFSET($H$3,0,0,'Données projet'!$E$15+1,1))</f>
        <v>247.30892363953825</v>
      </c>
      <c r="EP27" s="59">
        <f t="shared" si="46"/>
        <v>248.38414731596578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0.47737003652190096</v>
      </c>
      <c r="EX27" s="21">
        <f>EXP(-LN(2)/2)*EX26+(1-EXP(-LN(2)/2))/(LN(2)/2)*ER27*EU27*VLOOKUP('Données projet'!$B$15,Paramètres!$A$1:$I$89,3,0)*0.475*44/12</f>
        <v>0.25390309272031009</v>
      </c>
      <c r="EY27" s="22">
        <f t="shared" si="21"/>
        <v>0.731273129242211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22.2</v>
      </c>
      <c r="FE27" s="12">
        <f>IF('Données projet'!$A$218&gt;35,FE26+FD27-FM26,IF(A27&lt;'Données projet'!$A$218,$FB$205^A27,IF(A27='Données projet'!$A$218,'Données projet'!$B$218,FE26+FD27-FM26)))</f>
        <v>184.79999999999998</v>
      </c>
      <c r="FF27" s="17">
        <f>FE27*VLOOKUP('Données projet'!$B$16,Paramètres!$A$1:$I$89,3,0)*VLOOKUP('Données projet'!$B$16,Paramètres!$A$1:$I$89,5,0)</f>
        <v>88.888799999999989</v>
      </c>
      <c r="FG27" s="13">
        <f t="shared" si="47"/>
        <v>24.297036846372382</v>
      </c>
      <c r="FH27" s="20">
        <f t="shared" si="22"/>
        <v>197.13199917409852</v>
      </c>
      <c r="FI27" s="59">
        <f t="shared" si="23"/>
        <v>490.46533250743187</v>
      </c>
      <c r="FJ27" s="59">
        <f ca="1">AVERAGE(OFFSET($FI$3,0,0,'Données projet'!$E$16+1,1))-AVERAGE(OFFSET($H$3,0,0,'Données projet'!$E$16+1,1))</f>
        <v>322.54393676667081</v>
      </c>
      <c r="FK27" s="59">
        <f t="shared" si="48"/>
        <v>296.73904998640018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582.48583747848795</v>
      </c>
      <c r="S28" s="59">
        <f ca="1">AVERAGE(OFFSET($R$3,0,0,'Données projet'!$E$9+1,1))-AVERAGE(OFFSET($H$3,0,0,'Données projet'!$E$9+1,1))</f>
        <v>401.06118089678654</v>
      </c>
      <c r="T28" s="59">
        <f t="shared" si="34"/>
        <v>399.58193819355591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13.9</v>
      </c>
      <c r="AI28" s="13">
        <f>IF('Données projet'!$A$62&gt;35,AI27+AH28-AQ27,IF(A28&lt;'Données projet'!$A$62,$AF$205^A28,IF(A28='Données projet'!$A$62,'Données projet'!$B$62,AI27+AH28-AQ27)))</f>
        <v>150.50000000000003</v>
      </c>
      <c r="AJ28" s="13">
        <f>AI28*VLOOKUP('Données projet'!$B$10,Paramètres!$A$1:$I$89,3,0)*VLOOKUP('Données projet'!$B$10,Paramètres!$A$1:$I$89,5,0)</f>
        <v>93.91200000000002</v>
      </c>
      <c r="AK28" s="13">
        <f t="shared" si="35"/>
        <v>25.506356157232645</v>
      </c>
      <c r="AL28" s="20">
        <f t="shared" si="4"/>
        <v>207.9869703071802</v>
      </c>
      <c r="AM28" s="59">
        <f t="shared" si="5"/>
        <v>501.32030364051354</v>
      </c>
      <c r="AN28" s="59">
        <f ca="1">AVERAGE(OFFSET($AM$3,0,0,'Données projet'!$E$10+1,1))-AVERAGE(OFFSET($H$3,0,0,'Données projet'!$E$10+1,1))</f>
        <v>240.30073883588199</v>
      </c>
      <c r="AO28" s="59">
        <f t="shared" si="36"/>
        <v>263.20351282678843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7.9673990156374188</v>
      </c>
      <c r="AW28" s="21">
        <f>EXP(-LN(2)/2)*AW27+(1-EXP(-LN(2)/2))/(LN(2)/2)*AQ28*AT28*VLOOKUP('Données projet'!$B$10,Paramètres!$A$1:$I$89,3,0)*0.475*44/12</f>
        <v>2.3105579649357963</v>
      </c>
      <c r="AX28" s="21">
        <f t="shared" si="6"/>
        <v>10.277956980573215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24.7</v>
      </c>
      <c r="BD28" s="12">
        <f>IF('Données projet'!$A$88&gt;35,BD27+BC28-BL27,IF(A28&lt;'Données projet'!$A$88,$BA$205^A28,IF(A28='Données projet'!$A$88,'Données projet'!$B$88,BD27+BC28-BL27)))</f>
        <v>248.49999999999994</v>
      </c>
      <c r="BE28" s="13">
        <f>BD28*VLOOKUP('Données projet'!$B$11,Paramètres!$A$1:$I$89,3,0)*VLOOKUP('Données projet'!$B$11,Paramètres!$A$1:$I$89,5,0)</f>
        <v>119.52849999999998</v>
      </c>
      <c r="BF28" s="13">
        <f t="shared" si="37"/>
        <v>31.565004477604749</v>
      </c>
      <c r="BG28" s="20">
        <f t="shared" si="7"/>
        <v>263.1545202984949</v>
      </c>
      <c r="BH28" s="59">
        <f t="shared" si="8"/>
        <v>556.48785363182822</v>
      </c>
      <c r="BI28" s="59">
        <f ca="1">AVERAGE(OFFSET($BH$3,0,0,'Données projet'!$E$11+1,1))-AVERAGE(OFFSET($H$3,0,0,'Données projet'!$E$11+1,1))</f>
        <v>364.67510777943329</v>
      </c>
      <c r="BJ28" s="59">
        <f t="shared" si="38"/>
        <v>352.13878061387169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0.45646556860422727</v>
      </c>
      <c r="BR28" s="21">
        <f>EXP(-LN(2)/2)*BR27+(1-EXP(-LN(2)/2))/(LN(2)/2)*BL28*BO28*VLOOKUP('Données projet'!$B$11,Paramètres!$A$1:$I$89,3,0)*0.475*44/12</f>
        <v>0.1444098728084873</v>
      </c>
      <c r="BS28" s="22">
        <f t="shared" si="9"/>
        <v>0.60087544141271454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191.49999999999994</v>
      </c>
      <c r="BZ28" s="13">
        <f>BY28*VLOOKUP('Données projet'!$B$12,Paramètres!$A$1:$I$89,3,0)*VLOOKUP('Données projet'!$B$12,Paramètres!$A$1:$I$89,5,0)</f>
        <v>89.621999999999986</v>
      </c>
      <c r="CA28" s="13">
        <f t="shared" si="39"/>
        <v>24.47403817697321</v>
      </c>
      <c r="CB28" s="20">
        <f t="shared" si="10"/>
        <v>198.71726649156165</v>
      </c>
      <c r="CC28" s="59">
        <f t="shared" si="11"/>
        <v>492.05059982489496</v>
      </c>
      <c r="CD28" s="59">
        <f ca="1">AVERAGE(OFFSET($CC$3,0,0,'Données projet'!$E$12+1,1))-AVERAGE(OFFSET($H$3,0,0,'Données projet'!$E$12+1,1))</f>
        <v>252.98248842635206</v>
      </c>
      <c r="CE28" s="59">
        <f t="shared" si="40"/>
        <v>207.11938580878308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1.8505360889360563</v>
      </c>
      <c r="CM28" s="21">
        <f>EXP(-LN(2)/2)*CM27+(1-EXP(-LN(2)/2))/(LN(2)/2)*CG28*CJ28*VLOOKUP('Données projet'!$B$12,Paramètres!$A$1:$I$89,3,0)*0.475*44/12</f>
        <v>0.58544543030467799</v>
      </c>
      <c r="CN28" s="22">
        <f t="shared" si="12"/>
        <v>2.4359815192407344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22.2</v>
      </c>
      <c r="CT28" s="12">
        <f>IF('Données projet'!$A$140&gt;35,CT27+CS28-DB27,IF(A28&lt;'Données projet'!$A$140,$CQ$205^A28,IF(A28='Données projet'!$A$140,'Données projet'!$B$140,CT27+CS28-DB27)))</f>
        <v>209.99999999999994</v>
      </c>
      <c r="CU28" s="17">
        <f>CT28*VLOOKUP('Données projet'!$B$13,Paramètres!$A$1:$I$89,3,0)*VLOOKUP('Données projet'!$B$13,Paramètres!$A$1:$I$89,5,0)</f>
        <v>117.38999999999996</v>
      </c>
      <c r="CV28" s="13">
        <f t="shared" si="41"/>
        <v>31.065482772413461</v>
      </c>
      <c r="CW28" s="20">
        <f t="shared" si="13"/>
        <v>258.55996582862002</v>
      </c>
      <c r="CX28" s="59">
        <f t="shared" si="14"/>
        <v>551.89329916195334</v>
      </c>
      <c r="CY28" s="59">
        <f ca="1">AVERAGE(OFFSET($CX$3,0,0,'Données projet'!$E$13+1,1))-AVERAGE(OFFSET($H$3,0,0,'Données projet'!$E$13+1,1))</f>
        <v>356.67698551373468</v>
      </c>
      <c r="CZ28" s="59">
        <f t="shared" si="42"/>
        <v>353.21836615408171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11.140227255395057</v>
      </c>
      <c r="DH28" s="21">
        <f>EXP(-LN(2)/2)*DH27+(1-EXP(-LN(2)/2))/(LN(2)/2)*DB28*DE28*VLOOKUP('Données projet'!$B$13,Paramètres!$A$1:$I$89,3,0)*0.475*44/12</f>
        <v>3.524381490434163</v>
      </c>
      <c r="DI28" s="22">
        <f t="shared" si="15"/>
        <v>14.66460874582922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13</v>
      </c>
      <c r="DO28" s="12">
        <f>IF('Données projet'!$A$166&gt;35,DO27+DN28-DW27,IF(A28&lt;'Données projet'!$A$166,$DL$205^A28,IF(A28='Données projet'!$A$166,'Données projet'!$B$166,DO27+DN28-DW27)))</f>
        <v>153</v>
      </c>
      <c r="DP28" s="17">
        <f>DO28*VLOOKUP('Données projet'!$B$14,Paramètres!$A$1:$I$89,3,0)*VLOOKUP('Données projet'!$B$14,Paramètres!$A$1:$I$89,5,0)</f>
        <v>91.494000000000014</v>
      </c>
      <c r="DQ28" s="13">
        <f t="shared" si="43"/>
        <v>24.925195840896542</v>
      </c>
      <c r="DR28" s="20">
        <f t="shared" si="16"/>
        <v>202.76343275622813</v>
      </c>
      <c r="DS28" s="59">
        <f t="shared" si="17"/>
        <v>496.09676608956147</v>
      </c>
      <c r="DT28" s="59">
        <f ca="1">AVERAGE(OFFSET($DS$3,0,0,'Données projet'!$E$14+1,1))-AVERAGE(OFFSET($H$3,0,0,'Données projet'!$E$14+1,1))</f>
        <v>247.30892363953825</v>
      </c>
      <c r="DU28" s="59">
        <f t="shared" si="44"/>
        <v>248.38414731596578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0.4643163277694104</v>
      </c>
      <c r="EC28" s="21">
        <f>EXP(-LN(2)/2)*EC27+(1-EXP(-LN(2)/2))/(LN(2)/2)*DW28*DZ28*VLOOKUP('Données projet'!$B$14,Paramètres!$A$1:$I$89,3,0)*0.475*44/12</f>
        <v>0.17953659862676799</v>
      </c>
      <c r="ED28" s="22">
        <f t="shared" si="18"/>
        <v>0.64385292639617842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13</v>
      </c>
      <c r="EJ28" s="12">
        <f>IF('Données projet'!$A$192&gt;35,EJ27+EI28-ER27,IF(A28&lt;'Données projet'!$A$192,$EG$205^A28,IF(A28='Données projet'!$A$192,'Données projet'!$B$192,EJ27+EI28-ER27)))</f>
        <v>153</v>
      </c>
      <c r="EK28" s="17">
        <f>EJ28*VLOOKUP('Données projet'!$B$15,Paramètres!$A$1:$I$89,3,0)*VLOOKUP('Données projet'!$B$15,Paramètres!$A$1:$I$89,5,0)</f>
        <v>91.494000000000014</v>
      </c>
      <c r="EL28" s="13">
        <f t="shared" si="45"/>
        <v>24.925195840896542</v>
      </c>
      <c r="EM28" s="20">
        <f t="shared" si="19"/>
        <v>202.76343275622813</v>
      </c>
      <c r="EN28" s="59">
        <f t="shared" si="20"/>
        <v>496.09676608956147</v>
      </c>
      <c r="EO28" s="59">
        <f ca="1">AVERAGE(OFFSET($EN$3,0,0,'Données projet'!$E$15+1,1))-AVERAGE(OFFSET($H$3,0,0,'Données projet'!$E$15+1,1))</f>
        <v>247.30892363953825</v>
      </c>
      <c r="EP28" s="59">
        <f t="shared" si="46"/>
        <v>248.38414731596578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0.4643163277694104</v>
      </c>
      <c r="EX28" s="21">
        <f>EXP(-LN(2)/2)*EX27+(1-EXP(-LN(2)/2))/(LN(2)/2)*ER28*EU28*VLOOKUP('Données projet'!$B$15,Paramètres!$A$1:$I$89,3,0)*0.475*44/12</f>
        <v>0.17953659862676799</v>
      </c>
      <c r="EY28" s="22">
        <f t="shared" si="21"/>
        <v>0.64385292639617842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22.2</v>
      </c>
      <c r="FE28" s="12">
        <f>IF('Données projet'!$A$218&gt;35,FE27+FD28-FM27,IF(A28&lt;'Données projet'!$A$218,$FB$205^A28,IF(A28='Données projet'!$A$218,'Données projet'!$B$218,FE27+FD28-FM27)))</f>
        <v>206.99999999999997</v>
      </c>
      <c r="FF28" s="17">
        <f>FE28*VLOOKUP('Données projet'!$B$16,Paramètres!$A$1:$I$89,3,0)*VLOOKUP('Données projet'!$B$16,Paramètres!$A$1:$I$89,5,0)</f>
        <v>99.566999999999993</v>
      </c>
      <c r="FG28" s="13">
        <f t="shared" si="47"/>
        <v>26.858815231289142</v>
      </c>
      <c r="FH28" s="20">
        <f t="shared" si="22"/>
        <v>220.19162819449525</v>
      </c>
      <c r="FI28" s="59">
        <f t="shared" si="23"/>
        <v>513.52496152782851</v>
      </c>
      <c r="FJ28" s="59">
        <f ca="1">AVERAGE(OFFSET($FI$3,0,0,'Données projet'!$E$16+1,1))-AVERAGE(OFFSET($H$3,0,0,'Données projet'!$E$16+1,1))</f>
        <v>322.54393676667081</v>
      </c>
      <c r="FK28" s="59">
        <f t="shared" si="48"/>
        <v>296.73904998640018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612.28865652255718</v>
      </c>
      <c r="S29" s="59">
        <f ca="1">AVERAGE(OFFSET($R$3,0,0,'Données projet'!$E$9+1,1))-AVERAGE(OFFSET($H$3,0,0,'Données projet'!$E$9+1,1))</f>
        <v>401.06118089678654</v>
      </c>
      <c r="T29" s="59">
        <f t="shared" si="34"/>
        <v>399.58193819355591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13.9</v>
      </c>
      <c r="AI29" s="13">
        <f>IF('Données projet'!$A$62&gt;35,AI28+AH29-AQ28,IF(A29&lt;'Données projet'!$A$62,$AF$205^A29,IF(A29='Données projet'!$A$62,'Données projet'!$B$62,AI28+AH29-AQ28)))</f>
        <v>164.40000000000003</v>
      </c>
      <c r="AJ29" s="13">
        <f>AI29*VLOOKUP('Données projet'!$B$10,Paramètres!$A$1:$I$89,3,0)*VLOOKUP('Données projet'!$B$10,Paramètres!$A$1:$I$89,5,0)</f>
        <v>102.58560000000003</v>
      </c>
      <c r="AK29" s="13">
        <f t="shared" si="35"/>
        <v>27.577062948792328</v>
      </c>
      <c r="AL29" s="20">
        <f t="shared" si="4"/>
        <v>226.69997130248001</v>
      </c>
      <c r="AM29" s="59">
        <f t="shared" si="5"/>
        <v>520.03330463581335</v>
      </c>
      <c r="AN29" s="59">
        <f ca="1">AVERAGE(OFFSET($AM$3,0,0,'Données projet'!$E$10+1,1))-AVERAGE(OFFSET($H$3,0,0,'Données projet'!$E$10+1,1))</f>
        <v>240.30073883588199</v>
      </c>
      <c r="AO29" s="59">
        <f t="shared" si="36"/>
        <v>263.20351282678843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7.7495300705675092</v>
      </c>
      <c r="AW29" s="21">
        <f>EXP(-LN(2)/2)*AW28+(1-EXP(-LN(2)/2))/(LN(2)/2)*AQ29*AT29*VLOOKUP('Données projet'!$B$10,Paramètres!$A$1:$I$89,3,0)*0.475*44/12</f>
        <v>1.6338112053306908</v>
      </c>
      <c r="AX29" s="21">
        <f t="shared" si="6"/>
        <v>9.3833412758982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24.7</v>
      </c>
      <c r="BD29" s="12">
        <f>IF('Données projet'!$A$88&gt;35,BD28+BC29-BL28,IF(A29&lt;'Données projet'!$A$88,$BA$205^A29,IF(A29='Données projet'!$A$88,'Données projet'!$B$88,BD28+BC29-BL28)))</f>
        <v>273.19999999999993</v>
      </c>
      <c r="BE29" s="13">
        <f>BD29*VLOOKUP('Données projet'!$B$11,Paramètres!$A$1:$I$89,3,0)*VLOOKUP('Données projet'!$B$11,Paramètres!$A$1:$I$89,5,0)</f>
        <v>131.40919999999997</v>
      </c>
      <c r="BF29" s="13">
        <f t="shared" si="37"/>
        <v>34.321779468454721</v>
      </c>
      <c r="BG29" s="20">
        <f t="shared" si="7"/>
        <v>288.64812257422517</v>
      </c>
      <c r="BH29" s="59">
        <f t="shared" si="8"/>
        <v>581.98145590755848</v>
      </c>
      <c r="BI29" s="59">
        <f ca="1">AVERAGE(OFFSET($BH$3,0,0,'Données projet'!$E$11+1,1))-AVERAGE(OFFSET($H$3,0,0,'Données projet'!$E$11+1,1))</f>
        <v>364.67510777943329</v>
      </c>
      <c r="BJ29" s="59">
        <f t="shared" si="38"/>
        <v>352.13878061387169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0.44398349362626366</v>
      </c>
      <c r="BR29" s="21">
        <f>EXP(-LN(2)/2)*BR28+(1-EXP(-LN(2)/2))/(LN(2)/2)*BL29*BO29*VLOOKUP('Données projet'!$B$11,Paramètres!$A$1:$I$89,3,0)*0.475*44/12</f>
        <v>0.10211320033316819</v>
      </c>
      <c r="BS29" s="22">
        <f t="shared" si="9"/>
        <v>0.54609669395943183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200.69999999999993</v>
      </c>
      <c r="BZ29" s="13">
        <f>BY29*VLOOKUP('Données projet'!$B$12,Paramètres!$A$1:$I$89,3,0)*VLOOKUP('Données projet'!$B$12,Paramètres!$A$1:$I$89,5,0)</f>
        <v>93.927599999999956</v>
      </c>
      <c r="CA29" s="13">
        <f t="shared" si="39"/>
        <v>25.510099877901624</v>
      </c>
      <c r="CB29" s="20">
        <f t="shared" si="10"/>
        <v>208.02066062067857</v>
      </c>
      <c r="CC29" s="59">
        <f t="shared" si="11"/>
        <v>501.35399395401191</v>
      </c>
      <c r="CD29" s="59">
        <f ca="1">AVERAGE(OFFSET($CC$3,0,0,'Données projet'!$E$12+1,1))-AVERAGE(OFFSET($H$3,0,0,'Données projet'!$E$12+1,1))</f>
        <v>252.98248842635206</v>
      </c>
      <c r="CE29" s="59">
        <f t="shared" si="40"/>
        <v>207.11938580878308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1.7999330822686364</v>
      </c>
      <c r="CM29" s="21">
        <f>EXP(-LN(2)/2)*CM28+(1-EXP(-LN(2)/2))/(LN(2)/2)*CG29*CJ29*VLOOKUP('Données projet'!$B$12,Paramètres!$A$1:$I$89,3,0)*0.475*44/12</f>
        <v>0.4139724337831141</v>
      </c>
      <c r="CN29" s="22">
        <f t="shared" si="12"/>
        <v>2.2139055160517502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22.2</v>
      </c>
      <c r="CT29" s="12">
        <f>IF('Données projet'!$A$140&gt;35,CT28+CS29-DB28,IF(A29&lt;'Données projet'!$A$140,$CQ$205^A29,IF(A29='Données projet'!$A$140,'Données projet'!$B$140,CT28+CS29-DB28)))</f>
        <v>232.19999999999993</v>
      </c>
      <c r="CU29" s="17">
        <f>CT29*VLOOKUP('Données projet'!$B$13,Paramètres!$A$1:$I$89,3,0)*VLOOKUP('Données projet'!$B$13,Paramètres!$A$1:$I$89,5,0)</f>
        <v>129.79979999999998</v>
      </c>
      <c r="CV29" s="13">
        <f t="shared" si="41"/>
        <v>33.950094841766401</v>
      </c>
      <c r="CW29" s="20">
        <f t="shared" si="13"/>
        <v>285.19773351607643</v>
      </c>
      <c r="CX29" s="59">
        <f t="shared" si="14"/>
        <v>578.53106684940974</v>
      </c>
      <c r="CY29" s="59">
        <f ca="1">AVERAGE(OFFSET($CX$3,0,0,'Données projet'!$E$13+1,1))-AVERAGE(OFFSET($H$3,0,0,'Données projet'!$E$13+1,1))</f>
        <v>356.67698551373468</v>
      </c>
      <c r="CZ29" s="59">
        <f t="shared" si="42"/>
        <v>353.21836615408171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10.83559715525719</v>
      </c>
      <c r="DH29" s="21">
        <f>EXP(-LN(2)/2)*DH28+(1-EXP(-LN(2)/2))/(LN(2)/2)*DB29*DE29*VLOOKUP('Données projet'!$B$13,Paramètres!$A$1:$I$89,3,0)*0.475*44/12</f>
        <v>2.4921140513743483</v>
      </c>
      <c r="DI29" s="22">
        <f t="shared" si="15"/>
        <v>13.327711206631538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</v>
      </c>
      <c r="DO29" s="12">
        <f>IF('Données projet'!$A$166&gt;35,DO28+DN29-DW28,IF(A29&lt;'Données projet'!$A$166,$DL$205^A29,IF(A29='Données projet'!$A$166,'Données projet'!$B$166,DO28+DN29-DW28)))</f>
        <v>166</v>
      </c>
      <c r="DP29" s="17">
        <f>DO29*VLOOKUP('Données projet'!$B$14,Paramètres!$A$1:$I$89,3,0)*VLOOKUP('Données projet'!$B$14,Paramètres!$A$1:$I$89,5,0)</f>
        <v>99.268000000000001</v>
      </c>
      <c r="DQ29" s="13">
        <f t="shared" si="43"/>
        <v>26.78753414535981</v>
      </c>
      <c r="DR29" s="20">
        <f t="shared" si="16"/>
        <v>219.54672196983498</v>
      </c>
      <c r="DS29" s="59">
        <f t="shared" si="17"/>
        <v>512.88005530316832</v>
      </c>
      <c r="DT29" s="59">
        <f ca="1">AVERAGE(OFFSET($DS$3,0,0,'Données projet'!$E$14+1,1))-AVERAGE(OFFSET($H$3,0,0,'Données projet'!$E$14+1,1))</f>
        <v>247.30892363953825</v>
      </c>
      <c r="DU29" s="59">
        <f t="shared" si="44"/>
        <v>248.38414731596578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0.45161957336922143</v>
      </c>
      <c r="EC29" s="21">
        <f>EXP(-LN(2)/2)*EC28+(1-EXP(-LN(2)/2))/(LN(2)/2)*DW29*DZ29*VLOOKUP('Données projet'!$B$14,Paramètres!$A$1:$I$89,3,0)*0.475*44/12</f>
        <v>0.12695154636015504</v>
      </c>
      <c r="ED29" s="22">
        <f t="shared" si="18"/>
        <v>0.57857111972937647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13</v>
      </c>
      <c r="EJ29" s="12">
        <f>IF('Données projet'!$A$192&gt;35,EJ28+EI29-ER28,IF(A29&lt;'Données projet'!$A$192,$EG$205^A29,IF(A29='Données projet'!$A$192,'Données projet'!$B$192,EJ28+EI29-ER28)))</f>
        <v>166</v>
      </c>
      <c r="EK29" s="17">
        <f>EJ29*VLOOKUP('Données projet'!$B$15,Paramètres!$A$1:$I$89,3,0)*VLOOKUP('Données projet'!$B$15,Paramètres!$A$1:$I$89,5,0)</f>
        <v>99.268000000000001</v>
      </c>
      <c r="EL29" s="13">
        <f t="shared" si="45"/>
        <v>26.78753414535981</v>
      </c>
      <c r="EM29" s="20">
        <f t="shared" si="19"/>
        <v>219.54672196983498</v>
      </c>
      <c r="EN29" s="59">
        <f t="shared" si="20"/>
        <v>512.88005530316832</v>
      </c>
      <c r="EO29" s="59">
        <f ca="1">AVERAGE(OFFSET($EN$3,0,0,'Données projet'!$E$15+1,1))-AVERAGE(OFFSET($H$3,0,0,'Données projet'!$E$15+1,1))</f>
        <v>247.30892363953825</v>
      </c>
      <c r="EP29" s="59">
        <f t="shared" si="46"/>
        <v>248.38414731596578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0.45161957336922143</v>
      </c>
      <c r="EX29" s="21">
        <f>EXP(-LN(2)/2)*EX28+(1-EXP(-LN(2)/2))/(LN(2)/2)*ER29*EU29*VLOOKUP('Données projet'!$B$15,Paramètres!$A$1:$I$89,3,0)*0.475*44/12</f>
        <v>0.12695154636015504</v>
      </c>
      <c r="EY29" s="22">
        <f t="shared" si="21"/>
        <v>0.57857111972937647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22.2</v>
      </c>
      <c r="FE29" s="12">
        <f>IF('Données projet'!$A$218&gt;35,FE28+FD29-FM28,IF(A29&lt;'Données projet'!$A$218,$FB$205^A29,IF(A29='Données projet'!$A$218,'Données projet'!$B$218,FE28+FD29-FM28)))</f>
        <v>229.19999999999996</v>
      </c>
      <c r="FF29" s="17">
        <f>FE29*VLOOKUP('Données projet'!$B$16,Paramètres!$A$1:$I$89,3,0)*VLOOKUP('Données projet'!$B$16,Paramètres!$A$1:$I$89,5,0)</f>
        <v>110.24519999999998</v>
      </c>
      <c r="FG29" s="13">
        <f t="shared" si="47"/>
        <v>29.388748116443562</v>
      </c>
      <c r="FH29" s="20">
        <f t="shared" si="22"/>
        <v>243.19579296947248</v>
      </c>
      <c r="FI29" s="59">
        <f t="shared" si="23"/>
        <v>536.52912630280582</v>
      </c>
      <c r="FJ29" s="59">
        <f ca="1">AVERAGE(OFFSET($FI$3,0,0,'Données projet'!$E$16+1,1))-AVERAGE(OFFSET($H$3,0,0,'Données projet'!$E$16+1,1))</f>
        <v>322.54393676667081</v>
      </c>
      <c r="FK29" s="59">
        <f t="shared" si="48"/>
        <v>296.73904998640018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642.02983023269496</v>
      </c>
      <c r="S30" s="59">
        <f ca="1">AVERAGE(OFFSET($R$3,0,0,'Données projet'!$E$9+1,1))-AVERAGE(OFFSET($H$3,0,0,'Données projet'!$E$9+1,1))</f>
        <v>401.06118089678654</v>
      </c>
      <c r="T30" s="59">
        <f t="shared" si="34"/>
        <v>399.58193819355591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13.9</v>
      </c>
      <c r="AI30" s="13">
        <f>IF('Données projet'!$A$62&gt;35,AI29+AH30-AQ29,IF(A30&lt;'Données projet'!$A$62,$AF$205^A30,IF(A30='Données projet'!$A$62,'Données projet'!$B$62,AI29+AH30-AQ29)))</f>
        <v>178.30000000000004</v>
      </c>
      <c r="AJ30" s="13">
        <f>AI30*VLOOKUP('Données projet'!$B$10,Paramètres!$A$1:$I$89,3,0)*VLOOKUP('Données projet'!$B$10,Paramètres!$A$1:$I$89,5,0)</f>
        <v>111.25920000000002</v>
      </c>
      <c r="AK30" s="13">
        <f t="shared" si="35"/>
        <v>29.627465095165842</v>
      </c>
      <c r="AL30" s="20">
        <f t="shared" si="4"/>
        <v>245.37760837408052</v>
      </c>
      <c r="AM30" s="59">
        <f t="shared" si="5"/>
        <v>538.71094170741389</v>
      </c>
      <c r="AN30" s="59">
        <f ca="1">AVERAGE(OFFSET($AM$3,0,0,'Données projet'!$E$10+1,1))-AVERAGE(OFFSET($H$3,0,0,'Données projet'!$E$10+1,1))</f>
        <v>240.30073883588199</v>
      </c>
      <c r="AO30" s="59">
        <f t="shared" si="36"/>
        <v>263.20351282678843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7.5376187632577665</v>
      </c>
      <c r="AW30" s="21">
        <f>EXP(-LN(2)/2)*AW29+(1-EXP(-LN(2)/2))/(LN(2)/2)*AQ30*AT30*VLOOKUP('Données projet'!$B$10,Paramètres!$A$1:$I$89,3,0)*0.475*44/12</f>
        <v>1.1552789824678984</v>
      </c>
      <c r="AX30" s="21">
        <f t="shared" si="6"/>
        <v>8.6928977457256646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24.7</v>
      </c>
      <c r="BD30" s="12">
        <f>IF('Données projet'!$A$88&gt;35,BD29+BC30-BL29,IF(A30&lt;'Données projet'!$A$88,$BA$205^A30,IF(A30='Données projet'!$A$88,'Données projet'!$B$88,BD29+BC30-BL29)))</f>
        <v>297.89999999999992</v>
      </c>
      <c r="BE30" s="13">
        <f>BD30*VLOOKUP('Données projet'!$B$11,Paramètres!$A$1:$I$89,3,0)*VLOOKUP('Données projet'!$B$11,Paramètres!$A$1:$I$89,5,0)</f>
        <v>143.28989999999996</v>
      </c>
      <c r="BF30" s="13">
        <f t="shared" si="37"/>
        <v>37.049653527161425</v>
      </c>
      <c r="BG30" s="20">
        <f t="shared" si="7"/>
        <v>314.09138905980609</v>
      </c>
      <c r="BH30" s="59">
        <f t="shared" si="8"/>
        <v>607.4247223931394</v>
      </c>
      <c r="BI30" s="59">
        <f ca="1">AVERAGE(OFFSET($BH$3,0,0,'Données projet'!$E$11+1,1))-AVERAGE(OFFSET($H$3,0,0,'Données projet'!$E$11+1,1))</f>
        <v>364.67510777943329</v>
      </c>
      <c r="BJ30" s="59">
        <f t="shared" si="38"/>
        <v>352.13878061387169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0.43184274164497627</v>
      </c>
      <c r="BR30" s="21">
        <f>EXP(-LN(2)/2)*BR29+(1-EXP(-LN(2)/2))/(LN(2)/2)*BL30*BO30*VLOOKUP('Données projet'!$B$11,Paramètres!$A$1:$I$89,3,0)*0.475*44/12</f>
        <v>7.220493640424365E-2</v>
      </c>
      <c r="BS30" s="22">
        <f t="shared" si="9"/>
        <v>0.5040476780492199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209.89999999999992</v>
      </c>
      <c r="BZ30" s="13">
        <f>BY30*VLOOKUP('Données projet'!$B$12,Paramètres!$A$1:$I$89,3,0)*VLOOKUP('Données projet'!$B$12,Paramètres!$A$1:$I$89,5,0)</f>
        <v>98.233199999999954</v>
      </c>
      <c r="CA30" s="13">
        <f t="shared" si="39"/>
        <v>26.540646121089583</v>
      </c>
      <c r="CB30" s="20">
        <f t="shared" si="10"/>
        <v>217.3144486608976</v>
      </c>
      <c r="CC30" s="59">
        <f t="shared" si="11"/>
        <v>510.64778199423091</v>
      </c>
      <c r="CD30" s="59">
        <f ca="1">AVERAGE(OFFSET($CC$3,0,0,'Données projet'!$E$12+1,1))-AVERAGE(OFFSET($H$3,0,0,'Données projet'!$E$12+1,1))</f>
        <v>252.98248842635206</v>
      </c>
      <c r="CE30" s="59">
        <f t="shared" si="40"/>
        <v>207.11938580878308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1.7507138174796335</v>
      </c>
      <c r="CM30" s="21">
        <f>EXP(-LN(2)/2)*CM29+(1-EXP(-LN(2)/2))/(LN(2)/2)*CG30*CJ30*VLOOKUP('Données projet'!$B$12,Paramètres!$A$1:$I$89,3,0)*0.475*44/12</f>
        <v>0.292722715152339</v>
      </c>
      <c r="CN30" s="22">
        <f t="shared" si="12"/>
        <v>2.0434365326319726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22.2</v>
      </c>
      <c r="CT30" s="12">
        <f>IF('Données projet'!$A$140&gt;35,CT29+CS30-DB29,IF(A30&lt;'Données projet'!$A$140,$CQ$205^A30,IF(A30='Données projet'!$A$140,'Données projet'!$B$140,CT29+CS30-DB29)))</f>
        <v>254.39999999999992</v>
      </c>
      <c r="CU30" s="17">
        <f>CT30*VLOOKUP('Données projet'!$B$13,Paramètres!$A$1:$I$89,3,0)*VLOOKUP('Données projet'!$B$13,Paramètres!$A$1:$I$89,5,0)</f>
        <v>142.20959999999997</v>
      </c>
      <c r="CV30" s="13">
        <f t="shared" si="41"/>
        <v>36.802731569585617</v>
      </c>
      <c r="CW30" s="20">
        <f t="shared" si="13"/>
        <v>311.77981081702814</v>
      </c>
      <c r="CX30" s="59">
        <f t="shared" si="14"/>
        <v>605.11314415036145</v>
      </c>
      <c r="CY30" s="59">
        <f ca="1">AVERAGE(OFFSET($CX$3,0,0,'Données projet'!$E$13+1,1))-AVERAGE(OFFSET($H$3,0,0,'Données projet'!$E$13+1,1))</f>
        <v>356.67698551373468</v>
      </c>
      <c r="CZ30" s="59">
        <f t="shared" si="42"/>
        <v>353.21836615408171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10.539297181227393</v>
      </c>
      <c r="DH30" s="21">
        <f>EXP(-LN(2)/2)*DH29+(1-EXP(-LN(2)/2))/(LN(2)/2)*DB30*DE30*VLOOKUP('Données projet'!$B$13,Paramètres!$A$1:$I$89,3,0)*0.475*44/12</f>
        <v>1.762190745217082</v>
      </c>
      <c r="DI30" s="22">
        <f t="shared" si="15"/>
        <v>12.301487926444475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</v>
      </c>
      <c r="DO30" s="12">
        <f>IF('Données projet'!$A$166&gt;35,DO29+DN30-DW29,IF(A30&lt;'Données projet'!$A$166,$DL$205^A30,IF(A30='Données projet'!$A$166,'Données projet'!$B$166,DO29+DN30-DW29)))</f>
        <v>179</v>
      </c>
      <c r="DP30" s="17">
        <f>DO30*VLOOKUP('Données projet'!$B$14,Paramètres!$A$1:$I$89,3,0)*VLOOKUP('Données projet'!$B$14,Paramètres!$A$1:$I$89,5,0)</f>
        <v>107.042</v>
      </c>
      <c r="DQ30" s="13">
        <f t="shared" si="43"/>
        <v>28.632954900548082</v>
      </c>
      <c r="DR30" s="20">
        <f t="shared" si="16"/>
        <v>236.30054645178791</v>
      </c>
      <c r="DS30" s="59">
        <f t="shared" si="17"/>
        <v>529.63387978512128</v>
      </c>
      <c r="DT30" s="59">
        <f ca="1">AVERAGE(OFFSET($DS$3,0,0,'Données projet'!$E$14+1,1))-AVERAGE(OFFSET($H$3,0,0,'Données projet'!$E$14+1,1))</f>
        <v>247.30892363953825</v>
      </c>
      <c r="DU30" s="59">
        <f t="shared" si="44"/>
        <v>248.38414731596578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0.43927001238579888</v>
      </c>
      <c r="EC30" s="21">
        <f>EXP(-LN(2)/2)*EC29+(1-EXP(-LN(2)/2))/(LN(2)/2)*DW30*DZ30*VLOOKUP('Données projet'!$B$14,Paramètres!$A$1:$I$89,3,0)*0.475*44/12</f>
        <v>8.9768299313383995E-2</v>
      </c>
      <c r="ED30" s="22">
        <f t="shared" si="18"/>
        <v>0.52903831169918292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13</v>
      </c>
      <c r="EJ30" s="12">
        <f>IF('Données projet'!$A$192&gt;35,EJ29+EI30-ER29,IF(A30&lt;'Données projet'!$A$192,$EG$205^A30,IF(A30='Données projet'!$A$192,'Données projet'!$B$192,EJ29+EI30-ER29)))</f>
        <v>179</v>
      </c>
      <c r="EK30" s="17">
        <f>EJ30*VLOOKUP('Données projet'!$B$15,Paramètres!$A$1:$I$89,3,0)*VLOOKUP('Données projet'!$B$15,Paramètres!$A$1:$I$89,5,0)</f>
        <v>107.042</v>
      </c>
      <c r="EL30" s="13">
        <f t="shared" si="45"/>
        <v>28.632954900548082</v>
      </c>
      <c r="EM30" s="20">
        <f t="shared" si="19"/>
        <v>236.30054645178791</v>
      </c>
      <c r="EN30" s="59">
        <f t="shared" si="20"/>
        <v>529.63387978512128</v>
      </c>
      <c r="EO30" s="59">
        <f ca="1">AVERAGE(OFFSET($EN$3,0,0,'Données projet'!$E$15+1,1))-AVERAGE(OFFSET($H$3,0,0,'Données projet'!$E$15+1,1))</f>
        <v>247.30892363953825</v>
      </c>
      <c r="EP30" s="59">
        <f t="shared" si="46"/>
        <v>248.38414731596578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0.43927001238579888</v>
      </c>
      <c r="EX30" s="21">
        <f>EXP(-LN(2)/2)*EX29+(1-EXP(-LN(2)/2))/(LN(2)/2)*ER30*EU30*VLOOKUP('Données projet'!$B$15,Paramètres!$A$1:$I$89,3,0)*0.475*44/12</f>
        <v>8.9768299313383995E-2</v>
      </c>
      <c r="EY30" s="22">
        <f t="shared" si="21"/>
        <v>0.52903831169918292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22.2</v>
      </c>
      <c r="FE30" s="12">
        <f>IF('Données projet'!$A$218&gt;35,FE29+FD30-FM29,IF(A30&lt;'Données projet'!$A$218,$FB$205^A30,IF(A30='Données projet'!$A$218,'Données projet'!$B$218,FE29+FD30-FM29)))</f>
        <v>251.39999999999995</v>
      </c>
      <c r="FF30" s="17">
        <f>FE30*VLOOKUP('Données projet'!$B$16,Paramètres!$A$1:$I$89,3,0)*VLOOKUP('Données projet'!$B$16,Paramètres!$A$1:$I$89,5,0)</f>
        <v>120.92339999999999</v>
      </c>
      <c r="FG30" s="13">
        <f t="shared" si="47"/>
        <v>31.890271002959537</v>
      </c>
      <c r="FH30" s="20">
        <f t="shared" si="22"/>
        <v>266.15047699682117</v>
      </c>
      <c r="FI30" s="59">
        <f t="shared" si="23"/>
        <v>559.48381033015448</v>
      </c>
      <c r="FJ30" s="59">
        <f ca="1">AVERAGE(OFFSET($FI$3,0,0,'Données projet'!$E$16+1,1))-AVERAGE(OFFSET($H$3,0,0,'Données projet'!$E$16+1,1))</f>
        <v>322.54393676667081</v>
      </c>
      <c r="FK30" s="59">
        <f t="shared" si="48"/>
        <v>296.73904998640018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671.71535054895719</v>
      </c>
      <c r="S31" s="59">
        <f ca="1">AVERAGE(OFFSET($R$3,0,0,'Données projet'!$E$9+1,1))-AVERAGE(OFFSET($H$3,0,0,'Données projet'!$E$9+1,1))</f>
        <v>401.06118089678654</v>
      </c>
      <c r="T31" s="59">
        <f t="shared" si="34"/>
        <v>399.58193819355591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13.9</v>
      </c>
      <c r="AI31" s="13">
        <f>IF('Données projet'!$A$62&gt;35,AI30+AH31-AQ30,IF(A31&lt;'Données projet'!$A$62,$AF$205^A31,IF(A31='Données projet'!$A$62,'Données projet'!$B$62,AI30+AH31-AQ30)))</f>
        <v>192.20000000000005</v>
      </c>
      <c r="AJ31" s="13">
        <f>AI31*VLOOKUP('Données projet'!$B$10,Paramètres!$A$1:$I$89,3,0)*VLOOKUP('Données projet'!$B$10,Paramètres!$A$1:$I$89,5,0)</f>
        <v>119.93280000000003</v>
      </c>
      <c r="AK31" s="13">
        <f t="shared" si="35"/>
        <v>31.659325486741768</v>
      </c>
      <c r="AL31" s="20">
        <f t="shared" si="4"/>
        <v>264.0229518894086</v>
      </c>
      <c r="AM31" s="59">
        <f t="shared" si="5"/>
        <v>557.35628522274192</v>
      </c>
      <c r="AN31" s="59">
        <f ca="1">AVERAGE(OFFSET($AM$3,0,0,'Données projet'!$E$10+1,1))-AVERAGE(OFFSET($H$3,0,0,'Données projet'!$E$10+1,1))</f>
        <v>240.30073883588199</v>
      </c>
      <c r="AO31" s="59">
        <f t="shared" si="36"/>
        <v>263.20351282678843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7.3315021817903396</v>
      </c>
      <c r="AW31" s="21">
        <f>EXP(-LN(2)/2)*AW30+(1-EXP(-LN(2)/2))/(LN(2)/2)*AQ31*AT31*VLOOKUP('Données projet'!$B$10,Paramètres!$A$1:$I$89,3,0)*0.475*44/12</f>
        <v>0.81690560266534551</v>
      </c>
      <c r="AX31" s="21">
        <f t="shared" si="6"/>
        <v>8.148407784455685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24.7</v>
      </c>
      <c r="BD31" s="12">
        <f>IF('Données projet'!$A$88&gt;35,BD30+BC31-BL30,IF(A31&lt;'Données projet'!$A$88,$BA$205^A31,IF(A31='Données projet'!$A$88,'Données projet'!$B$88,BD30+BC31-BL30)))</f>
        <v>322.59999999999991</v>
      </c>
      <c r="BE31" s="13">
        <f>BD31*VLOOKUP('Données projet'!$B$11,Paramètres!$A$1:$I$89,3,0)*VLOOKUP('Données projet'!$B$11,Paramètres!$A$1:$I$89,5,0)</f>
        <v>155.17059999999995</v>
      </c>
      <c r="BF31" s="13">
        <f t="shared" si="37"/>
        <v>39.751295372687288</v>
      </c>
      <c r="BG31" s="20">
        <f t="shared" si="7"/>
        <v>339.48896777409692</v>
      </c>
      <c r="BH31" s="59">
        <f t="shared" si="8"/>
        <v>632.82230110743023</v>
      </c>
      <c r="BI31" s="59">
        <f ca="1">AVERAGE(OFFSET($BH$3,0,0,'Données projet'!$E$11+1,1))-AVERAGE(OFFSET($H$3,0,0,'Données projet'!$E$11+1,1))</f>
        <v>364.67510777943329</v>
      </c>
      <c r="BJ31" s="59">
        <f t="shared" si="38"/>
        <v>352.13878061387169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0.42003397916507162</v>
      </c>
      <c r="BR31" s="21">
        <f>EXP(-LN(2)/2)*BR30+(1-EXP(-LN(2)/2))/(LN(2)/2)*BL31*BO31*VLOOKUP('Données projet'!$B$11,Paramètres!$A$1:$I$89,3,0)*0.475*44/12</f>
        <v>5.1056600166584094E-2</v>
      </c>
      <c r="BS31" s="22">
        <f t="shared" si="9"/>
        <v>0.47109057933165571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219.09999999999991</v>
      </c>
      <c r="BZ31" s="13">
        <f>BY31*VLOOKUP('Données projet'!$B$12,Paramètres!$A$1:$I$89,3,0)*VLOOKUP('Données projet'!$B$12,Paramètres!$A$1:$I$89,5,0)</f>
        <v>102.53879999999995</v>
      </c>
      <c r="CA31" s="13">
        <f t="shared" si="39"/>
        <v>27.565946279127878</v>
      </c>
      <c r="CB31" s="20">
        <f t="shared" si="10"/>
        <v>226.59909976948094</v>
      </c>
      <c r="CC31" s="59">
        <f t="shared" si="11"/>
        <v>519.93243310281423</v>
      </c>
      <c r="CD31" s="59">
        <f ca="1">AVERAGE(OFFSET($CC$3,0,0,'Données projet'!$E$12+1,1))-AVERAGE(OFFSET($H$3,0,0,'Données projet'!$E$12+1,1))</f>
        <v>252.98248842635206</v>
      </c>
      <c r="CE31" s="59">
        <f t="shared" si="40"/>
        <v>207.11938580878308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1.7028404560746147</v>
      </c>
      <c r="CM31" s="21">
        <f>EXP(-LN(2)/2)*CM30+(1-EXP(-LN(2)/2))/(LN(2)/2)*CG31*CJ31*VLOOKUP('Données projet'!$B$12,Paramètres!$A$1:$I$89,3,0)*0.475*44/12</f>
        <v>0.20698621689155705</v>
      </c>
      <c r="CN31" s="22">
        <f t="shared" si="12"/>
        <v>1.9098266729661717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22.2</v>
      </c>
      <c r="CT31" s="12">
        <f>IF('Données projet'!$A$140&gt;35,CT30+CS31-DB30,IF(A31&lt;'Données projet'!$A$140,$CQ$205^A31,IF(A31='Données projet'!$A$140,'Données projet'!$B$140,CT30+CS31-DB30)))</f>
        <v>276.59999999999991</v>
      </c>
      <c r="CU31" s="17">
        <f>CT31*VLOOKUP('Données projet'!$B$13,Paramètres!$A$1:$I$89,3,0)*VLOOKUP('Données projet'!$B$13,Paramètres!$A$1:$I$89,5,0)</f>
        <v>154.61939999999996</v>
      </c>
      <c r="CV31" s="13">
        <f t="shared" si="41"/>
        <v>39.626500524372794</v>
      </c>
      <c r="CW31" s="20">
        <f t="shared" si="13"/>
        <v>338.31161007994922</v>
      </c>
      <c r="CX31" s="59">
        <f t="shared" si="14"/>
        <v>631.64494341328259</v>
      </c>
      <c r="CY31" s="59">
        <f ca="1">AVERAGE(OFFSET($CX$3,0,0,'Données projet'!$E$13+1,1))-AVERAGE(OFFSET($H$3,0,0,'Données projet'!$E$13+1,1))</f>
        <v>356.67698551373468</v>
      </c>
      <c r="CZ31" s="59">
        <f t="shared" si="42"/>
        <v>353.21836615408171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10.251099545569179</v>
      </c>
      <c r="DH31" s="21">
        <f>EXP(-LN(2)/2)*DH30+(1-EXP(-LN(2)/2))/(LN(2)/2)*DB31*DE31*VLOOKUP('Données projet'!$B$13,Paramètres!$A$1:$I$89,3,0)*0.475*44/12</f>
        <v>1.2460570256871744</v>
      </c>
      <c r="DI31" s="22">
        <f t="shared" si="15"/>
        <v>11.497156571256353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</v>
      </c>
      <c r="DO31" s="12">
        <f>IF('Données projet'!$A$166&gt;35,DO30+DN31-DW30,IF(A31&lt;'Données projet'!$A$166,$DL$205^A31,IF(A31='Données projet'!$A$166,'Données projet'!$B$166,DO30+DN31-DW30)))</f>
        <v>192</v>
      </c>
      <c r="DP31" s="17">
        <f>DO31*VLOOKUP('Données projet'!$B$14,Paramètres!$A$1:$I$89,3,0)*VLOOKUP('Données projet'!$B$14,Paramètres!$A$1:$I$89,5,0)</f>
        <v>114.81600000000002</v>
      </c>
      <c r="DQ31" s="13">
        <f t="shared" si="43"/>
        <v>30.462826482209831</v>
      </c>
      <c r="DR31" s="20">
        <f t="shared" si="16"/>
        <v>253.02728945651543</v>
      </c>
      <c r="DS31" s="59">
        <f t="shared" si="17"/>
        <v>546.36062278984878</v>
      </c>
      <c r="DT31" s="59">
        <f ca="1">AVERAGE(OFFSET($DS$3,0,0,'Données projet'!$E$14+1,1))-AVERAGE(OFFSET($H$3,0,0,'Données projet'!$E$14+1,1))</f>
        <v>247.30892363953825</v>
      </c>
      <c r="DU31" s="59">
        <f t="shared" si="44"/>
        <v>248.38414731596578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0.42725815079690321</v>
      </c>
      <c r="EC31" s="21">
        <f>EXP(-LN(2)/2)*EC30+(1-EXP(-LN(2)/2))/(LN(2)/2)*DW31*DZ31*VLOOKUP('Données projet'!$B$14,Paramètres!$A$1:$I$89,3,0)*0.475*44/12</f>
        <v>6.3475773180077522E-2</v>
      </c>
      <c r="ED31" s="22">
        <f t="shared" si="18"/>
        <v>0.49073392397698073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13</v>
      </c>
      <c r="EJ31" s="12">
        <f>IF('Données projet'!$A$192&gt;35,EJ30+EI31-ER30,IF(A31&lt;'Données projet'!$A$192,$EG$205^A31,IF(A31='Données projet'!$A$192,'Données projet'!$B$192,EJ30+EI31-ER30)))</f>
        <v>192</v>
      </c>
      <c r="EK31" s="17">
        <f>EJ31*VLOOKUP('Données projet'!$B$15,Paramètres!$A$1:$I$89,3,0)*VLOOKUP('Données projet'!$B$15,Paramètres!$A$1:$I$89,5,0)</f>
        <v>114.81600000000002</v>
      </c>
      <c r="EL31" s="13">
        <f t="shared" si="45"/>
        <v>30.462826482209831</v>
      </c>
      <c r="EM31" s="20">
        <f t="shared" si="19"/>
        <v>253.02728945651543</v>
      </c>
      <c r="EN31" s="59">
        <f t="shared" si="20"/>
        <v>546.36062278984878</v>
      </c>
      <c r="EO31" s="59">
        <f ca="1">AVERAGE(OFFSET($EN$3,0,0,'Données projet'!$E$15+1,1))-AVERAGE(OFFSET($H$3,0,0,'Données projet'!$E$15+1,1))</f>
        <v>247.30892363953825</v>
      </c>
      <c r="EP31" s="59">
        <f t="shared" si="46"/>
        <v>248.38414731596578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0.42725815079690321</v>
      </c>
      <c r="EX31" s="21">
        <f>EXP(-LN(2)/2)*EX30+(1-EXP(-LN(2)/2))/(LN(2)/2)*ER31*EU31*VLOOKUP('Données projet'!$B$15,Paramètres!$A$1:$I$89,3,0)*0.475*44/12</f>
        <v>6.3475773180077522E-2</v>
      </c>
      <c r="EY31" s="22">
        <f t="shared" si="21"/>
        <v>0.49073392397698073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22.2</v>
      </c>
      <c r="FE31" s="12">
        <f>IF('Données projet'!$A$218&gt;35,FE30+FD31-FM30,IF(A31&lt;'Données projet'!$A$218,$FB$205^A31,IF(A31='Données projet'!$A$218,'Données projet'!$B$218,FE30+FD31-FM30)))</f>
        <v>273.59999999999997</v>
      </c>
      <c r="FF31" s="17">
        <f>FE31*VLOOKUP('Données projet'!$B$16,Paramètres!$A$1:$I$89,3,0)*VLOOKUP('Données projet'!$B$16,Paramètres!$A$1:$I$89,5,0)</f>
        <v>131.60159999999999</v>
      </c>
      <c r="FG31" s="13">
        <f t="shared" si="47"/>
        <v>34.366177918726088</v>
      </c>
      <c r="FH31" s="20">
        <f t="shared" si="22"/>
        <v>289.06054654178126</v>
      </c>
      <c r="FI31" s="59">
        <f t="shared" si="23"/>
        <v>582.39387987511464</v>
      </c>
      <c r="FJ31" s="59">
        <f ca="1">AVERAGE(OFFSET($FI$3,0,0,'Données projet'!$E$16+1,1))-AVERAGE(OFFSET($H$3,0,0,'Données projet'!$E$16+1,1))</f>
        <v>322.54393676667081</v>
      </c>
      <c r="FK31" s="59">
        <f t="shared" si="48"/>
        <v>296.73904998640018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701.35019270803627</v>
      </c>
      <c r="S32" s="59">
        <f ca="1">AVERAGE(OFFSET($R$3,0,0,'Données projet'!$E$9+1,1))-AVERAGE(OFFSET($H$3,0,0,'Données projet'!$E$9+1,1))</f>
        <v>401.06118089678654</v>
      </c>
      <c r="T32" s="59">
        <f t="shared" si="34"/>
        <v>399.58193819355591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13.9</v>
      </c>
      <c r="AI32" s="13">
        <f>IF('Données projet'!$A$62&gt;35,AI31+AH32-AQ31,IF(A32&lt;'Données projet'!$A$62,$AF$205^A32,IF(A32='Données projet'!$A$62,'Données projet'!$B$62,AI31+AH32-AQ31)))</f>
        <v>206.10000000000005</v>
      </c>
      <c r="AJ32" s="13">
        <f>AI32*VLOOKUP('Données projet'!$B$10,Paramètres!$A$1:$I$89,3,0)*VLOOKUP('Données projet'!$B$10,Paramètres!$A$1:$I$89,5,0)</f>
        <v>128.60640000000004</v>
      </c>
      <c r="AK32" s="13">
        <f t="shared" si="35"/>
        <v>33.67413757380087</v>
      </c>
      <c r="AL32" s="20">
        <f t="shared" si="4"/>
        <v>282.63860294103654</v>
      </c>
      <c r="AM32" s="59">
        <f t="shared" si="5"/>
        <v>575.97193627436991</v>
      </c>
      <c r="AN32" s="59">
        <f ca="1">AVERAGE(OFFSET($AM$3,0,0,'Données projet'!$E$10+1,1))-AVERAGE(OFFSET($H$3,0,0,'Données projet'!$E$10+1,1))</f>
        <v>240.30073883588199</v>
      </c>
      <c r="AO32" s="59">
        <f t="shared" si="36"/>
        <v>263.20351282678843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7.131021869082339</v>
      </c>
      <c r="AW32" s="21">
        <f>EXP(-LN(2)/2)*AW31+(1-EXP(-LN(2)/2))/(LN(2)/2)*AQ32*AT32*VLOOKUP('Données projet'!$B$10,Paramètres!$A$1:$I$89,3,0)*0.475*44/12</f>
        <v>0.5776394912339492</v>
      </c>
      <c r="AX32" s="21">
        <f t="shared" si="6"/>
        <v>7.7086613603162881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24.7</v>
      </c>
      <c r="BD32" s="12">
        <f>IF('Données projet'!$A$88&gt;35,BD31+BC32-BL31,IF(A32&lt;'Données projet'!$A$88,$BA$205^A32,IF(A32='Données projet'!$A$88,'Données projet'!$B$88,BD31+BC32-BL31)))</f>
        <v>347.2999999999999</v>
      </c>
      <c r="BE32" s="13">
        <f>BD32*VLOOKUP('Données projet'!$B$11,Paramètres!$A$1:$I$89,3,0)*VLOOKUP('Données projet'!$B$11,Paramètres!$A$1:$I$89,5,0)</f>
        <v>167.05129999999994</v>
      </c>
      <c r="BF32" s="13">
        <f t="shared" si="37"/>
        <v>42.428941850479553</v>
      </c>
      <c r="BG32" s="20">
        <f t="shared" si="7"/>
        <v>364.84475455625176</v>
      </c>
      <c r="BH32" s="59">
        <f t="shared" si="8"/>
        <v>658.17808788958507</v>
      </c>
      <c r="BI32" s="59">
        <f ca="1">AVERAGE(OFFSET($BH$3,0,0,'Données projet'!$E$11+1,1))-AVERAGE(OFFSET($H$3,0,0,'Données projet'!$E$11+1,1))</f>
        <v>364.67510777943329</v>
      </c>
      <c r="BJ32" s="59">
        <f t="shared" si="38"/>
        <v>352.13878061387169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0.40854812791617579</v>
      </c>
      <c r="BR32" s="21">
        <f>EXP(-LN(2)/2)*BR31+(1-EXP(-LN(2)/2))/(LN(2)/2)*BL32*BO32*VLOOKUP('Données projet'!$B$11,Paramètres!$A$1:$I$89,3,0)*0.475*44/12</f>
        <v>3.6102468202121825E-2</v>
      </c>
      <c r="BS32" s="22">
        <f t="shared" si="9"/>
        <v>0.4446505961182976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228.2999999999999</v>
      </c>
      <c r="BZ32" s="13">
        <f>BY32*VLOOKUP('Données projet'!$B$12,Paramètres!$A$1:$I$89,3,0)*VLOOKUP('Données projet'!$B$12,Paramètres!$A$1:$I$89,5,0)</f>
        <v>106.84439999999995</v>
      </c>
      <c r="CA32" s="13">
        <f t="shared" si="39"/>
        <v>28.586245822975961</v>
      </c>
      <c r="CB32" s="20">
        <f t="shared" si="10"/>
        <v>235.87504147501636</v>
      </c>
      <c r="CC32" s="59">
        <f t="shared" si="11"/>
        <v>529.20837480834962</v>
      </c>
      <c r="CD32" s="59">
        <f ca="1">AVERAGE(OFFSET($CC$3,0,0,'Données projet'!$E$12+1,1))-AVERAGE(OFFSET($H$3,0,0,'Données projet'!$E$12+1,1))</f>
        <v>252.98248842635206</v>
      </c>
      <c r="CE32" s="59">
        <f t="shared" si="40"/>
        <v>207.11938580878308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1.6562761942547666</v>
      </c>
      <c r="CM32" s="21">
        <f>EXP(-LN(2)/2)*CM31+(1-EXP(-LN(2)/2))/(LN(2)/2)*CG32*CJ32*VLOOKUP('Données projet'!$B$12,Paramètres!$A$1:$I$89,3,0)*0.475*44/12</f>
        <v>0.1463613575761695</v>
      </c>
      <c r="CN32" s="22">
        <f t="shared" si="12"/>
        <v>1.8026375518309361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22.2</v>
      </c>
      <c r="CT32" s="12">
        <f>IF('Données projet'!$A$140&gt;35,CT31+CS32-DB31,IF(A32&lt;'Données projet'!$A$140,$CQ$205^A32,IF(A32='Données projet'!$A$140,'Données projet'!$B$140,CT31+CS32-DB31)))</f>
        <v>298.7999999999999</v>
      </c>
      <c r="CU32" s="17">
        <f>CT32*VLOOKUP('Données projet'!$B$13,Paramètres!$A$1:$I$89,3,0)*VLOOKUP('Données projet'!$B$13,Paramètres!$A$1:$I$89,5,0)</f>
        <v>167.02919999999995</v>
      </c>
      <c r="CV32" s="13">
        <f t="shared" si="41"/>
        <v>42.423982056168619</v>
      </c>
      <c r="CW32" s="20">
        <f t="shared" si="13"/>
        <v>364.79762541449355</v>
      </c>
      <c r="CX32" s="59">
        <f t="shared" si="14"/>
        <v>658.13095874782687</v>
      </c>
      <c r="CY32" s="59">
        <f ca="1">AVERAGE(OFFSET($CX$3,0,0,'Données projet'!$E$13+1,1))-AVERAGE(OFFSET($H$3,0,0,'Données projet'!$E$13+1,1))</f>
        <v>356.67698551373468</v>
      </c>
      <c r="CZ32" s="59">
        <f t="shared" si="42"/>
        <v>353.21836615408171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9.9707826894136939</v>
      </c>
      <c r="DH32" s="21">
        <f>EXP(-LN(2)/2)*DH31+(1-EXP(-LN(2)/2))/(LN(2)/2)*DB32*DE32*VLOOKUP('Données projet'!$B$13,Paramètres!$A$1:$I$89,3,0)*0.475*44/12</f>
        <v>0.88109537260854109</v>
      </c>
      <c r="DI32" s="22">
        <f t="shared" si="15"/>
        <v>10.851878062022235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</v>
      </c>
      <c r="DO32" s="12">
        <f>IF('Données projet'!$A$166&gt;35,DO31+DN32-DW31,IF(A32&lt;'Données projet'!$A$166,$DL$205^A32,IF(A32='Données projet'!$A$166,'Données projet'!$B$166,DO31+DN32-DW31)))</f>
        <v>205</v>
      </c>
      <c r="DP32" s="17">
        <f>DO32*VLOOKUP('Données projet'!$B$14,Paramètres!$A$1:$I$89,3,0)*VLOOKUP('Données projet'!$B$14,Paramètres!$A$1:$I$89,5,0)</f>
        <v>122.59</v>
      </c>
      <c r="DQ32" s="13">
        <f t="shared" si="43"/>
        <v>32.278321478706822</v>
      </c>
      <c r="DR32" s="20">
        <f t="shared" si="16"/>
        <v>269.72899324208106</v>
      </c>
      <c r="DS32" s="59">
        <f t="shared" si="17"/>
        <v>563.06232657541432</v>
      </c>
      <c r="DT32" s="59">
        <f ca="1">AVERAGE(OFFSET($DS$3,0,0,'Données projet'!$E$14+1,1))-AVERAGE(OFFSET($H$3,0,0,'Données projet'!$E$14+1,1))</f>
        <v>247.30892363953825</v>
      </c>
      <c r="DU32" s="59">
        <f t="shared" si="44"/>
        <v>248.38414731596578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0.41557475419483225</v>
      </c>
      <c r="EC32" s="21">
        <f>EXP(-LN(2)/2)*EC31+(1-EXP(-LN(2)/2))/(LN(2)/2)*DW32*DZ32*VLOOKUP('Données projet'!$B$14,Paramètres!$A$1:$I$89,3,0)*0.475*44/12</f>
        <v>4.4884149656691998E-2</v>
      </c>
      <c r="ED32" s="22">
        <f t="shared" si="18"/>
        <v>0.46045890385152427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13</v>
      </c>
      <c r="EJ32" s="12">
        <f>IF('Données projet'!$A$192&gt;35,EJ31+EI32-ER31,IF(A32&lt;'Données projet'!$A$192,$EG$205^A32,IF(A32='Données projet'!$A$192,'Données projet'!$B$192,EJ31+EI32-ER31)))</f>
        <v>205</v>
      </c>
      <c r="EK32" s="17">
        <f>EJ32*VLOOKUP('Données projet'!$B$15,Paramètres!$A$1:$I$89,3,0)*VLOOKUP('Données projet'!$B$15,Paramètres!$A$1:$I$89,5,0)</f>
        <v>122.59</v>
      </c>
      <c r="EL32" s="13">
        <f t="shared" si="45"/>
        <v>32.278321478706822</v>
      </c>
      <c r="EM32" s="20">
        <f t="shared" si="19"/>
        <v>269.72899324208106</v>
      </c>
      <c r="EN32" s="59">
        <f t="shared" si="20"/>
        <v>563.06232657541432</v>
      </c>
      <c r="EO32" s="59">
        <f ca="1">AVERAGE(OFFSET($EN$3,0,0,'Données projet'!$E$15+1,1))-AVERAGE(OFFSET($H$3,0,0,'Données projet'!$E$15+1,1))</f>
        <v>247.30892363953825</v>
      </c>
      <c r="EP32" s="59">
        <f t="shared" si="46"/>
        <v>248.38414731596578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0.41557475419483225</v>
      </c>
      <c r="EX32" s="21">
        <f>EXP(-LN(2)/2)*EX31+(1-EXP(-LN(2)/2))/(LN(2)/2)*ER32*EU32*VLOOKUP('Données projet'!$B$15,Paramètres!$A$1:$I$89,3,0)*0.475*44/12</f>
        <v>4.4884149656691998E-2</v>
      </c>
      <c r="EY32" s="22">
        <f t="shared" si="21"/>
        <v>0.46045890385152427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22.2</v>
      </c>
      <c r="FE32" s="12">
        <f>IF('Données projet'!$A$218&gt;35,FE31+FD32-FM31,IF(A32&lt;'Données projet'!$A$218,$FB$205^A32,IF(A32='Données projet'!$A$218,'Données projet'!$B$218,FE31+FD32-FM31)))</f>
        <v>295.79999999999995</v>
      </c>
      <c r="FF32" s="17">
        <f>FE32*VLOOKUP('Données projet'!$B$16,Paramètres!$A$1:$I$89,3,0)*VLOOKUP('Données projet'!$B$16,Paramètres!$A$1:$I$89,5,0)</f>
        <v>142.27979999999999</v>
      </c>
      <c r="FG32" s="13">
        <f t="shared" si="47"/>
        <v>36.818783655794178</v>
      </c>
      <c r="FH32" s="20">
        <f t="shared" si="22"/>
        <v>311.93003320050815</v>
      </c>
      <c r="FI32" s="59">
        <f t="shared" si="23"/>
        <v>605.26336653384146</v>
      </c>
      <c r="FJ32" s="59">
        <f ca="1">AVERAGE(OFFSET($FI$3,0,0,'Données projet'!$E$16+1,1))-AVERAGE(OFFSET($H$3,0,0,'Données projet'!$E$16+1,1))</f>
        <v>322.54393676667081</v>
      </c>
      <c r="FK32" s="59">
        <f t="shared" si="48"/>
        <v>296.73904998640018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401.06118089678654</v>
      </c>
      <c r="T33" s="59">
        <f t="shared" si="34"/>
        <v>399.58193819355591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220</v>
      </c>
      <c r="AG33" s="12">
        <f>VLOOKUP(A33,'Données projet'!$A$61:$I$81,9,0)</f>
        <v>13.9</v>
      </c>
      <c r="AH33" s="12">
        <f t="array" ref="AH33">INDEX(AG:AG,MIN(IF(ISNUMBER(AG33:AG229),ROW(AG33:AG229),"")))</f>
        <v>13.9</v>
      </c>
      <c r="AI33" s="13">
        <f>IF('Données projet'!$A$62&gt;35,AI32+AH33-AQ32,IF(A33&lt;'Données projet'!$A$62,$AF$205^A33,IF(A33='Données projet'!$A$62,'Données projet'!$B$62,AI32+AH33-AQ32)))</f>
        <v>220.00000000000006</v>
      </c>
      <c r="AJ33" s="13">
        <f>AI33*VLOOKUP('Données projet'!$B$10,Paramètres!$A$1:$I$89,3,0)*VLOOKUP('Données projet'!$B$10,Paramètres!$A$1:$I$89,5,0)</f>
        <v>137.28000000000003</v>
      </c>
      <c r="AK33" s="13">
        <f t="shared" si="35"/>
        <v>35.673181961873446</v>
      </c>
      <c r="AL33" s="20">
        <f t="shared" si="4"/>
        <v>301.22679191692964</v>
      </c>
      <c r="AM33" s="59">
        <f t="shared" si="5"/>
        <v>594.5601252502629</v>
      </c>
      <c r="AN33" s="59">
        <f ca="1">AVERAGE(OFFSET($AM$3,0,0,'Données projet'!$E$10+1,1))-AVERAGE(OFFSET($H$3,0,0,'Données projet'!$E$10+1,1))</f>
        <v>240.30073883588199</v>
      </c>
      <c r="AO33" s="59">
        <f t="shared" si="36"/>
        <v>263.20351282678843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6.9533202496318935</v>
      </c>
      <c r="AV33" s="21">
        <f>EXP(-LN(2)/25)*AV32+(1-EXP(-LN(2)/25))/(LN(2)/25)*Calculateur!AQ33*Calculateur!AS33*VLOOKUP('Données projet'!$B$10,Paramètres!$A$1:$I$89,3,0)*0.475*44/12</f>
        <v>20.787908457840874</v>
      </c>
      <c r="AW33" s="21">
        <f>EXP(-LN(2)/2)*AW32+(1-EXP(-LN(2)/2))/(LN(2)/2)*AQ33*AT33*VLOOKUP('Données projet'!$B$10,Paramètres!$A$1:$I$89,3,0)*0.475*44/12</f>
        <v>20.190815503715083</v>
      </c>
      <c r="AX33" s="21">
        <f t="shared" si="6"/>
        <v>47.932044211187851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372</v>
      </c>
      <c r="BB33" s="12">
        <f>VLOOKUP(A33,'Données projet'!$A$87:$I$107,9,0)</f>
        <v>24.7</v>
      </c>
      <c r="BC33" s="12">
        <f t="array" ref="BC33">INDEX(BB:BB,MIN(IF(ISNUMBER(BB33:BB229),ROW(BB33:BB229),"")))</f>
        <v>24.7</v>
      </c>
      <c r="BD33" s="12">
        <f>IF('Données projet'!$A$88&gt;35,BD32+BC33-BL32,IF(A33&lt;'Données projet'!$A$88,$BA$205^A33,IF(A33='Données projet'!$A$88,'Données projet'!$B$88,BD32+BC33-BL32)))</f>
        <v>371.99999999999989</v>
      </c>
      <c r="BE33" s="13">
        <f>BD33*VLOOKUP('Données projet'!$B$11,Paramètres!$A$1:$I$89,3,0)*VLOOKUP('Données projet'!$B$11,Paramètres!$A$1:$I$89,5,0)</f>
        <v>178.93199999999996</v>
      </c>
      <c r="BF33" s="13">
        <f t="shared" si="37"/>
        <v>45.084493609959594</v>
      </c>
      <c r="BG33" s="20">
        <f t="shared" si="7"/>
        <v>390.16205970401285</v>
      </c>
      <c r="BH33" s="59">
        <f t="shared" si="8"/>
        <v>683.49539303734616</v>
      </c>
      <c r="BI33" s="59">
        <f ca="1">AVERAGE(OFFSET($BH$3,0,0,'Données projet'!$E$11+1,1))-AVERAGE(OFFSET($H$3,0,0,'Données projet'!$E$11+1,1))</f>
        <v>364.67510777943329</v>
      </c>
      <c r="BJ33" s="59">
        <f t="shared" si="38"/>
        <v>352.13878061387169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126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8.8437541925005672</v>
      </c>
      <c r="BQ33" s="21">
        <f>EXP(-LN(2)/25)*BQ32+(1-EXP(-LN(2)/25))/(LN(2)/25)*Calculateur!BL33*Calculateur!BN33*VLOOKUP('Données projet'!$B$11,Paramètres!$A$1:$I$89,3,0)*0.475*44/12</f>
        <v>18.015242282894018</v>
      </c>
      <c r="BR33" s="21">
        <f>EXP(-LN(2)/2)*BR32+(1-EXP(-LN(2)/2))/(LN(2)/2)*BL33*BO33*VLOOKUP('Données projet'!$B$11,Paramètres!$A$1:$I$89,3,0)*0.475*44/12</f>
        <v>27.473556549638893</v>
      </c>
      <c r="BS33" s="22">
        <f t="shared" si="9"/>
        <v>54.332553025033477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237.5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237.49999999999989</v>
      </c>
      <c r="BZ33" s="13">
        <f>BY33*VLOOKUP('Données projet'!$B$12,Paramètres!$A$1:$I$89,3,0)*VLOOKUP('Données projet'!$B$12,Paramètres!$A$1:$I$89,5,0)</f>
        <v>111.14999999999995</v>
      </c>
      <c r="CA33" s="13">
        <f t="shared" si="39"/>
        <v>29.601769319956546</v>
      </c>
      <c r="CB33" s="20">
        <f t="shared" si="10"/>
        <v>245.14266489892427</v>
      </c>
      <c r="CC33" s="59">
        <f t="shared" si="11"/>
        <v>538.47599823225755</v>
      </c>
      <c r="CD33" s="59">
        <f ca="1">AVERAGE(OFFSET($CC$3,0,0,'Données projet'!$E$12+1,1))-AVERAGE(OFFSET($H$3,0,0,'Données projet'!$E$12+1,1))</f>
        <v>252.98248842635206</v>
      </c>
      <c r="CE33" s="59">
        <f t="shared" si="40"/>
        <v>207.11938580878308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45.9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3.1345816018206638</v>
      </c>
      <c r="CL33" s="21">
        <f>EXP(-LN(2)/25)*CL32+(1-EXP(-LN(2)/25))/(LN(2)/25)*Calculateur!CG33*Calculateur!CI33*VLOOKUP('Données projet'!$B$12,Paramètres!$A$1:$I$89,3,0)*0.475*44/12</f>
        <v>7.8554643539932272</v>
      </c>
      <c r="CM33" s="21">
        <f>EXP(-LN(2)/2)*CM32+(1-EXP(-LN(2)/2))/(LN(2)/2)*CG33*CJ33*VLOOKUP('Données projet'!$B$12,Paramètres!$A$1:$I$89,3,0)*0.475*44/12</f>
        <v>9.8321764802959866</v>
      </c>
      <c r="CN33" s="22">
        <f t="shared" si="12"/>
        <v>20.822222436109875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321</v>
      </c>
      <c r="CR33" s="12">
        <f>VLOOKUP(A33,'Données projet'!$A$139:$I$159,9,0)</f>
        <v>22.2</v>
      </c>
      <c r="CS33" s="12">
        <f t="array" ref="CS33">INDEX(CR:CR,MIN(IF(ISNUMBER(CR33:CR229),ROW(CR33:CR229),"")))</f>
        <v>22.2</v>
      </c>
      <c r="CT33" s="12">
        <f>IF('Données projet'!$A$140&gt;35,CT32+CS33-DB32,IF(A33&lt;'Données projet'!$A$140,$CQ$205^A33,IF(A33='Données projet'!$A$140,'Données projet'!$B$140,CT32+CS33-DB32)))</f>
        <v>320.99999999999989</v>
      </c>
      <c r="CU33" s="17">
        <f>CT33*VLOOKUP('Données projet'!$B$13,Paramètres!$A$1:$I$89,3,0)*VLOOKUP('Données projet'!$B$13,Paramètres!$A$1:$I$89,5,0)</f>
        <v>179.43899999999994</v>
      </c>
      <c r="CV33" s="13">
        <f t="shared" si="41"/>
        <v>45.19735133639599</v>
      </c>
      <c r="CW33" s="20">
        <f t="shared" si="13"/>
        <v>391.24164524422287</v>
      </c>
      <c r="CX33" s="59">
        <f t="shared" si="14"/>
        <v>684.57497857755618</v>
      </c>
      <c r="CY33" s="59">
        <f ca="1">AVERAGE(OFFSET($CX$3,0,0,'Données projet'!$E$13+1,1))-AVERAGE(OFFSET($H$3,0,0,'Données projet'!$E$13+1,1))</f>
        <v>356.67698551373468</v>
      </c>
      <c r="CZ33" s="59">
        <f t="shared" si="42"/>
        <v>353.21836615408171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112</v>
      </c>
      <c r="DC33" s="16">
        <f>IF(ISNA(VLOOKUP(A33,'Données projet'!$A$139:$I$159,5,0)),0%,VLOOKUP(A33,'Données projet'!$A$139:$I$159,5,0)*VLOOKUP('Données projet'!$B$13,Paramètres!$A$1:$I$89,7,0))</f>
        <v>5.5000000000000007E-2</v>
      </c>
      <c r="DD33" s="16">
        <f>IF(ISNA(VLOOKUP(A33,'Données projet'!$A$139:$I$159,6,0)),0%,VLOOKUP(A33,'Données projet'!$A$139:$I$159,6,0)*VLOOKUP('Données projet'!$B$13,Paramètres!$A$1:$I$89,7,0))</f>
        <v>0.24750000000000003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4.5679451084387308</v>
      </c>
      <c r="DG33" s="21">
        <f>EXP(-LN(2)/25)*DG32+(1-EXP(-LN(2)/25))/(LN(2)/25)*Calculateur!DB33*Calculateur!DD33*VLOOKUP('Données projet'!$B$13,Paramètres!$A$1:$I$89,3,0)*0.475*44/12</f>
        <v>30.172948268535706</v>
      </c>
      <c r="DH33" s="21">
        <f>EXP(-LN(2)/2)*DH32+(1-EXP(-LN(2)/2))/(LN(2)/2)*DB33*DE33*VLOOKUP('Données projet'!$B$13,Paramètres!$A$1:$I$89,3,0)*0.475*44/12</f>
        <v>32.522088370435227</v>
      </c>
      <c r="DI33" s="22">
        <f t="shared" si="15"/>
        <v>67.262981747409668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218</v>
      </c>
      <c r="DM33" s="12">
        <f>VLOOKUP(A33,'Données projet'!$A$165:$I$185,9,0)</f>
        <v>13</v>
      </c>
      <c r="DN33" s="12">
        <f t="array" ref="DN33">INDEX(DM:DM,MIN(IF(ISNUMBER(DM33:DM229),ROW(DM33:DM229),"")))</f>
        <v>13</v>
      </c>
      <c r="DO33" s="12">
        <f>IF('Données projet'!$A$166&gt;35,DO32+DN33-DW32,IF(A33&lt;'Données projet'!$A$166,$DL$205^A33,IF(A33='Données projet'!$A$166,'Données projet'!$B$166,DO32+DN33-DW32)))</f>
        <v>218</v>
      </c>
      <c r="DP33" s="17">
        <f>DO33*VLOOKUP('Données projet'!$B$14,Paramètres!$A$1:$I$89,3,0)*VLOOKUP('Données projet'!$B$14,Paramètres!$A$1:$I$89,5,0)</f>
        <v>130.364</v>
      </c>
      <c r="DQ33" s="13">
        <f t="shared" si="43"/>
        <v>34.080455352788661</v>
      </c>
      <c r="DR33" s="20">
        <f t="shared" si="16"/>
        <v>286.40742640610694</v>
      </c>
      <c r="DS33" s="59">
        <f t="shared" si="17"/>
        <v>579.74075973944025</v>
      </c>
      <c r="DT33" s="59">
        <f ca="1">AVERAGE(OFFSET($DS$3,0,0,'Données projet'!$E$14+1,1))-AVERAGE(OFFSET($H$3,0,0,'Données projet'!$E$14+1,1))</f>
        <v>247.30892363953825</v>
      </c>
      <c r="DU33" s="59">
        <f t="shared" si="44"/>
        <v>248.38414731596578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0.22500000000000001</v>
      </c>
      <c r="DZ33" s="16">
        <f>IF(ISNA(VLOOKUP(A33,'Données projet'!$A$165:$I$185,7,0)),0%,VLOOKUP(A33,'Données projet'!$A$165:$I$185,7,0))</f>
        <v>0.5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12.84926355185025</v>
      </c>
      <c r="EC33" s="21">
        <f>EXP(-LN(2)/2)*EC32+(1-EXP(-LN(2)/2))/(LN(2)/2)*DW33*DZ33*VLOOKUP('Données projet'!$B$14,Paramètres!$A$1:$I$89,3,0)*0.475*44/12</f>
        <v>23.729359873818968</v>
      </c>
      <c r="ED33" s="22">
        <f t="shared" si="18"/>
        <v>36.578623425669221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218</v>
      </c>
      <c r="EH33" s="12">
        <f>VLOOKUP(A33,'Données projet'!$A$191:$I$211,9,0)</f>
        <v>13</v>
      </c>
      <c r="EI33" s="12">
        <f t="array" ref="EI33">INDEX(EH:EH,MIN(IF(ISNUMBER(EH33:EH229),ROW(EH33:EH229),"")))</f>
        <v>13</v>
      </c>
      <c r="EJ33" s="12">
        <f>IF('Données projet'!$A$192&gt;35,EJ32+EI33-ER32,IF(A33&lt;'Données projet'!$A$192,$EG$205^A33,IF(A33='Données projet'!$A$192,'Données projet'!$B$192,EJ32+EI33-ER32)))</f>
        <v>218</v>
      </c>
      <c r="EK33" s="17">
        <f>EJ33*VLOOKUP('Données projet'!$B$15,Paramètres!$A$1:$I$89,3,0)*VLOOKUP('Données projet'!$B$15,Paramètres!$A$1:$I$89,5,0)</f>
        <v>130.364</v>
      </c>
      <c r="EL33" s="13">
        <f t="shared" si="45"/>
        <v>34.080455352788661</v>
      </c>
      <c r="EM33" s="20">
        <f t="shared" si="19"/>
        <v>286.40742640610694</v>
      </c>
      <c r="EN33" s="59">
        <f t="shared" si="20"/>
        <v>579.74075973944025</v>
      </c>
      <c r="EO33" s="59">
        <f ca="1">AVERAGE(OFFSET($EN$3,0,0,'Données projet'!$E$15+1,1))-AVERAGE(OFFSET($H$3,0,0,'Données projet'!$E$15+1,1))</f>
        <v>247.30892363953825</v>
      </c>
      <c r="EP33" s="59">
        <f t="shared" si="46"/>
        <v>248.38414731596578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0.22500000000000001</v>
      </c>
      <c r="EU33" s="16">
        <f>IF(ISNA(VLOOKUP(A33,'Données projet'!$A$191:$I$211,7,0)),0%,VLOOKUP(A33,'Données projet'!$A$191:$I$211,7,0))</f>
        <v>0.5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12.84926355185025</v>
      </c>
      <c r="EX33" s="21">
        <f>EXP(-LN(2)/2)*EX32+(1-EXP(-LN(2)/2))/(LN(2)/2)*ER33*EU33*VLOOKUP('Données projet'!$B$15,Paramètres!$A$1:$I$89,3,0)*0.475*44/12</f>
        <v>23.729359873818968</v>
      </c>
      <c r="EY33" s="22">
        <f t="shared" si="21"/>
        <v>36.578623425669221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318</v>
      </c>
      <c r="FC33" s="12">
        <f>VLOOKUP(A33,'Données projet'!$A$217:$I$237,9,0)</f>
        <v>22.2</v>
      </c>
      <c r="FD33" s="12">
        <f t="array" ref="FD33">INDEX(FC:FC,MIN(IF(ISNUMBER(FC33:FC229),ROW(FC33:FC229),"")))</f>
        <v>22.2</v>
      </c>
      <c r="FE33" s="12">
        <f>IF('Données projet'!$A$218&gt;35,FE32+FD33-FM32,IF(A33&lt;'Données projet'!$A$218,$FB$205^A33,IF(A33='Données projet'!$A$218,'Données projet'!$B$218,FE32+FD33-FM32)))</f>
        <v>317.99999999999994</v>
      </c>
      <c r="FF33" s="17">
        <f>FE33*VLOOKUP('Données projet'!$B$16,Paramètres!$A$1:$I$89,3,0)*VLOOKUP('Données projet'!$B$16,Paramètres!$A$1:$I$89,5,0)</f>
        <v>152.95799999999997</v>
      </c>
      <c r="FG33" s="13">
        <f t="shared" si="47"/>
        <v>39.250035833420867</v>
      </c>
      <c r="FH33" s="20">
        <f t="shared" si="22"/>
        <v>334.76232907654128</v>
      </c>
      <c r="FI33" s="59">
        <f t="shared" si="23"/>
        <v>628.09566240987465</v>
      </c>
      <c r="FJ33" s="59">
        <f ca="1">AVERAGE(OFFSET($FI$3,0,0,'Données projet'!$E$16+1,1))-AVERAGE(OFFSET($H$3,0,0,'Données projet'!$E$16+1,1))</f>
        <v>322.54393676667081</v>
      </c>
      <c r="FK33" s="59">
        <f t="shared" si="48"/>
        <v>296.73904998640018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96</v>
      </c>
      <c r="FN33" s="16">
        <f>IF(ISNA(VLOOKUP(A33,'Données projet'!$A$217:$I$237,5,0)),0%,VLOOKUP(A33,'Données projet'!$A$217:$I$237,5,0)*VLOOKUP('Données projet'!$B$16,Paramètres!$A$1:$I$89,7,0))</f>
        <v>0.11000000000000001</v>
      </c>
      <c r="FO33" s="16">
        <f>IF(ISNA(VLOOKUP(A33,'Données projet'!$A$217:$I$237,6,0)),0%,VLOOKUP(A33,'Données projet'!$A$217:$I$237,6,0)*VLOOKUP('Données projet'!$B$16,Paramètres!$A$1:$I$89,7,0))</f>
        <v>0.22000000000000003</v>
      </c>
      <c r="FP33" s="16">
        <f>IF(ISNA(VLOOKUP(A33,'Données projet'!$A$217:$I$237,7,0)),0%,VLOOKUP(A33,'Données projet'!$A$217:$I$237,7,0))</f>
        <v>0.4</v>
      </c>
      <c r="FQ33" s="21">
        <f>EXP(-LN(2)/35)*FQ32+(1-EXP(-LN(2)/35))/(LN(2)/35)*FM33*FN33*VLOOKUP('Données projet'!$B$16,Paramètres!$A$1:$I$89,3,0)*0.475*44/12</f>
        <v>6.738098432381384</v>
      </c>
      <c r="FR33" s="21">
        <f>EXP(-LN(2)/25)*FR32+(1-EXP(-LN(2)/25))/(LN(2)/25)*Calculateur!FM33*Calculateur!FO33*VLOOKUP('Données projet'!$B$16,Paramètres!$A$1:$I$89,3,0)*0.475*44/12</f>
        <v>13.423135942872628</v>
      </c>
      <c r="FS33" s="21">
        <f>EXP(-LN(2)/2)*FS32+(1-EXP(-LN(2)/2))/(LN(2)/2)*FM33*FP33*VLOOKUP('Données projet'!$B$16,Paramètres!$A$1:$I$89,3,0)*0.475*44/12</f>
        <v>20.912783428232835</v>
      </c>
      <c r="FT33" s="22">
        <f t="shared" si="24"/>
        <v>41.074017803486846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609.77763837665009</v>
      </c>
      <c r="S34" s="59">
        <f ca="1">AVERAGE(OFFSET($R$3,0,0,'Données projet'!$E$9+1,1))-AVERAGE(OFFSET($H$3,0,0,'Données projet'!$E$9+1,1))</f>
        <v>401.06118089678654</v>
      </c>
      <c r="T34" s="59">
        <f t="shared" si="34"/>
        <v>399.58193819355591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13.3</v>
      </c>
      <c r="AI34" s="13">
        <f>IF('Données projet'!$A$62&gt;35,AI33+AH34-AQ33,IF(A34&lt;'Données projet'!$A$62,$AF$205^A34,IF(A34='Données projet'!$A$62,'Données projet'!$B$62,AI33+AH34-AQ33)))</f>
        <v>163.30000000000007</v>
      </c>
      <c r="AJ34" s="13">
        <f>AI34*VLOOKUP('Données projet'!$B$10,Paramètres!$A$1:$I$89,3,0)*VLOOKUP('Données projet'!$B$10,Paramètres!$A$1:$I$89,5,0)</f>
        <v>101.89920000000004</v>
      </c>
      <c r="AK34" s="13">
        <f t="shared" si="35"/>
        <v>27.413959140905018</v>
      </c>
      <c r="AL34" s="20">
        <f t="shared" si="4"/>
        <v>225.22041883707629</v>
      </c>
      <c r="AM34" s="59">
        <f t="shared" si="5"/>
        <v>518.55375217040955</v>
      </c>
      <c r="AN34" s="59">
        <f ca="1">AVERAGE(OFFSET($AM$3,0,0,'Données projet'!$E$10+1,1))-AVERAGE(OFFSET($H$3,0,0,'Données projet'!$E$10+1,1))</f>
        <v>240.30073883588199</v>
      </c>
      <c r="AO34" s="59">
        <f t="shared" si="36"/>
        <v>263.20351282678843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6.8169698806431898</v>
      </c>
      <c r="AV34" s="21">
        <f>EXP(-LN(2)/25)*AV33+(1-EXP(-LN(2)/25))/(LN(2)/25)*Calculateur!AQ34*Calculateur!AS34*VLOOKUP('Données projet'!$B$10,Paramètres!$A$1:$I$89,3,0)*0.475*44/12</f>
        <v>20.219462007872622</v>
      </c>
      <c r="AW34" s="21">
        <f>EXP(-LN(2)/2)*AW33+(1-EXP(-LN(2)/2))/(LN(2)/2)*AQ34*AT34*VLOOKUP('Données projet'!$B$10,Paramètres!$A$1:$I$89,3,0)*0.475*44/12</f>
        <v>14.277062560363413</v>
      </c>
      <c r="AX34" s="21">
        <f t="shared" si="6"/>
        <v>41.313494448879226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25.3</v>
      </c>
      <c r="BD34" s="12">
        <f>IF('Données projet'!$A$88&gt;35,BD33+BC34-BL33,IF(A34&lt;'Données projet'!$A$88,$BA$205^A34,IF(A34='Données projet'!$A$88,'Données projet'!$B$88,BD33+BC34-BL33)))</f>
        <v>271.2999999999999</v>
      </c>
      <c r="BE34" s="13">
        <f>BD34*VLOOKUP('Données projet'!$B$11,Paramètres!$A$1:$I$89,3,0)*VLOOKUP('Données projet'!$B$11,Paramètres!$A$1:$I$89,5,0)</f>
        <v>130.49529999999996</v>
      </c>
      <c r="BF34" s="13">
        <f t="shared" si="37"/>
        <v>34.110783277679488</v>
      </c>
      <c r="BG34" s="20">
        <f t="shared" si="7"/>
        <v>286.68892837529171</v>
      </c>
      <c r="BH34" s="59">
        <f t="shared" si="8"/>
        <v>580.02226170862502</v>
      </c>
      <c r="BI34" s="59">
        <f ca="1">AVERAGE(OFFSET($BH$3,0,0,'Données projet'!$E$11+1,1))-AVERAGE(OFFSET($H$3,0,0,'Données projet'!$E$11+1,1))</f>
        <v>364.67510777943329</v>
      </c>
      <c r="BJ34" s="59">
        <f t="shared" si="38"/>
        <v>352.13878061387169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8.670333566943059</v>
      </c>
      <c r="BQ34" s="21">
        <f>EXP(-LN(2)/25)*BQ33+(1-EXP(-LN(2)/25))/(LN(2)/25)*Calculateur!BL34*Calculateur!BN34*VLOOKUP('Données projet'!$B$11,Paramètres!$A$1:$I$89,3,0)*0.475*44/12</f>
        <v>17.522614535287865</v>
      </c>
      <c r="BR34" s="21">
        <f>EXP(-LN(2)/2)*BR33+(1-EXP(-LN(2)/2))/(LN(2)/2)*BL34*BO34*VLOOKUP('Données projet'!$B$11,Paramètres!$A$1:$I$89,3,0)*0.475*44/12</f>
        <v>19.426738139561749</v>
      </c>
      <c r="BS34" s="22">
        <f t="shared" si="9"/>
        <v>45.619686241792671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10.000000000000004</v>
      </c>
      <c r="BY34" s="12">
        <f>IF('Données projet'!$A$114&gt;35,BY33+BX34-CG33,IF(A34&lt;'Données projet'!$A$114,$BV$205^A34,IF(A34='Données projet'!$A$114,'Données projet'!$B$114,BY33+BX34-CG33)))</f>
        <v>201.59999999999988</v>
      </c>
      <c r="BZ34" s="13">
        <f>BY34*VLOOKUP('Données projet'!$B$12,Paramètres!$A$1:$I$89,3,0)*VLOOKUP('Données projet'!$B$12,Paramètres!$A$1:$I$89,5,0)</f>
        <v>94.34879999999994</v>
      </c>
      <c r="CA34" s="13">
        <f t="shared" si="39"/>
        <v>25.611153022386439</v>
      </c>
      <c r="CB34" s="20">
        <f t="shared" si="10"/>
        <v>208.93025151398959</v>
      </c>
      <c r="CC34" s="59">
        <f t="shared" si="11"/>
        <v>502.26358484732293</v>
      </c>
      <c r="CD34" s="59">
        <f ca="1">AVERAGE(OFFSET($CC$3,0,0,'Données projet'!$E$12+1,1))-AVERAGE(OFFSET($H$3,0,0,'Données projet'!$E$12+1,1))</f>
        <v>252.98248842635206</v>
      </c>
      <c r="CE34" s="59">
        <f t="shared" si="40"/>
        <v>207.11938580878308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3.0731143685149527</v>
      </c>
      <c r="CL34" s="21">
        <f>EXP(-LN(2)/25)*CL33+(1-EXP(-LN(2)/25))/(LN(2)/25)*Calculateur!CG34*Calculateur!CI34*VLOOKUP('Données projet'!$B$12,Paramètres!$A$1:$I$89,3,0)*0.475*44/12</f>
        <v>7.640656268132366</v>
      </c>
      <c r="CM34" s="21">
        <f>EXP(-LN(2)/2)*CM33+(1-EXP(-LN(2)/2))/(LN(2)/2)*CG34*CJ34*VLOOKUP('Données projet'!$B$12,Paramètres!$A$1:$I$89,3,0)*0.475*44/12</f>
        <v>6.9523986630401735</v>
      </c>
      <c r="CN34" s="22">
        <f t="shared" si="12"/>
        <v>17.666169299687493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22</v>
      </c>
      <c r="CT34" s="12">
        <f>IF('Données projet'!$A$140&gt;35,CT33+CS34-DB33,IF(A34&lt;'Données projet'!$A$140,$CQ$205^A34,IF(A34='Données projet'!$A$140,'Données projet'!$B$140,CT33+CS34-DB33)))</f>
        <v>230.99999999999989</v>
      </c>
      <c r="CU34" s="17">
        <f>CT34*VLOOKUP('Données projet'!$B$13,Paramètres!$A$1:$I$89,3,0)*VLOOKUP('Données projet'!$B$13,Paramètres!$A$1:$I$89,5,0)</f>
        <v>129.12899999999993</v>
      </c>
      <c r="CV34" s="13">
        <f t="shared" si="41"/>
        <v>33.795018128858409</v>
      </c>
      <c r="CW34" s="20">
        <f t="shared" si="13"/>
        <v>283.75933157442824</v>
      </c>
      <c r="CX34" s="59">
        <f t="shared" si="14"/>
        <v>577.09266490776156</v>
      </c>
      <c r="CY34" s="59">
        <f ca="1">AVERAGE(OFFSET($CX$3,0,0,'Données projet'!$E$13+1,1))-AVERAGE(OFFSET($H$3,0,0,'Données projet'!$E$13+1,1))</f>
        <v>356.67698551373468</v>
      </c>
      <c r="CZ34" s="59">
        <f t="shared" si="42"/>
        <v>353.21836615408171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4.4783704910336519</v>
      </c>
      <c r="DG34" s="21">
        <f>EXP(-LN(2)/25)*DG33+(1-EXP(-LN(2)/25))/(LN(2)/25)*Calculateur!DB34*Calculateur!DD34*VLOOKUP('Données projet'!$B$13,Paramètres!$A$1:$I$89,3,0)*0.475*44/12</f>
        <v>29.347867411406209</v>
      </c>
      <c r="DH34" s="21">
        <f>EXP(-LN(2)/2)*DH33+(1-EXP(-LN(2)/2))/(LN(2)/2)*DB34*DE34*VLOOKUP('Données projet'!$B$13,Paramètres!$A$1:$I$89,3,0)*0.475*44/12</f>
        <v>22.996589225082907</v>
      </c>
      <c r="DI34" s="22">
        <f t="shared" si="15"/>
        <v>56.822827127522771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13.7</v>
      </c>
      <c r="DO34" s="12">
        <f>IF('Données projet'!$A$166&gt;35,DO33+DN34-DW33,IF(A34&lt;'Données projet'!$A$166,$DL$205^A34,IF(A34='Données projet'!$A$166,'Données projet'!$B$166,DO33+DN34-DW33)))</f>
        <v>161.69999999999999</v>
      </c>
      <c r="DP34" s="17">
        <f>DO34*VLOOKUP('Données projet'!$B$14,Paramètres!$A$1:$I$89,3,0)*VLOOKUP('Données projet'!$B$14,Paramètres!$A$1:$I$89,5,0)</f>
        <v>96.696600000000004</v>
      </c>
      <c r="DQ34" s="13">
        <f t="shared" si="43"/>
        <v>26.173476069859898</v>
      </c>
      <c r="DR34" s="20">
        <f t="shared" si="16"/>
        <v>213.99871582167268</v>
      </c>
      <c r="DS34" s="59">
        <f t="shared" si="17"/>
        <v>507.33204915500596</v>
      </c>
      <c r="DT34" s="59">
        <f ca="1">AVERAGE(OFFSET($DS$3,0,0,'Données projet'!$E$14+1,1))-AVERAGE(OFFSET($H$3,0,0,'Données projet'!$E$14+1,1))</f>
        <v>247.30892363953825</v>
      </c>
      <c r="DU34" s="59">
        <f t="shared" si="44"/>
        <v>248.38414731596578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12.497899764311502</v>
      </c>
      <c r="EC34" s="21">
        <f>EXP(-LN(2)/2)*EC33+(1-EXP(-LN(2)/2))/(LN(2)/2)*DW34*DZ34*VLOOKUP('Données projet'!$B$14,Paramètres!$A$1:$I$89,3,0)*0.475*44/12</f>
        <v>16.779191279993352</v>
      </c>
      <c r="ED34" s="22">
        <f t="shared" si="18"/>
        <v>29.277091044304854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13.7</v>
      </c>
      <c r="EJ34" s="12">
        <f>IF('Données projet'!$A$192&gt;35,EJ33+EI34-ER33,IF(A34&lt;'Données projet'!$A$192,$EG$205^A34,IF(A34='Données projet'!$A$192,'Données projet'!$B$192,EJ33+EI34-ER33)))</f>
        <v>161.69999999999999</v>
      </c>
      <c r="EK34" s="17">
        <f>EJ34*VLOOKUP('Données projet'!$B$15,Paramètres!$A$1:$I$89,3,0)*VLOOKUP('Données projet'!$B$15,Paramètres!$A$1:$I$89,5,0)</f>
        <v>96.696600000000004</v>
      </c>
      <c r="EL34" s="13">
        <f t="shared" si="45"/>
        <v>26.173476069859898</v>
      </c>
      <c r="EM34" s="20">
        <f t="shared" si="19"/>
        <v>213.99871582167268</v>
      </c>
      <c r="EN34" s="59">
        <f t="shared" si="20"/>
        <v>507.33204915500596</v>
      </c>
      <c r="EO34" s="59">
        <f ca="1">AVERAGE(OFFSET($EN$3,0,0,'Données projet'!$E$15+1,1))-AVERAGE(OFFSET($H$3,0,0,'Données projet'!$E$15+1,1))</f>
        <v>247.30892363953825</v>
      </c>
      <c r="EP34" s="59">
        <f t="shared" si="46"/>
        <v>248.38414731596578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12.497899764311502</v>
      </c>
      <c r="EX34" s="21">
        <f>EXP(-LN(2)/2)*EX33+(1-EXP(-LN(2)/2))/(LN(2)/2)*ER34*EU34*VLOOKUP('Données projet'!$B$15,Paramètres!$A$1:$I$89,3,0)*0.475*44/12</f>
        <v>16.779191279993352</v>
      </c>
      <c r="EY34" s="22">
        <f t="shared" si="21"/>
        <v>29.277091044304854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22.6</v>
      </c>
      <c r="FE34" s="12">
        <f>IF('Données projet'!$A$218&gt;35,FE33+FD34-FM33,IF(A34&lt;'Données projet'!$A$218,$FB$205^A34,IF(A34='Données projet'!$A$218,'Données projet'!$B$218,FE33+FD34-FM33)))</f>
        <v>244.59999999999997</v>
      </c>
      <c r="FF34" s="17">
        <f>FE34*VLOOKUP('Données projet'!$B$16,Paramètres!$A$1:$I$89,3,0)*VLOOKUP('Données projet'!$B$16,Paramètres!$A$1:$I$89,5,0)</f>
        <v>117.65259999999998</v>
      </c>
      <c r="FG34" s="13">
        <f t="shared" si="47"/>
        <v>31.126878893627911</v>
      </c>
      <c r="FH34" s="20">
        <f t="shared" si="22"/>
        <v>259.12425907306857</v>
      </c>
      <c r="FI34" s="59">
        <f t="shared" si="23"/>
        <v>552.45759240640189</v>
      </c>
      <c r="FJ34" s="59">
        <f ca="1">AVERAGE(OFFSET($FI$3,0,0,'Données projet'!$E$16+1,1))-AVERAGE(OFFSET($H$3,0,0,'Données projet'!$E$16+1,1))</f>
        <v>322.54393676667081</v>
      </c>
      <c r="FK34" s="59">
        <f t="shared" si="48"/>
        <v>296.73904998640018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6.6059684319566161</v>
      </c>
      <c r="FR34" s="21">
        <f>EXP(-LN(2)/25)*FR33+(1-EXP(-LN(2)/25))/(LN(2)/25)*Calculateur!FM34*Calculateur!FO34*VLOOKUP('Données projet'!$B$16,Paramètres!$A$1:$I$89,3,0)*0.475*44/12</f>
        <v>13.056079584622736</v>
      </c>
      <c r="FS34" s="21">
        <f>EXP(-LN(2)/2)*FS33+(1-EXP(-LN(2)/2))/(LN(2)/2)*FM34*FP34*VLOOKUP('Données projet'!$B$16,Paramètres!$A$1:$I$89,3,0)*0.475*44/12</f>
        <v>14.787570975589093</v>
      </c>
      <c r="FT34" s="22">
        <f t="shared" si="24"/>
        <v>34.449618992168446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638.80767128955677</v>
      </c>
      <c r="S35" s="59">
        <f ca="1">AVERAGE(OFFSET($R$3,0,0,'Données projet'!$E$9+1,1))-AVERAGE(OFFSET($H$3,0,0,'Données projet'!$E$9+1,1))</f>
        <v>401.06118089678654</v>
      </c>
      <c r="T35" s="59">
        <f t="shared" si="34"/>
        <v>399.58193819355591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13.3</v>
      </c>
      <c r="AI35" s="13">
        <f>IF('Données projet'!$A$62&gt;35,AI34+AH35-AQ34,IF(A35&lt;'Données projet'!$A$62,$AF$205^A35,IF(A35='Données projet'!$A$62,'Données projet'!$B$62,AI34+AH35-AQ34)))</f>
        <v>176.60000000000008</v>
      </c>
      <c r="AJ35" s="13">
        <f>AI35*VLOOKUP('Données projet'!$B$10,Paramètres!$A$1:$I$89,3,0)*VLOOKUP('Données projet'!$B$10,Paramètres!$A$1:$I$89,5,0)</f>
        <v>110.19840000000003</v>
      </c>
      <c r="AK35" s="13">
        <f t="shared" si="35"/>
        <v>29.377724256456361</v>
      </c>
      <c r="AL35" s="20">
        <f t="shared" si="4"/>
        <v>243.09508307999488</v>
      </c>
      <c r="AM35" s="59">
        <f t="shared" si="5"/>
        <v>536.42841641332825</v>
      </c>
      <c r="AN35" s="59">
        <f ca="1">AVERAGE(OFFSET($AM$3,0,0,'Données projet'!$E$10+1,1))-AVERAGE(OFFSET($H$3,0,0,'Données projet'!$E$10+1,1))</f>
        <v>240.30073883588199</v>
      </c>
      <c r="AO35" s="59">
        <f t="shared" si="36"/>
        <v>263.20351282678843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6.6832932592248415</v>
      </c>
      <c r="AV35" s="21">
        <f>EXP(-LN(2)/25)*AV34+(1-EXP(-LN(2)/25))/(LN(2)/25)*Calculateur!AQ35*Calculateur!AS35*VLOOKUP('Données projet'!$B$10,Paramètres!$A$1:$I$89,3,0)*0.475*44/12</f>
        <v>19.666559755972049</v>
      </c>
      <c r="AW35" s="21">
        <f>EXP(-LN(2)/2)*AW34+(1-EXP(-LN(2)/2))/(LN(2)/2)*AQ35*AT35*VLOOKUP('Données projet'!$B$10,Paramètres!$A$1:$I$89,3,0)*0.475*44/12</f>
        <v>10.095407751857543</v>
      </c>
      <c r="AX35" s="21">
        <f t="shared" si="6"/>
        <v>36.445260767054435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25.3</v>
      </c>
      <c r="BD35" s="12">
        <f>IF('Données projet'!$A$88&gt;35,BD34+BC35-BL34,IF(A35&lt;'Données projet'!$A$88,$BA$205^A35,IF(A35='Données projet'!$A$88,'Données projet'!$B$88,BD34+BC35-BL34)))</f>
        <v>296.59999999999991</v>
      </c>
      <c r="BE35" s="13">
        <f>BD35*VLOOKUP('Données projet'!$B$11,Paramètres!$A$1:$I$89,3,0)*VLOOKUP('Données projet'!$B$11,Paramètres!$A$1:$I$89,5,0)</f>
        <v>142.66459999999995</v>
      </c>
      <c r="BF35" s="13">
        <f t="shared" si="37"/>
        <v>36.90675650653003</v>
      </c>
      <c r="BG35" s="20">
        <f t="shared" si="7"/>
        <v>312.75344591553971</v>
      </c>
      <c r="BH35" s="59">
        <f t="shared" si="8"/>
        <v>606.08677924887297</v>
      </c>
      <c r="BI35" s="59">
        <f ca="1">AVERAGE(OFFSET($BH$3,0,0,'Données projet'!$E$11+1,1))-AVERAGE(OFFSET($H$3,0,0,'Données projet'!$E$11+1,1))</f>
        <v>364.67510777943329</v>
      </c>
      <c r="BJ35" s="59">
        <f t="shared" si="38"/>
        <v>352.13878061387169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8.5003136140765978</v>
      </c>
      <c r="BQ35" s="21">
        <f>EXP(-LN(2)/25)*BQ34+(1-EXP(-LN(2)/25))/(LN(2)/25)*Calculateur!BL35*Calculateur!BN35*VLOOKUP('Données projet'!$B$11,Paramètres!$A$1:$I$89,3,0)*0.475*44/12</f>
        <v>17.043457719346168</v>
      </c>
      <c r="BR35" s="21">
        <f>EXP(-LN(2)/2)*BR34+(1-EXP(-LN(2)/2))/(LN(2)/2)*BL35*BO35*VLOOKUP('Données projet'!$B$11,Paramètres!$A$1:$I$89,3,0)*0.475*44/12</f>
        <v>13.736778274819448</v>
      </c>
      <c r="BS35" s="22">
        <f t="shared" si="9"/>
        <v>39.280549608242218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10.000000000000004</v>
      </c>
      <c r="BY35" s="12">
        <f>IF('Données projet'!$A$114&gt;35,BY34+BX35-CG34,IF(A35&lt;'Données projet'!$A$114,$BV$205^A35,IF(A35='Données projet'!$A$114,'Données projet'!$B$114,BY34+BX35-CG34)))</f>
        <v>211.59999999999988</v>
      </c>
      <c r="BZ35" s="13">
        <f>BY35*VLOOKUP('Données projet'!$B$12,Paramètres!$A$1:$I$89,3,0)*VLOOKUP('Données projet'!$B$12,Paramètres!$A$1:$I$89,5,0)</f>
        <v>99.028799999999947</v>
      </c>
      <c r="CA35" s="13">
        <f t="shared" si="39"/>
        <v>26.730491283721712</v>
      </c>
      <c r="CB35" s="20">
        <f t="shared" si="10"/>
        <v>219.0307656524819</v>
      </c>
      <c r="CC35" s="59">
        <f t="shared" si="11"/>
        <v>512.36409898581519</v>
      </c>
      <c r="CD35" s="59">
        <f ca="1">AVERAGE(OFFSET($CC$3,0,0,'Données projet'!$E$12+1,1))-AVERAGE(OFFSET($H$3,0,0,'Données projet'!$E$12+1,1))</f>
        <v>252.98248842635206</v>
      </c>
      <c r="CE35" s="59">
        <f t="shared" si="40"/>
        <v>207.11938580878308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3.0128524701630561</v>
      </c>
      <c r="CL35" s="21">
        <f>EXP(-LN(2)/25)*CL34+(1-EXP(-LN(2)/25))/(LN(2)/25)*Calculateur!CG35*Calculateur!CI35*VLOOKUP('Données projet'!$B$12,Paramètres!$A$1:$I$89,3,0)*0.475*44/12</f>
        <v>7.4317221206756363</v>
      </c>
      <c r="CM35" s="21">
        <f>EXP(-LN(2)/2)*CM34+(1-EXP(-LN(2)/2))/(LN(2)/2)*CG35*CJ35*VLOOKUP('Données projet'!$B$12,Paramètres!$A$1:$I$89,3,0)*0.475*44/12</f>
        <v>4.9160882401479942</v>
      </c>
      <c r="CN35" s="22">
        <f t="shared" si="12"/>
        <v>15.360662830986687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22</v>
      </c>
      <c r="CT35" s="12">
        <f>IF('Données projet'!$A$140&gt;35,CT34+CS35-DB34,IF(A35&lt;'Données projet'!$A$140,$CQ$205^A35,IF(A35='Données projet'!$A$140,'Données projet'!$B$140,CT34+CS35-DB34)))</f>
        <v>252.99999999999989</v>
      </c>
      <c r="CU35" s="17">
        <f>CT35*VLOOKUP('Données projet'!$B$13,Paramètres!$A$1:$I$89,3,0)*VLOOKUP('Données projet'!$B$13,Paramètres!$A$1:$I$89,5,0)</f>
        <v>141.42699999999994</v>
      </c>
      <c r="CV35" s="13">
        <f t="shared" si="41"/>
        <v>36.62371795968599</v>
      </c>
      <c r="CW35" s="20">
        <f t="shared" si="13"/>
        <v>310.10500044645295</v>
      </c>
      <c r="CX35" s="59">
        <f t="shared" si="14"/>
        <v>603.43833377978626</v>
      </c>
      <c r="CY35" s="59">
        <f ca="1">AVERAGE(OFFSET($CX$3,0,0,'Données projet'!$E$13+1,1))-AVERAGE(OFFSET($H$3,0,0,'Données projet'!$E$13+1,1))</f>
        <v>356.67698551373468</v>
      </c>
      <c r="CZ35" s="59">
        <f t="shared" si="42"/>
        <v>353.21836615408171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4.3905523772407644</v>
      </c>
      <c r="DG35" s="21">
        <f>EXP(-LN(2)/25)*DG34+(1-EXP(-LN(2)/25))/(LN(2)/25)*Calculateur!DB35*Calculateur!DD35*VLOOKUP('Données projet'!$B$13,Paramètres!$A$1:$I$89,3,0)*0.475*44/12</f>
        <v>28.545348433704035</v>
      </c>
      <c r="DH35" s="21">
        <f>EXP(-LN(2)/2)*DH34+(1-EXP(-LN(2)/2))/(LN(2)/2)*DB35*DE35*VLOOKUP('Données projet'!$B$13,Paramètres!$A$1:$I$89,3,0)*0.475*44/12</f>
        <v>16.261044185217617</v>
      </c>
      <c r="DI35" s="22">
        <f t="shared" si="15"/>
        <v>49.196944996162415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13.7</v>
      </c>
      <c r="DO35" s="12">
        <f>IF('Données projet'!$A$166&gt;35,DO34+DN35-DW34,IF(A35&lt;'Données projet'!$A$166,$DL$205^A35,IF(A35='Données projet'!$A$166,'Données projet'!$B$166,DO34+DN35-DW34)))</f>
        <v>175.39999999999998</v>
      </c>
      <c r="DP35" s="17">
        <f>DO35*VLOOKUP('Données projet'!$B$14,Paramètres!$A$1:$I$89,3,0)*VLOOKUP('Données projet'!$B$14,Paramètres!$A$1:$I$89,5,0)</f>
        <v>104.8892</v>
      </c>
      <c r="DQ35" s="13">
        <f t="shared" si="43"/>
        <v>28.123526406473545</v>
      </c>
      <c r="DR35" s="20">
        <f t="shared" si="16"/>
        <v>231.66383182460808</v>
      </c>
      <c r="DS35" s="59">
        <f t="shared" si="17"/>
        <v>524.99716515794137</v>
      </c>
      <c r="DT35" s="59">
        <f ca="1">AVERAGE(OFFSET($DS$3,0,0,'Données projet'!$E$14+1,1))-AVERAGE(OFFSET($H$3,0,0,'Données projet'!$E$14+1,1))</f>
        <v>247.30892363953825</v>
      </c>
      <c r="DU35" s="59">
        <f t="shared" si="44"/>
        <v>248.38414731596578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12.15614403802042</v>
      </c>
      <c r="EC35" s="21">
        <f>EXP(-LN(2)/2)*EC34+(1-EXP(-LN(2)/2))/(LN(2)/2)*DW35*DZ35*VLOOKUP('Données projet'!$B$14,Paramètres!$A$1:$I$89,3,0)*0.475*44/12</f>
        <v>11.864679936909486</v>
      </c>
      <c r="ED35" s="22">
        <f t="shared" si="18"/>
        <v>24.020823974929904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13.7</v>
      </c>
      <c r="EJ35" s="12">
        <f>IF('Données projet'!$A$192&gt;35,EJ34+EI35-ER34,IF(A35&lt;'Données projet'!$A$192,$EG$205^A35,IF(A35='Données projet'!$A$192,'Données projet'!$B$192,EJ34+EI35-ER34)))</f>
        <v>175.39999999999998</v>
      </c>
      <c r="EK35" s="17">
        <f>EJ35*VLOOKUP('Données projet'!$B$15,Paramètres!$A$1:$I$89,3,0)*VLOOKUP('Données projet'!$B$15,Paramètres!$A$1:$I$89,5,0)</f>
        <v>104.8892</v>
      </c>
      <c r="EL35" s="13">
        <f t="shared" si="45"/>
        <v>28.123526406473545</v>
      </c>
      <c r="EM35" s="20">
        <f t="shared" si="19"/>
        <v>231.66383182460808</v>
      </c>
      <c r="EN35" s="59">
        <f t="shared" si="20"/>
        <v>524.99716515794137</v>
      </c>
      <c r="EO35" s="59">
        <f ca="1">AVERAGE(OFFSET($EN$3,0,0,'Données projet'!$E$15+1,1))-AVERAGE(OFFSET($H$3,0,0,'Données projet'!$E$15+1,1))</f>
        <v>247.30892363953825</v>
      </c>
      <c r="EP35" s="59">
        <f t="shared" si="46"/>
        <v>248.38414731596578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12.15614403802042</v>
      </c>
      <c r="EX35" s="21">
        <f>EXP(-LN(2)/2)*EX34+(1-EXP(-LN(2)/2))/(LN(2)/2)*ER35*EU35*VLOOKUP('Données projet'!$B$15,Paramètres!$A$1:$I$89,3,0)*0.475*44/12</f>
        <v>11.864679936909486</v>
      </c>
      <c r="EY35" s="22">
        <f t="shared" si="21"/>
        <v>24.020823974929904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22.6</v>
      </c>
      <c r="FE35" s="12">
        <f>IF('Données projet'!$A$218&gt;35,FE34+FD35-FM34,IF(A35&lt;'Données projet'!$A$218,$FB$205^A35,IF(A35='Données projet'!$A$218,'Données projet'!$B$218,FE34+FD35-FM34)))</f>
        <v>267.2</v>
      </c>
      <c r="FF35" s="17">
        <f>FE35*VLOOKUP('Données projet'!$B$16,Paramètres!$A$1:$I$89,3,0)*VLOOKUP('Données projet'!$B$16,Paramètres!$A$1:$I$89,5,0)</f>
        <v>128.5232</v>
      </c>
      <c r="FG35" s="13">
        <f t="shared" si="47"/>
        <v>33.654887637825389</v>
      </c>
      <c r="FH35" s="20">
        <f t="shared" si="22"/>
        <v>282.46016930254592</v>
      </c>
      <c r="FI35" s="59">
        <f t="shared" si="23"/>
        <v>575.79350263587924</v>
      </c>
      <c r="FJ35" s="59">
        <f ca="1">AVERAGE(OFFSET($FI$3,0,0,'Données projet'!$E$16+1,1))-AVERAGE(OFFSET($H$3,0,0,'Données projet'!$E$16+1,1))</f>
        <v>322.54393676667081</v>
      </c>
      <c r="FK35" s="59">
        <f t="shared" si="48"/>
        <v>296.73904998640018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6.4764294202488353</v>
      </c>
      <c r="FR35" s="21">
        <f>EXP(-LN(2)/25)*FR34+(1-EXP(-LN(2)/25))/(LN(2)/25)*Calculateur!FM35*Calculateur!FO35*VLOOKUP('Données projet'!$B$16,Paramètres!$A$1:$I$89,3,0)*0.475*44/12</f>
        <v>12.699060401791842</v>
      </c>
      <c r="FS35" s="21">
        <f>EXP(-LN(2)/2)*FS34+(1-EXP(-LN(2)/2))/(LN(2)/2)*FM35*FP35*VLOOKUP('Données projet'!$B$16,Paramètres!$A$1:$I$89,3,0)*0.475*44/12</f>
        <v>10.456391714116418</v>
      </c>
      <c r="FT35" s="22">
        <f t="shared" si="24"/>
        <v>29.631881536157096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667.78413729046497</v>
      </c>
      <c r="S36" s="59">
        <f ca="1">AVERAGE(OFFSET($R$3,0,0,'Données projet'!$E$9+1,1))-AVERAGE(OFFSET($H$3,0,0,'Données projet'!$E$9+1,1))</f>
        <v>401.06118089678654</v>
      </c>
      <c r="T36" s="59">
        <f t="shared" si="34"/>
        <v>399.58193819355591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13.3</v>
      </c>
      <c r="AI36" s="13">
        <f>IF('Données projet'!$A$62&gt;35,AI35+AH36-AQ35,IF(A36&lt;'Données projet'!$A$62,$AF$205^A36,IF(A36='Données projet'!$A$62,'Données projet'!$B$62,AI35+AH36-AQ35)))</f>
        <v>189.90000000000009</v>
      </c>
      <c r="AJ36" s="13">
        <f>AI36*VLOOKUP('Données projet'!$B$10,Paramètres!$A$1:$I$89,3,0)*VLOOKUP('Données projet'!$B$10,Paramètres!$A$1:$I$89,5,0)</f>
        <v>118.49760000000006</v>
      </c>
      <c r="AK36" s="13">
        <f t="shared" si="35"/>
        <v>31.324332637527956</v>
      </c>
      <c r="AL36" s="20">
        <f t="shared" si="4"/>
        <v>260.9398660103613</v>
      </c>
      <c r="AM36" s="59">
        <f t="shared" si="5"/>
        <v>554.27319934369461</v>
      </c>
      <c r="AN36" s="59">
        <f ca="1">AVERAGE(OFFSET($AM$3,0,0,'Données projet'!$E$10+1,1))-AVERAGE(OFFSET($H$3,0,0,'Données projet'!$E$10+1,1))</f>
        <v>240.30073883588199</v>
      </c>
      <c r="AO36" s="59">
        <f t="shared" si="36"/>
        <v>263.20351282678843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6.5522379548178185</v>
      </c>
      <c r="AV36" s="21">
        <f>EXP(-LN(2)/25)*AV35+(1-EXP(-LN(2)/25))/(LN(2)/25)*Calculateur!AQ36*Calculateur!AS36*VLOOKUP('Données projet'!$B$10,Paramètres!$A$1:$I$89,3,0)*0.475*44/12</f>
        <v>19.128776645225564</v>
      </c>
      <c r="AW36" s="21">
        <f>EXP(-LN(2)/2)*AW35+(1-EXP(-LN(2)/2))/(LN(2)/2)*AQ36*AT36*VLOOKUP('Données projet'!$B$10,Paramètres!$A$1:$I$89,3,0)*0.475*44/12</f>
        <v>7.1385312801817076</v>
      </c>
      <c r="AX36" s="21">
        <f t="shared" si="6"/>
        <v>32.819545880225093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25.3</v>
      </c>
      <c r="BD36" s="12">
        <f>IF('Données projet'!$A$88&gt;35,BD35+BC36-BL35,IF(A36&lt;'Données projet'!$A$88,$BA$205^A36,IF(A36='Données projet'!$A$88,'Données projet'!$B$88,BD35+BC36-BL35)))</f>
        <v>321.89999999999992</v>
      </c>
      <c r="BE36" s="13">
        <f>BD36*VLOOKUP('Données projet'!$B$11,Paramètres!$A$1:$I$89,3,0)*VLOOKUP('Données projet'!$B$11,Paramètres!$A$1:$I$89,5,0)</f>
        <v>154.83389999999997</v>
      </c>
      <c r="BF36" s="13">
        <f t="shared" si="37"/>
        <v>39.675070702121111</v>
      </c>
      <c r="BG36" s="20">
        <f t="shared" si="7"/>
        <v>338.76979063952751</v>
      </c>
      <c r="BH36" s="59">
        <f t="shared" si="8"/>
        <v>632.10312397286089</v>
      </c>
      <c r="BI36" s="59">
        <f ca="1">AVERAGE(OFFSET($BH$3,0,0,'Données projet'!$E$11+1,1))-AVERAGE(OFFSET($H$3,0,0,'Données projet'!$E$11+1,1))</f>
        <v>364.67510777943329</v>
      </c>
      <c r="BJ36" s="59">
        <f t="shared" si="38"/>
        <v>352.13878061387169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8.3336276487839154</v>
      </c>
      <c r="BQ36" s="21">
        <f>EXP(-LN(2)/25)*BQ35+(1-EXP(-LN(2)/25))/(LN(2)/25)*Calculateur!BL36*Calculateur!BN36*VLOOKUP('Données projet'!$B$11,Paramètres!$A$1:$I$89,3,0)*0.475*44/12</f>
        <v>16.577403471734158</v>
      </c>
      <c r="BR36" s="21">
        <f>EXP(-LN(2)/2)*BR35+(1-EXP(-LN(2)/2))/(LN(2)/2)*BL36*BO36*VLOOKUP('Données projet'!$B$11,Paramètres!$A$1:$I$89,3,0)*0.475*44/12</f>
        <v>9.7133690697808763</v>
      </c>
      <c r="BS36" s="22">
        <f t="shared" si="9"/>
        <v>34.62440019029895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10.000000000000004</v>
      </c>
      <c r="BY36" s="12">
        <f>IF('Données projet'!$A$114&gt;35,BY35+BX36-CG35,IF(A36&lt;'Données projet'!$A$114,$BV$205^A36,IF(A36='Données projet'!$A$114,'Données projet'!$B$114,BY35+BX36-CG35)))</f>
        <v>221.59999999999988</v>
      </c>
      <c r="BZ36" s="13">
        <f>BY36*VLOOKUP('Données projet'!$B$12,Paramètres!$A$1:$I$89,3,0)*VLOOKUP('Données projet'!$B$12,Paramètres!$A$1:$I$89,5,0)</f>
        <v>103.70879999999994</v>
      </c>
      <c r="CA36" s="13">
        <f t="shared" si="39"/>
        <v>27.84368661708951</v>
      </c>
      <c r="CB36" s="20">
        <f t="shared" si="10"/>
        <v>229.12058085809744</v>
      </c>
      <c r="CC36" s="59">
        <f t="shared" si="11"/>
        <v>522.45391419143073</v>
      </c>
      <c r="CD36" s="59">
        <f ca="1">AVERAGE(OFFSET($CC$3,0,0,'Données projet'!$E$12+1,1))-AVERAGE(OFFSET($H$3,0,0,'Données projet'!$E$12+1,1))</f>
        <v>252.98248842635206</v>
      </c>
      <c r="CE36" s="59">
        <f t="shared" si="40"/>
        <v>207.11938580878308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2.9537722708817116</v>
      </c>
      <c r="CL36" s="21">
        <f>EXP(-LN(2)/25)*CL35+(1-EXP(-LN(2)/25))/(LN(2)/25)*Calculateur!CG36*Calculateur!CI36*VLOOKUP('Données projet'!$B$12,Paramètres!$A$1:$I$89,3,0)*0.475*44/12</f>
        <v>7.2285012884684798</v>
      </c>
      <c r="CM36" s="21">
        <f>EXP(-LN(2)/2)*CM35+(1-EXP(-LN(2)/2))/(LN(2)/2)*CG36*CJ36*VLOOKUP('Données projet'!$B$12,Paramètres!$A$1:$I$89,3,0)*0.475*44/12</f>
        <v>3.4761993315200876</v>
      </c>
      <c r="CN36" s="22">
        <f t="shared" si="12"/>
        <v>13.658472890870279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22</v>
      </c>
      <c r="CT36" s="12">
        <f>IF('Données projet'!$A$140&gt;35,CT35+CS36-DB35,IF(A36&lt;'Données projet'!$A$140,$CQ$205^A36,IF(A36='Données projet'!$A$140,'Données projet'!$B$140,CT35+CS36-DB35)))</f>
        <v>274.99999999999989</v>
      </c>
      <c r="CU36" s="17">
        <f>CT36*VLOOKUP('Données projet'!$B$13,Paramètres!$A$1:$I$89,3,0)*VLOOKUP('Données projet'!$B$13,Paramètres!$A$1:$I$89,5,0)</f>
        <v>153.72499999999994</v>
      </c>
      <c r="CV36" s="13">
        <f t="shared" si="41"/>
        <v>39.423892922919691</v>
      </c>
      <c r="CW36" s="20">
        <f t="shared" si="13"/>
        <v>336.40098850741833</v>
      </c>
      <c r="CX36" s="59">
        <f t="shared" si="14"/>
        <v>629.73432184075159</v>
      </c>
      <c r="CY36" s="59">
        <f ca="1">AVERAGE(OFFSET($CX$3,0,0,'Données projet'!$E$13+1,1))-AVERAGE(OFFSET($H$3,0,0,'Données projet'!$E$13+1,1))</f>
        <v>356.67698551373468</v>
      </c>
      <c r="CZ36" s="59">
        <f t="shared" si="42"/>
        <v>353.21836615408171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4.3044563230955957</v>
      </c>
      <c r="DG36" s="21">
        <f>EXP(-LN(2)/25)*DG35+(1-EXP(-LN(2)/25))/(LN(2)/25)*Calculateur!DB36*Calculateur!DD36*VLOOKUP('Données projet'!$B$13,Paramètres!$A$1:$I$89,3,0)*0.475*44/12</f>
        <v>27.764774379649765</v>
      </c>
      <c r="DH36" s="21">
        <f>EXP(-LN(2)/2)*DH35+(1-EXP(-LN(2)/2))/(LN(2)/2)*DB36*DE36*VLOOKUP('Données projet'!$B$13,Paramètres!$A$1:$I$89,3,0)*0.475*44/12</f>
        <v>11.498294612541455</v>
      </c>
      <c r="DI36" s="22">
        <f t="shared" si="15"/>
        <v>43.567525315286815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13.7</v>
      </c>
      <c r="DO36" s="12">
        <f>IF('Données projet'!$A$166&gt;35,DO35+DN36-DW35,IF(A36&lt;'Données projet'!$A$166,$DL$205^A36,IF(A36='Données projet'!$A$166,'Données projet'!$B$166,DO35+DN36-DW35)))</f>
        <v>189.09999999999997</v>
      </c>
      <c r="DP36" s="17">
        <f>DO36*VLOOKUP('Données projet'!$B$14,Paramètres!$A$1:$I$89,3,0)*VLOOKUP('Données projet'!$B$14,Paramètres!$A$1:$I$89,5,0)</f>
        <v>113.08179999999999</v>
      </c>
      <c r="DQ36" s="13">
        <f t="shared" si="43"/>
        <v>30.055908915657483</v>
      </c>
      <c r="DR36" s="20">
        <f t="shared" si="16"/>
        <v>249.29817636143676</v>
      </c>
      <c r="DS36" s="59">
        <f t="shared" si="17"/>
        <v>542.6315096947701</v>
      </c>
      <c r="DT36" s="59">
        <f ca="1">AVERAGE(OFFSET($DS$3,0,0,'Données projet'!$E$14+1,1))-AVERAGE(OFFSET($H$3,0,0,'Données projet'!$E$14+1,1))</f>
        <v>247.30892363953825</v>
      </c>
      <c r="DU36" s="59">
        <f t="shared" si="44"/>
        <v>248.38414731596578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11.82373364003692</v>
      </c>
      <c r="EC36" s="21">
        <f>EXP(-LN(2)/2)*EC35+(1-EXP(-LN(2)/2))/(LN(2)/2)*DW36*DZ36*VLOOKUP('Données projet'!$B$14,Paramètres!$A$1:$I$89,3,0)*0.475*44/12</f>
        <v>8.389595639996676</v>
      </c>
      <c r="ED36" s="22">
        <f t="shared" si="18"/>
        <v>20.213329280033598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13.7</v>
      </c>
      <c r="EJ36" s="12">
        <f>IF('Données projet'!$A$192&gt;35,EJ35+EI36-ER35,IF(A36&lt;'Données projet'!$A$192,$EG$205^A36,IF(A36='Données projet'!$A$192,'Données projet'!$B$192,EJ35+EI36-ER35)))</f>
        <v>189.09999999999997</v>
      </c>
      <c r="EK36" s="17">
        <f>EJ36*VLOOKUP('Données projet'!$B$15,Paramètres!$A$1:$I$89,3,0)*VLOOKUP('Données projet'!$B$15,Paramètres!$A$1:$I$89,5,0)</f>
        <v>113.08179999999999</v>
      </c>
      <c r="EL36" s="13">
        <f t="shared" si="45"/>
        <v>30.055908915657483</v>
      </c>
      <c r="EM36" s="20">
        <f t="shared" si="19"/>
        <v>249.29817636143676</v>
      </c>
      <c r="EN36" s="59">
        <f t="shared" si="20"/>
        <v>542.6315096947701</v>
      </c>
      <c r="EO36" s="59">
        <f ca="1">AVERAGE(OFFSET($EN$3,0,0,'Données projet'!$E$15+1,1))-AVERAGE(OFFSET($H$3,0,0,'Données projet'!$E$15+1,1))</f>
        <v>247.30892363953825</v>
      </c>
      <c r="EP36" s="59">
        <f t="shared" si="46"/>
        <v>248.38414731596578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11.82373364003692</v>
      </c>
      <c r="EX36" s="21">
        <f>EXP(-LN(2)/2)*EX35+(1-EXP(-LN(2)/2))/(LN(2)/2)*ER36*EU36*VLOOKUP('Données projet'!$B$15,Paramètres!$A$1:$I$89,3,0)*0.475*44/12</f>
        <v>8.389595639996676</v>
      </c>
      <c r="EY36" s="22">
        <f t="shared" si="21"/>
        <v>20.213329280033598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22.6</v>
      </c>
      <c r="FE36" s="12">
        <f>IF('Données projet'!$A$218&gt;35,FE35+FD36-FM35,IF(A36&lt;'Données projet'!$A$218,$FB$205^A36,IF(A36='Données projet'!$A$218,'Données projet'!$B$218,FE35+FD36-FM35)))</f>
        <v>289.8</v>
      </c>
      <c r="FF36" s="17">
        <f>FE36*VLOOKUP('Données projet'!$B$16,Paramètres!$A$1:$I$89,3,0)*VLOOKUP('Données projet'!$B$16,Paramètres!$A$1:$I$89,5,0)</f>
        <v>139.3938</v>
      </c>
      <c r="FG36" s="13">
        <f t="shared" si="47"/>
        <v>36.15809853447346</v>
      </c>
      <c r="FH36" s="20">
        <f t="shared" si="22"/>
        <v>305.75288994754123</v>
      </c>
      <c r="FI36" s="59">
        <f t="shared" si="23"/>
        <v>599.08622328087449</v>
      </c>
      <c r="FJ36" s="59">
        <f ca="1">AVERAGE(OFFSET($FI$3,0,0,'Données projet'!$E$16+1,1))-AVERAGE(OFFSET($H$3,0,0,'Données projet'!$E$16+1,1))</f>
        <v>322.54393676667081</v>
      </c>
      <c r="FK36" s="59">
        <f t="shared" si="48"/>
        <v>296.73904998640018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6.349430589549649</v>
      </c>
      <c r="FR36" s="21">
        <f>EXP(-LN(2)/25)*FR35+(1-EXP(-LN(2)/25))/(LN(2)/25)*Calculateur!FM36*Calculateur!FO36*VLOOKUP('Données projet'!$B$16,Paramètres!$A$1:$I$89,3,0)*0.475*44/12</f>
        <v>12.351803927290282</v>
      </c>
      <c r="FS36" s="21">
        <f>EXP(-LN(2)/2)*FS35+(1-EXP(-LN(2)/2))/(LN(2)/2)*FM36*FP36*VLOOKUP('Données projet'!$B$16,Paramètres!$A$1:$I$89,3,0)*0.475*44/12</f>
        <v>7.3937854877945464</v>
      </c>
      <c r="FT36" s="22">
        <f t="shared" si="24"/>
        <v>26.095020004634478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696.71175995872511</v>
      </c>
      <c r="S37" s="59">
        <f ca="1">AVERAGE(OFFSET($R$3,0,0,'Données projet'!$E$9+1,1))-AVERAGE(OFFSET($H$3,0,0,'Données projet'!$E$9+1,1))</f>
        <v>401.06118089678654</v>
      </c>
      <c r="T37" s="59">
        <f t="shared" si="34"/>
        <v>399.58193819355591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13.3</v>
      </c>
      <c r="AI37" s="13">
        <f>IF('Données projet'!$A$62&gt;35,AI36+AH37-AQ36,IF(A37&lt;'Données projet'!$A$62,$AF$205^A37,IF(A37='Données projet'!$A$62,'Données projet'!$B$62,AI36+AH37-AQ36)))</f>
        <v>203.2000000000001</v>
      </c>
      <c r="AJ37" s="13">
        <f>AI37*VLOOKUP('Données projet'!$B$10,Paramètres!$A$1:$I$89,3,0)*VLOOKUP('Données projet'!$B$10,Paramètres!$A$1:$I$89,5,0)</f>
        <v>126.79680000000006</v>
      </c>
      <c r="AK37" s="13">
        <f t="shared" si="35"/>
        <v>33.25512256626952</v>
      </c>
      <c r="AL37" s="20">
        <f t="shared" si="4"/>
        <v>278.7570984695862</v>
      </c>
      <c r="AM37" s="59">
        <f t="shared" si="5"/>
        <v>572.09043180291951</v>
      </c>
      <c r="AN37" s="59">
        <f ca="1">AVERAGE(OFFSET($AM$3,0,0,'Données projet'!$E$10+1,1))-AVERAGE(OFFSET($H$3,0,0,'Données projet'!$E$10+1,1))</f>
        <v>240.30073883588199</v>
      </c>
      <c r="AO37" s="59">
        <f t="shared" si="36"/>
        <v>263.20351282678843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6.4237525649943752</v>
      </c>
      <c r="AV37" s="21">
        <f>EXP(-LN(2)/25)*AV36+(1-EXP(-LN(2)/25))/(LN(2)/25)*Calculateur!AQ37*Calculateur!AS37*VLOOKUP('Données projet'!$B$10,Paramètres!$A$1:$I$89,3,0)*0.475*44/12</f>
        <v>18.605699241923226</v>
      </c>
      <c r="AW37" s="21">
        <f>EXP(-LN(2)/2)*AW36+(1-EXP(-LN(2)/2))/(LN(2)/2)*AQ37*AT37*VLOOKUP('Données projet'!$B$10,Paramètres!$A$1:$I$89,3,0)*0.475*44/12</f>
        <v>5.0477038759287725</v>
      </c>
      <c r="AX37" s="21">
        <f t="shared" si="6"/>
        <v>30.077155682846371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25.3</v>
      </c>
      <c r="BD37" s="12">
        <f>IF('Données projet'!$A$88&gt;35,BD36+BC37-BL36,IF(A37&lt;'Données projet'!$A$88,$BA$205^A37,IF(A37='Données projet'!$A$88,'Données projet'!$B$88,BD36+BC37-BL36)))</f>
        <v>347.19999999999993</v>
      </c>
      <c r="BE37" s="13">
        <f>BD37*VLOOKUP('Données projet'!$B$11,Paramètres!$A$1:$I$89,3,0)*VLOOKUP('Données projet'!$B$11,Paramètres!$A$1:$I$89,5,0)</f>
        <v>167.00319999999996</v>
      </c>
      <c r="BF37" s="13">
        <f t="shared" si="37"/>
        <v>42.418146906240658</v>
      </c>
      <c r="BG37" s="20">
        <f t="shared" si="7"/>
        <v>364.74217919503576</v>
      </c>
      <c r="BH37" s="59">
        <f t="shared" si="8"/>
        <v>658.07551252836902</v>
      </c>
      <c r="BI37" s="59">
        <f ca="1">AVERAGE(OFFSET($BH$3,0,0,'Données projet'!$E$11+1,1))-AVERAGE(OFFSET($H$3,0,0,'Données projet'!$E$11+1,1))</f>
        <v>364.67510777943329</v>
      </c>
      <c r="BJ37" s="59">
        <f t="shared" si="38"/>
        <v>352.13878061387169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8.1702102936022225</v>
      </c>
      <c r="BQ37" s="21">
        <f>EXP(-LN(2)/25)*BQ36+(1-EXP(-LN(2)/25))/(LN(2)/25)*Calculateur!BL37*Calculateur!BN37*VLOOKUP('Données projet'!$B$11,Paramètres!$A$1:$I$89,3,0)*0.475*44/12</f>
        <v>16.124093502031826</v>
      </c>
      <c r="BR37" s="21">
        <f>EXP(-LN(2)/2)*BR36+(1-EXP(-LN(2)/2))/(LN(2)/2)*BL37*BO37*VLOOKUP('Données projet'!$B$11,Paramètres!$A$1:$I$89,3,0)*0.475*44/12</f>
        <v>6.868389137409725</v>
      </c>
      <c r="BS37" s="22">
        <f t="shared" si="9"/>
        <v>31.162692933043775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10.000000000000004</v>
      </c>
      <c r="BY37" s="12">
        <f>IF('Données projet'!$A$114&gt;35,BY36+BX37-CG36,IF(A37&lt;'Données projet'!$A$114,$BV$205^A37,IF(A37='Données projet'!$A$114,'Données projet'!$B$114,BY36+BX37-CG36)))</f>
        <v>231.59999999999988</v>
      </c>
      <c r="BZ37" s="13">
        <f>BY37*VLOOKUP('Données projet'!$B$12,Paramètres!$A$1:$I$89,3,0)*VLOOKUP('Données projet'!$B$12,Paramètres!$A$1:$I$89,5,0)</f>
        <v>108.38879999999993</v>
      </c>
      <c r="CA37" s="13">
        <f t="shared" si="39"/>
        <v>28.951047900249165</v>
      </c>
      <c r="CB37" s="20">
        <f t="shared" si="10"/>
        <v>239.20023509293381</v>
      </c>
      <c r="CC37" s="59">
        <f t="shared" si="11"/>
        <v>532.53356842626715</v>
      </c>
      <c r="CD37" s="59">
        <f ca="1">AVERAGE(OFFSET($CC$3,0,0,'Données projet'!$E$12+1,1))-AVERAGE(OFFSET($H$3,0,0,'Données projet'!$E$12+1,1))</f>
        <v>252.98248842635206</v>
      </c>
      <c r="CE37" s="59">
        <f t="shared" si="40"/>
        <v>207.11938580878308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2.895850598272911</v>
      </c>
      <c r="CL37" s="21">
        <f>EXP(-LN(2)/25)*CL36+(1-EXP(-LN(2)/25))/(LN(2)/25)*Calculateur!CG37*Calculateur!CI37*VLOOKUP('Données projet'!$B$12,Paramètres!$A$1:$I$89,3,0)*0.475*44/12</f>
        <v>7.0308375406049475</v>
      </c>
      <c r="CM37" s="21">
        <f>EXP(-LN(2)/2)*CM36+(1-EXP(-LN(2)/2))/(LN(2)/2)*CG37*CJ37*VLOOKUP('Données projet'!$B$12,Paramètres!$A$1:$I$89,3,0)*0.475*44/12</f>
        <v>2.4580441200739975</v>
      </c>
      <c r="CN37" s="22">
        <f t="shared" si="12"/>
        <v>12.384732258951857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22</v>
      </c>
      <c r="CT37" s="12">
        <f>IF('Données projet'!$A$140&gt;35,CT36+CS37-DB36,IF(A37&lt;'Données projet'!$A$140,$CQ$205^A37,IF(A37='Données projet'!$A$140,'Données projet'!$B$140,CT36+CS37-DB36)))</f>
        <v>296.99999999999989</v>
      </c>
      <c r="CU37" s="17">
        <f>CT37*VLOOKUP('Données projet'!$B$13,Paramètres!$A$1:$I$89,3,0)*VLOOKUP('Données projet'!$B$13,Paramètres!$A$1:$I$89,5,0)</f>
        <v>166.02299999999994</v>
      </c>
      <c r="CV37" s="13">
        <f t="shared" si="41"/>
        <v>42.198084449395701</v>
      </c>
      <c r="CW37" s="20">
        <f t="shared" si="13"/>
        <v>362.6517220826974</v>
      </c>
      <c r="CX37" s="59">
        <f t="shared" si="14"/>
        <v>655.98505541603072</v>
      </c>
      <c r="CY37" s="59">
        <f ca="1">AVERAGE(OFFSET($CX$3,0,0,'Données projet'!$E$13+1,1))-AVERAGE(OFFSET($H$3,0,0,'Données projet'!$E$13+1,1))</f>
        <v>356.67698551373468</v>
      </c>
      <c r="CZ37" s="59">
        <f t="shared" si="42"/>
        <v>353.21836615408171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4.2200485600588058</v>
      </c>
      <c r="DG37" s="21">
        <f>EXP(-LN(2)/25)*DG36+(1-EXP(-LN(2)/25))/(LN(2)/25)*Calculateur!DB37*Calculateur!DD37*VLOOKUP('Données projet'!$B$13,Paramètres!$A$1:$I$89,3,0)*0.475*44/12</f>
        <v>27.005545164152213</v>
      </c>
      <c r="DH37" s="21">
        <f>EXP(-LN(2)/2)*DH36+(1-EXP(-LN(2)/2))/(LN(2)/2)*DB37*DE37*VLOOKUP('Données projet'!$B$13,Paramètres!$A$1:$I$89,3,0)*0.475*44/12</f>
        <v>8.1305220926088104</v>
      </c>
      <c r="DI37" s="22">
        <f t="shared" si="15"/>
        <v>39.35611581681983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13.7</v>
      </c>
      <c r="DO37" s="12">
        <f>IF('Données projet'!$A$166&gt;35,DO36+DN37-DW36,IF(A37&lt;'Données projet'!$A$166,$DL$205^A37,IF(A37='Données projet'!$A$166,'Données projet'!$B$166,DO36+DN37-DW36)))</f>
        <v>202.79999999999995</v>
      </c>
      <c r="DP37" s="17">
        <f>DO37*VLOOKUP('Données projet'!$B$14,Paramètres!$A$1:$I$89,3,0)*VLOOKUP('Données projet'!$B$14,Paramètres!$A$1:$I$89,5,0)</f>
        <v>121.27439999999999</v>
      </c>
      <c r="DQ37" s="13">
        <f t="shared" si="43"/>
        <v>31.972049173215385</v>
      </c>
      <c r="DR37" s="20">
        <f t="shared" si="16"/>
        <v>266.90423231001677</v>
      </c>
      <c r="DS37" s="59">
        <f t="shared" si="17"/>
        <v>560.23756564335008</v>
      </c>
      <c r="DT37" s="59">
        <f ca="1">AVERAGE(OFFSET($DS$3,0,0,'Données projet'!$E$14+1,1))-AVERAGE(OFFSET($H$3,0,0,'Données projet'!$E$14+1,1))</f>
        <v>247.30892363953825</v>
      </c>
      <c r="DU37" s="59">
        <f t="shared" si="44"/>
        <v>248.38414731596578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11.500413021866981</v>
      </c>
      <c r="EC37" s="21">
        <f>EXP(-LN(2)/2)*EC36+(1-EXP(-LN(2)/2))/(LN(2)/2)*DW37*DZ37*VLOOKUP('Données projet'!$B$14,Paramètres!$A$1:$I$89,3,0)*0.475*44/12</f>
        <v>5.9323399684547429</v>
      </c>
      <c r="ED37" s="22">
        <f t="shared" si="18"/>
        <v>17.432752990321724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13.7</v>
      </c>
      <c r="EJ37" s="12">
        <f>IF('Données projet'!$A$192&gt;35,EJ36+EI37-ER36,IF(A37&lt;'Données projet'!$A$192,$EG$205^A37,IF(A37='Données projet'!$A$192,'Données projet'!$B$192,EJ36+EI37-ER36)))</f>
        <v>202.79999999999995</v>
      </c>
      <c r="EK37" s="17">
        <f>EJ37*VLOOKUP('Données projet'!$B$15,Paramètres!$A$1:$I$89,3,0)*VLOOKUP('Données projet'!$B$15,Paramètres!$A$1:$I$89,5,0)</f>
        <v>121.27439999999999</v>
      </c>
      <c r="EL37" s="13">
        <f t="shared" si="45"/>
        <v>31.972049173215385</v>
      </c>
      <c r="EM37" s="20">
        <f t="shared" si="19"/>
        <v>266.90423231001677</v>
      </c>
      <c r="EN37" s="59">
        <f t="shared" si="20"/>
        <v>560.23756564335008</v>
      </c>
      <c r="EO37" s="59">
        <f ca="1">AVERAGE(OFFSET($EN$3,0,0,'Données projet'!$E$15+1,1))-AVERAGE(OFFSET($H$3,0,0,'Données projet'!$E$15+1,1))</f>
        <v>247.30892363953825</v>
      </c>
      <c r="EP37" s="59">
        <f t="shared" si="46"/>
        <v>248.38414731596578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11.500413021866981</v>
      </c>
      <c r="EX37" s="21">
        <f>EXP(-LN(2)/2)*EX36+(1-EXP(-LN(2)/2))/(LN(2)/2)*ER37*EU37*VLOOKUP('Données projet'!$B$15,Paramètres!$A$1:$I$89,3,0)*0.475*44/12</f>
        <v>5.9323399684547429</v>
      </c>
      <c r="EY37" s="22">
        <f t="shared" si="21"/>
        <v>17.432752990321724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22.6</v>
      </c>
      <c r="FE37" s="12">
        <f>IF('Données projet'!$A$218&gt;35,FE36+FD37-FM36,IF(A37&lt;'Données projet'!$A$218,$FB$205^A37,IF(A37='Données projet'!$A$218,'Données projet'!$B$218,FE36+FD37-FM36)))</f>
        <v>312.40000000000003</v>
      </c>
      <c r="FF37" s="17">
        <f>FE37*VLOOKUP('Données projet'!$B$16,Paramètres!$A$1:$I$89,3,0)*VLOOKUP('Données projet'!$B$16,Paramètres!$A$1:$I$89,5,0)</f>
        <v>150.26440000000002</v>
      </c>
      <c r="FG37" s="13">
        <f t="shared" si="47"/>
        <v>38.63866530961765</v>
      </c>
      <c r="FH37" s="20">
        <f t="shared" si="22"/>
        <v>329.00617208091745</v>
      </c>
      <c r="FI37" s="59">
        <f t="shared" si="23"/>
        <v>622.33950541425077</v>
      </c>
      <c r="FJ37" s="59">
        <f ca="1">AVERAGE(OFFSET($FI$3,0,0,'Données projet'!$E$16+1,1))-AVERAGE(OFFSET($H$3,0,0,'Données projet'!$E$16+1,1))</f>
        <v>322.54393676667081</v>
      </c>
      <c r="FK37" s="59">
        <f t="shared" si="48"/>
        <v>296.73904998640018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6.2249221284588359</v>
      </c>
      <c r="FR37" s="21">
        <f>EXP(-LN(2)/25)*FR36+(1-EXP(-LN(2)/25))/(LN(2)/25)*Calculateur!FM37*Calculateur!FO37*VLOOKUP('Données projet'!$B$16,Paramètres!$A$1:$I$89,3,0)*0.475*44/12</f>
        <v>12.014043199345391</v>
      </c>
      <c r="FS37" s="21">
        <f>EXP(-LN(2)/2)*FS36+(1-EXP(-LN(2)/2))/(LN(2)/2)*FM37*FP37*VLOOKUP('Données projet'!$B$16,Paramètres!$A$1:$I$89,3,0)*0.475*44/12</f>
        <v>5.2281958570582088</v>
      </c>
      <c r="FT37" s="22">
        <f t="shared" si="24"/>
        <v>23.467161184862434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725.59453043205838</v>
      </c>
      <c r="S38" s="59">
        <f ca="1">AVERAGE(OFFSET($R$3,0,0,'Données projet'!$E$9+1,1))-AVERAGE(OFFSET($H$3,0,0,'Données projet'!$E$9+1,1))</f>
        <v>401.06118089678654</v>
      </c>
      <c r="T38" s="59">
        <f t="shared" si="34"/>
        <v>399.58193819355591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13.3</v>
      </c>
      <c r="AI38" s="13">
        <f>IF('Données projet'!$A$62&gt;35,AI37+AH38-AQ37,IF(A38&lt;'Données projet'!$A$62,$AF$205^A38,IF(A38='Données projet'!$A$62,'Données projet'!$B$62,AI37+AH38-AQ37)))</f>
        <v>216.50000000000011</v>
      </c>
      <c r="AJ38" s="13">
        <f>AI38*VLOOKUP('Données projet'!$B$10,Paramètres!$A$1:$I$89,3,0)*VLOOKUP('Données projet'!$B$10,Paramètres!$A$1:$I$89,5,0)</f>
        <v>135.09600000000006</v>
      </c>
      <c r="AK38" s="13">
        <f t="shared" si="35"/>
        <v>35.171247228284784</v>
      </c>
      <c r="AL38" s="20">
        <f t="shared" si="4"/>
        <v>296.54878892259609</v>
      </c>
      <c r="AM38" s="59">
        <f t="shared" si="5"/>
        <v>589.8821222559294</v>
      </c>
      <c r="AN38" s="59">
        <f ca="1">AVERAGE(OFFSET($AM$3,0,0,'Données projet'!$E$10+1,1))-AVERAGE(OFFSET($H$3,0,0,'Données projet'!$E$10+1,1))</f>
        <v>240.30073883588199</v>
      </c>
      <c r="AO38" s="59">
        <f t="shared" si="36"/>
        <v>263.20351282678843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6.2977866952970194</v>
      </c>
      <c r="AV38" s="21">
        <f>EXP(-LN(2)/25)*AV37+(1-EXP(-LN(2)/25))/(LN(2)/25)*Calculateur!AQ38*Calculateur!AS38*VLOOKUP('Données projet'!$B$10,Paramètres!$A$1:$I$89,3,0)*0.475*44/12</f>
        <v>18.096925417721636</v>
      </c>
      <c r="AW38" s="21">
        <f>EXP(-LN(2)/2)*AW37+(1-EXP(-LN(2)/2))/(LN(2)/2)*AQ38*AT38*VLOOKUP('Données projet'!$B$10,Paramètres!$A$1:$I$89,3,0)*0.475*44/12</f>
        <v>3.5692656400908547</v>
      </c>
      <c r="AX38" s="21">
        <f t="shared" si="6"/>
        <v>27.963977753109511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25.3</v>
      </c>
      <c r="BD38" s="12">
        <f>IF('Données projet'!$A$88&gt;35,BD37+BC38-BL37,IF(A38&lt;'Données projet'!$A$88,$BA$205^A38,IF(A38='Données projet'!$A$88,'Données projet'!$B$88,BD37+BC38-BL37)))</f>
        <v>372.49999999999994</v>
      </c>
      <c r="BE38" s="13">
        <f>BD38*VLOOKUP('Données projet'!$B$11,Paramètres!$A$1:$I$89,3,0)*VLOOKUP('Données projet'!$B$11,Paramètres!$A$1:$I$89,5,0)</f>
        <v>179.17249999999999</v>
      </c>
      <c r="BF38" s="13">
        <f t="shared" si="37"/>
        <v>45.138033319444268</v>
      </c>
      <c r="BG38" s="20">
        <f t="shared" si="7"/>
        <v>390.67417886469872</v>
      </c>
      <c r="BH38" s="59">
        <f t="shared" si="8"/>
        <v>684.00751219803203</v>
      </c>
      <c r="BI38" s="59">
        <f ca="1">AVERAGE(OFFSET($BH$3,0,0,'Données projet'!$E$11+1,1))-AVERAGE(OFFSET($H$3,0,0,'Données projet'!$E$11+1,1))</f>
        <v>364.67510777943329</v>
      </c>
      <c r="BJ38" s="59">
        <f t="shared" si="38"/>
        <v>352.13878061387169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8.0099974530808993</v>
      </c>
      <c r="BQ38" s="21">
        <f>EXP(-LN(2)/25)*BQ37+(1-EXP(-LN(2)/25))/(LN(2)/25)*Calculateur!BL38*Calculateur!BN38*VLOOKUP('Données projet'!$B$11,Paramètres!$A$1:$I$89,3,0)*0.475*44/12</f>
        <v>15.683179317289541</v>
      </c>
      <c r="BR38" s="21">
        <f>EXP(-LN(2)/2)*BR37+(1-EXP(-LN(2)/2))/(LN(2)/2)*BL38*BO38*VLOOKUP('Données projet'!$B$11,Paramètres!$A$1:$I$89,3,0)*0.475*44/12</f>
        <v>4.8566845348904391</v>
      </c>
      <c r="BS38" s="22">
        <f t="shared" si="9"/>
        <v>28.549861305260883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10.000000000000004</v>
      </c>
      <c r="BY38" s="12">
        <f>IF('Données projet'!$A$114&gt;35,BY37+BX38-CG37,IF(A38&lt;'Données projet'!$A$114,$BV$205^A38,IF(A38='Données projet'!$A$114,'Données projet'!$B$114,BY37+BX38-CG37)))</f>
        <v>241.59999999999988</v>
      </c>
      <c r="BZ38" s="13">
        <f>BY38*VLOOKUP('Données projet'!$B$12,Paramètres!$A$1:$I$89,3,0)*VLOOKUP('Données projet'!$B$12,Paramètres!$A$1:$I$89,5,0)</f>
        <v>113.06879999999995</v>
      </c>
      <c r="CA38" s="13">
        <f t="shared" si="39"/>
        <v>30.052855829090237</v>
      </c>
      <c r="CB38" s="20">
        <f t="shared" si="10"/>
        <v>249.27021723566543</v>
      </c>
      <c r="CC38" s="59">
        <f t="shared" si="11"/>
        <v>542.6035505689988</v>
      </c>
      <c r="CD38" s="59">
        <f ca="1">AVERAGE(OFFSET($CC$3,0,0,'Données projet'!$E$12+1,1))-AVERAGE(OFFSET($H$3,0,0,'Données projet'!$E$12+1,1))</f>
        <v>252.98248842635206</v>
      </c>
      <c r="CE38" s="59">
        <f t="shared" si="40"/>
        <v>207.11938580878308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2.8390647343352371</v>
      </c>
      <c r="CL38" s="21">
        <f>EXP(-LN(2)/25)*CL37+(1-EXP(-LN(2)/25))/(LN(2)/25)*Calculateur!CG38*Calculateur!CI38*VLOOKUP('Données projet'!$B$12,Paramètres!$A$1:$I$89,3,0)*0.475*44/12</f>
        <v>6.8385789183214278</v>
      </c>
      <c r="CM38" s="21">
        <f>EXP(-LN(2)/2)*CM37+(1-EXP(-LN(2)/2))/(LN(2)/2)*CG38*CJ38*VLOOKUP('Données projet'!$B$12,Paramètres!$A$1:$I$89,3,0)*0.475*44/12</f>
        <v>1.738099665760044</v>
      </c>
      <c r="CN38" s="22">
        <f t="shared" si="12"/>
        <v>11.415743318416709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22</v>
      </c>
      <c r="CT38" s="12">
        <f>IF('Données projet'!$A$140&gt;35,CT37+CS38-DB37,IF(A38&lt;'Données projet'!$A$140,$CQ$205^A38,IF(A38='Données projet'!$A$140,'Données projet'!$B$140,CT37+CS38-DB37)))</f>
        <v>318.99999999999989</v>
      </c>
      <c r="CU38" s="17">
        <f>CT38*VLOOKUP('Données projet'!$B$13,Paramètres!$A$1:$I$89,3,0)*VLOOKUP('Données projet'!$B$13,Paramètres!$A$1:$I$89,5,0)</f>
        <v>178.32099999999994</v>
      </c>
      <c r="CV38" s="13">
        <f t="shared" si="41"/>
        <v>44.948436103175418</v>
      </c>
      <c r="CW38" s="20">
        <f t="shared" si="13"/>
        <v>388.86093454636375</v>
      </c>
      <c r="CX38" s="59">
        <f t="shared" si="14"/>
        <v>682.19426787969701</v>
      </c>
      <c r="CY38" s="59">
        <f ca="1">AVERAGE(OFFSET($CX$3,0,0,'Données projet'!$E$13+1,1))-AVERAGE(OFFSET($H$3,0,0,'Données projet'!$E$13+1,1))</f>
        <v>356.67698551373468</v>
      </c>
      <c r="CZ38" s="59">
        <f t="shared" si="42"/>
        <v>353.21836615408171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4.1372959817715156</v>
      </c>
      <c r="DG38" s="21">
        <f>EXP(-LN(2)/25)*DG37+(1-EXP(-LN(2)/25))/(LN(2)/25)*Calculateur!DB38*Calculateur!DD38*VLOOKUP('Données projet'!$B$13,Paramètres!$A$1:$I$89,3,0)*0.475*44/12</f>
        <v>26.267077111478574</v>
      </c>
      <c r="DH38" s="21">
        <f>EXP(-LN(2)/2)*DH37+(1-EXP(-LN(2)/2))/(LN(2)/2)*DB38*DE38*VLOOKUP('Données projet'!$B$13,Paramètres!$A$1:$I$89,3,0)*0.475*44/12</f>
        <v>5.7491473062707286</v>
      </c>
      <c r="DI38" s="22">
        <f t="shared" si="15"/>
        <v>36.153520399520815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13.7</v>
      </c>
      <c r="DO38" s="12">
        <f>IF('Données projet'!$A$166&gt;35,DO37+DN38-DW37,IF(A38&lt;'Données projet'!$A$166,$DL$205^A38,IF(A38='Données projet'!$A$166,'Données projet'!$B$166,DO37+DN38-DW37)))</f>
        <v>216.49999999999994</v>
      </c>
      <c r="DP38" s="17">
        <f>DO38*VLOOKUP('Données projet'!$B$14,Paramètres!$A$1:$I$89,3,0)*VLOOKUP('Données projet'!$B$14,Paramètres!$A$1:$I$89,5,0)</f>
        <v>129.46699999999998</v>
      </c>
      <c r="DQ38" s="13">
        <f t="shared" si="43"/>
        <v>33.873169248083329</v>
      </c>
      <c r="DR38" s="20">
        <f t="shared" si="16"/>
        <v>284.48412810707845</v>
      </c>
      <c r="DS38" s="59">
        <f t="shared" si="17"/>
        <v>577.81746144041176</v>
      </c>
      <c r="DT38" s="59">
        <f ca="1">AVERAGE(OFFSET($DS$3,0,0,'Données projet'!$E$14+1,1))-AVERAGE(OFFSET($H$3,0,0,'Données projet'!$E$14+1,1))</f>
        <v>247.30892363953825</v>
      </c>
      <c r="DU38" s="59">
        <f t="shared" si="44"/>
        <v>248.38414731596578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11.185933623003592</v>
      </c>
      <c r="EC38" s="21">
        <f>EXP(-LN(2)/2)*EC37+(1-EXP(-LN(2)/2))/(LN(2)/2)*DW38*DZ38*VLOOKUP('Données projet'!$B$14,Paramètres!$A$1:$I$89,3,0)*0.475*44/12</f>
        <v>4.194797819998338</v>
      </c>
      <c r="ED38" s="22">
        <f t="shared" si="18"/>
        <v>15.380731443001931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13.7</v>
      </c>
      <c r="EJ38" s="12">
        <f>IF('Données projet'!$A$192&gt;35,EJ37+EI38-ER37,IF(A38&lt;'Données projet'!$A$192,$EG$205^A38,IF(A38='Données projet'!$A$192,'Données projet'!$B$192,EJ37+EI38-ER37)))</f>
        <v>216.49999999999994</v>
      </c>
      <c r="EK38" s="17">
        <f>EJ38*VLOOKUP('Données projet'!$B$15,Paramètres!$A$1:$I$89,3,0)*VLOOKUP('Données projet'!$B$15,Paramètres!$A$1:$I$89,5,0)</f>
        <v>129.46699999999998</v>
      </c>
      <c r="EL38" s="13">
        <f t="shared" si="45"/>
        <v>33.873169248083329</v>
      </c>
      <c r="EM38" s="20">
        <f t="shared" si="19"/>
        <v>284.48412810707845</v>
      </c>
      <c r="EN38" s="59">
        <f t="shared" si="20"/>
        <v>577.81746144041176</v>
      </c>
      <c r="EO38" s="59">
        <f ca="1">AVERAGE(OFFSET($EN$3,0,0,'Données projet'!$E$15+1,1))-AVERAGE(OFFSET($H$3,0,0,'Données projet'!$E$15+1,1))</f>
        <v>247.30892363953825</v>
      </c>
      <c r="EP38" s="59">
        <f t="shared" si="46"/>
        <v>248.38414731596578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11.185933623003592</v>
      </c>
      <c r="EX38" s="21">
        <f>EXP(-LN(2)/2)*EX37+(1-EXP(-LN(2)/2))/(LN(2)/2)*ER38*EU38*VLOOKUP('Données projet'!$B$15,Paramètres!$A$1:$I$89,3,0)*0.475*44/12</f>
        <v>4.194797819998338</v>
      </c>
      <c r="EY38" s="22">
        <f t="shared" si="21"/>
        <v>15.380731443001931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22.6</v>
      </c>
      <c r="FE38" s="12">
        <f>IF('Données projet'!$A$218&gt;35,FE37+FD38-FM37,IF(A38&lt;'Données projet'!$A$218,$FB$205^A38,IF(A38='Données projet'!$A$218,'Données projet'!$B$218,FE37+FD38-FM37)))</f>
        <v>335.00000000000006</v>
      </c>
      <c r="FF38" s="17">
        <f>FE38*VLOOKUP('Données projet'!$B$16,Paramètres!$A$1:$I$89,3,0)*VLOOKUP('Données projet'!$B$16,Paramètres!$A$1:$I$89,5,0)</f>
        <v>161.13500000000002</v>
      </c>
      <c r="FG38" s="13">
        <f t="shared" si="47"/>
        <v>41.098412410626828</v>
      </c>
      <c r="FH38" s="20">
        <f t="shared" si="22"/>
        <v>352.22319328184176</v>
      </c>
      <c r="FI38" s="59">
        <f t="shared" si="23"/>
        <v>645.55652661517502</v>
      </c>
      <c r="FJ38" s="59">
        <f ca="1">AVERAGE(OFFSET($FI$3,0,0,'Données projet'!$E$16+1,1))-AVERAGE(OFFSET($H$3,0,0,'Données projet'!$E$16+1,1))</f>
        <v>322.54393676667081</v>
      </c>
      <c r="FK38" s="59">
        <f t="shared" si="48"/>
        <v>296.73904998640018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6.1028552023473512</v>
      </c>
      <c r="FR38" s="21">
        <f>EXP(-LN(2)/25)*FR37+(1-EXP(-LN(2)/25))/(LN(2)/25)*Calculateur!FM38*Calculateur!FO38*VLOOKUP('Données projet'!$B$16,Paramètres!$A$1:$I$89,3,0)*0.475*44/12</f>
        <v>11.685518556268217</v>
      </c>
      <c r="FS38" s="21">
        <f>EXP(-LN(2)/2)*FS37+(1-EXP(-LN(2)/2))/(LN(2)/2)*FM38*FP38*VLOOKUP('Données projet'!$B$16,Paramètres!$A$1:$I$89,3,0)*0.475*44/12</f>
        <v>3.6968927438972732</v>
      </c>
      <c r="FT38" s="22">
        <f t="shared" si="24"/>
        <v>21.485266502512843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754.43586334028123</v>
      </c>
      <c r="S39" s="59">
        <f ca="1">AVERAGE(OFFSET($R$3,0,0,'Données projet'!$E$9+1,1))-AVERAGE(OFFSET($H$3,0,0,'Données projet'!$E$9+1,1))</f>
        <v>401.06118089678654</v>
      </c>
      <c r="T39" s="59">
        <f t="shared" si="34"/>
        <v>399.58193819355591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13.3</v>
      </c>
      <c r="AI39" s="13">
        <f>IF('Données projet'!$A$62&gt;35,AI38+AH39-AQ38,IF(A39&lt;'Données projet'!$A$62,$AF$205^A39,IF(A39='Données projet'!$A$62,'Données projet'!$B$62,AI38+AH39-AQ38)))</f>
        <v>229.80000000000013</v>
      </c>
      <c r="AJ39" s="13">
        <f>AI39*VLOOKUP('Données projet'!$B$10,Paramètres!$A$1:$I$89,3,0)*VLOOKUP('Données projet'!$B$10,Paramètres!$A$1:$I$89,5,0)</f>
        <v>143.39520000000007</v>
      </c>
      <c r="AK39" s="13">
        <f t="shared" si="35"/>
        <v>37.073710117899822</v>
      </c>
      <c r="AL39" s="20">
        <f t="shared" si="4"/>
        <v>314.31668512200895</v>
      </c>
      <c r="AM39" s="59">
        <f t="shared" si="5"/>
        <v>607.65001845534221</v>
      </c>
      <c r="AN39" s="59">
        <f ca="1">AVERAGE(OFFSET($AM$3,0,0,'Données projet'!$E$10+1,1))-AVERAGE(OFFSET($H$3,0,0,'Données projet'!$E$10+1,1))</f>
        <v>240.30073883588199</v>
      </c>
      <c r="AO39" s="59">
        <f t="shared" si="36"/>
        <v>263.20351282678843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6.1742909394728347</v>
      </c>
      <c r="AV39" s="21">
        <f>EXP(-LN(2)/25)*AV38+(1-EXP(-LN(2)/25))/(LN(2)/25)*Calculateur!AQ39*Calculateur!AS39*VLOOKUP('Données projet'!$B$10,Paramètres!$A$1:$I$89,3,0)*0.475*44/12</f>
        <v>17.602064040498092</v>
      </c>
      <c r="AW39" s="21">
        <f>EXP(-LN(2)/2)*AW38+(1-EXP(-LN(2)/2))/(LN(2)/2)*AQ39*AT39*VLOOKUP('Données projet'!$B$10,Paramètres!$A$1:$I$89,3,0)*0.475*44/12</f>
        <v>2.5238519379643867</v>
      </c>
      <c r="AX39" s="21">
        <f t="shared" si="6"/>
        <v>26.300206917935313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25.3</v>
      </c>
      <c r="BD39" s="12">
        <f>IF('Données projet'!$A$88&gt;35,BD38+BC39-BL38,IF(A39&lt;'Données projet'!$A$88,$BA$205^A39,IF(A39='Données projet'!$A$88,'Données projet'!$B$88,BD38+BC39-BL38)))</f>
        <v>397.79999999999995</v>
      </c>
      <c r="BE39" s="13">
        <f>BD39*VLOOKUP('Données projet'!$B$11,Paramètres!$A$1:$I$89,3,0)*VLOOKUP('Données projet'!$B$11,Paramètres!$A$1:$I$89,5,0)</f>
        <v>191.34179999999998</v>
      </c>
      <c r="BF39" s="13">
        <f t="shared" si="37"/>
        <v>47.836484170643416</v>
      </c>
      <c r="BG39" s="20">
        <f t="shared" si="7"/>
        <v>416.56884493053718</v>
      </c>
      <c r="BH39" s="59">
        <f t="shared" si="8"/>
        <v>709.9021782638705</v>
      </c>
      <c r="BI39" s="59">
        <f ca="1">AVERAGE(OFFSET($BH$3,0,0,'Données projet'!$E$11+1,1))-AVERAGE(OFFSET($H$3,0,0,'Données projet'!$E$11+1,1))</f>
        <v>364.67510777943329</v>
      </c>
      <c r="BJ39" s="59">
        <f t="shared" si="38"/>
        <v>352.13878061387169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7.8529262886420144</v>
      </c>
      <c r="BQ39" s="21">
        <f>EXP(-LN(2)/25)*BQ38+(1-EXP(-LN(2)/25))/(LN(2)/25)*Calculateur!BL39*Calculateur!BN39*VLOOKUP('Données projet'!$B$11,Paramètres!$A$1:$I$89,3,0)*0.475*44/12</f>
        <v>15.254321954115703</v>
      </c>
      <c r="BR39" s="21">
        <f>EXP(-LN(2)/2)*BR38+(1-EXP(-LN(2)/2))/(LN(2)/2)*BL39*BO39*VLOOKUP('Données projet'!$B$11,Paramètres!$A$1:$I$89,3,0)*0.475*44/12</f>
        <v>3.4341945687048634</v>
      </c>
      <c r="BS39" s="22">
        <f t="shared" si="9"/>
        <v>26.541442811462581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10.000000000000004</v>
      </c>
      <c r="BY39" s="12">
        <f>IF('Données projet'!$A$114&gt;35,BY38+BX39-CG38,IF(A39&lt;'Données projet'!$A$114,$BV$205^A39,IF(A39='Données projet'!$A$114,'Données projet'!$B$114,BY38+BX39-CG38)))</f>
        <v>251.59999999999988</v>
      </c>
      <c r="BZ39" s="13">
        <f>BY39*VLOOKUP('Données projet'!$B$12,Paramètres!$A$1:$I$89,3,0)*VLOOKUP('Données projet'!$B$12,Paramètres!$A$1:$I$89,5,0)</f>
        <v>117.74879999999995</v>
      </c>
      <c r="CA39" s="13">
        <f t="shared" si="39"/>
        <v>31.149366548366</v>
      </c>
      <c r="CB39" s="20">
        <f t="shared" si="10"/>
        <v>259.33097340507067</v>
      </c>
      <c r="CC39" s="59">
        <f t="shared" si="11"/>
        <v>552.66430673840398</v>
      </c>
      <c r="CD39" s="59">
        <f ca="1">AVERAGE(OFFSET($CC$3,0,0,'Données projet'!$E$12+1,1))-AVERAGE(OFFSET($H$3,0,0,'Données projet'!$E$12+1,1))</f>
        <v>252.98248842635206</v>
      </c>
      <c r="CE39" s="59">
        <f t="shared" si="40"/>
        <v>207.11938580878308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2.7833924065534239</v>
      </c>
      <c r="CL39" s="21">
        <f>EXP(-LN(2)/25)*CL38+(1-EXP(-LN(2)/25))/(LN(2)/25)*Calculateur!CG39*Calculateur!CI39*VLOOKUP('Données projet'!$B$12,Paramètres!$A$1:$I$89,3,0)*0.475*44/12</f>
        <v>6.6515776181746933</v>
      </c>
      <c r="CM39" s="21">
        <f>EXP(-LN(2)/2)*CM38+(1-EXP(-LN(2)/2))/(LN(2)/2)*CG39*CJ39*VLOOKUP('Données projet'!$B$12,Paramètres!$A$1:$I$89,3,0)*0.475*44/12</f>
        <v>1.229022060036999</v>
      </c>
      <c r="CN39" s="22">
        <f t="shared" si="12"/>
        <v>10.663992084765116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22</v>
      </c>
      <c r="CT39" s="12">
        <f>IF('Données projet'!$A$140&gt;35,CT38+CS39-DB38,IF(A39&lt;'Données projet'!$A$140,$CQ$205^A39,IF(A39='Données projet'!$A$140,'Données projet'!$B$140,CT38+CS39-DB38)))</f>
        <v>340.99999999999989</v>
      </c>
      <c r="CU39" s="17">
        <f>CT39*VLOOKUP('Données projet'!$B$13,Paramètres!$A$1:$I$89,3,0)*VLOOKUP('Données projet'!$B$13,Paramètres!$A$1:$I$89,5,0)</f>
        <v>190.61899999999991</v>
      </c>
      <c r="CV39" s="13">
        <f t="shared" si="41"/>
        <v>47.676779045481801</v>
      </c>
      <c r="CW39" s="20">
        <f t="shared" si="13"/>
        <v>415.03181517088063</v>
      </c>
      <c r="CX39" s="59">
        <f t="shared" si="14"/>
        <v>708.36514850421395</v>
      </c>
      <c r="CY39" s="59">
        <f ca="1">AVERAGE(OFFSET($CX$3,0,0,'Données projet'!$E$13+1,1))-AVERAGE(OFFSET($H$3,0,0,'Données projet'!$E$13+1,1))</f>
        <v>356.67698551373468</v>
      </c>
      <c r="CZ39" s="59">
        <f t="shared" si="42"/>
        <v>353.21836615408171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4.0561661310703503</v>
      </c>
      <c r="DG39" s="21">
        <f>EXP(-LN(2)/25)*DG38+(1-EXP(-LN(2)/25))/(LN(2)/25)*Calculateur!DB39*Calculateur!DD39*VLOOKUP('Données projet'!$B$13,Paramètres!$A$1:$I$89,3,0)*0.475*44/12</f>
        <v>25.548802506539641</v>
      </c>
      <c r="DH39" s="21">
        <f>EXP(-LN(2)/2)*DH38+(1-EXP(-LN(2)/2))/(LN(2)/2)*DB39*DE39*VLOOKUP('Données projet'!$B$13,Paramètres!$A$1:$I$89,3,0)*0.475*44/12</f>
        <v>4.0652610463044052</v>
      </c>
      <c r="DI39" s="22">
        <f t="shared" si="15"/>
        <v>33.6702296839144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13.7</v>
      </c>
      <c r="DO39" s="12">
        <f>IF('Données projet'!$A$166&gt;35,DO38+DN39-DW38,IF(A39&lt;'Données projet'!$A$166,$DL$205^A39,IF(A39='Données projet'!$A$166,'Données projet'!$B$166,DO38+DN39-DW38)))</f>
        <v>230.19999999999993</v>
      </c>
      <c r="DP39" s="17">
        <f>DO39*VLOOKUP('Données projet'!$B$14,Paramètres!$A$1:$I$89,3,0)*VLOOKUP('Données projet'!$B$14,Paramètres!$A$1:$I$89,5,0)</f>
        <v>137.65959999999995</v>
      </c>
      <c r="DQ39" s="13">
        <f t="shared" si="43"/>
        <v>35.760327802577585</v>
      </c>
      <c r="DR39" s="20">
        <f t="shared" si="16"/>
        <v>302.03970758948918</v>
      </c>
      <c r="DS39" s="59">
        <f t="shared" si="17"/>
        <v>595.3730409228225</v>
      </c>
      <c r="DT39" s="59">
        <f ca="1">AVERAGE(OFFSET($DS$3,0,0,'Données projet'!$E$14+1,1))-AVERAGE(OFFSET($H$3,0,0,'Données projet'!$E$14+1,1))</f>
        <v>247.30892363953825</v>
      </c>
      <c r="DU39" s="59">
        <f t="shared" si="44"/>
        <v>248.38414731596578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10.880053679839875</v>
      </c>
      <c r="EC39" s="21">
        <f>EXP(-LN(2)/2)*EC38+(1-EXP(-LN(2)/2))/(LN(2)/2)*DW39*DZ39*VLOOKUP('Données projet'!$B$14,Paramètres!$A$1:$I$89,3,0)*0.475*44/12</f>
        <v>2.9661699842273714</v>
      </c>
      <c r="ED39" s="22">
        <f t="shared" si="18"/>
        <v>13.846223664067246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13.7</v>
      </c>
      <c r="EJ39" s="12">
        <f>IF('Données projet'!$A$192&gt;35,EJ38+EI39-ER38,IF(A39&lt;'Données projet'!$A$192,$EG$205^A39,IF(A39='Données projet'!$A$192,'Données projet'!$B$192,EJ38+EI39-ER38)))</f>
        <v>230.19999999999993</v>
      </c>
      <c r="EK39" s="17">
        <f>EJ39*VLOOKUP('Données projet'!$B$15,Paramètres!$A$1:$I$89,3,0)*VLOOKUP('Données projet'!$B$15,Paramètres!$A$1:$I$89,5,0)</f>
        <v>137.65959999999995</v>
      </c>
      <c r="EL39" s="13">
        <f t="shared" si="45"/>
        <v>35.760327802577585</v>
      </c>
      <c r="EM39" s="20">
        <f t="shared" si="19"/>
        <v>302.03970758948918</v>
      </c>
      <c r="EN39" s="59">
        <f t="shared" si="20"/>
        <v>595.3730409228225</v>
      </c>
      <c r="EO39" s="59">
        <f ca="1">AVERAGE(OFFSET($EN$3,0,0,'Données projet'!$E$15+1,1))-AVERAGE(OFFSET($H$3,0,0,'Données projet'!$E$15+1,1))</f>
        <v>247.30892363953825</v>
      </c>
      <c r="EP39" s="59">
        <f t="shared" si="46"/>
        <v>248.38414731596578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10.880053679839875</v>
      </c>
      <c r="EX39" s="21">
        <f>EXP(-LN(2)/2)*EX38+(1-EXP(-LN(2)/2))/(LN(2)/2)*ER39*EU39*VLOOKUP('Données projet'!$B$15,Paramètres!$A$1:$I$89,3,0)*0.475*44/12</f>
        <v>2.9661699842273714</v>
      </c>
      <c r="EY39" s="22">
        <f t="shared" si="21"/>
        <v>13.846223664067246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22.6</v>
      </c>
      <c r="FE39" s="12">
        <f>IF('Données projet'!$A$218&gt;35,FE38+FD39-FM38,IF(A39&lt;'Données projet'!$A$218,$FB$205^A39,IF(A39='Données projet'!$A$218,'Données projet'!$B$218,FE38+FD39-FM38)))</f>
        <v>357.60000000000008</v>
      </c>
      <c r="FF39" s="17">
        <f>FE39*VLOOKUP('Données projet'!$B$16,Paramètres!$A$1:$I$89,3,0)*VLOOKUP('Données projet'!$B$16,Paramètres!$A$1:$I$89,5,0)</f>
        <v>172.00560000000007</v>
      </c>
      <c r="FG39" s="13">
        <f t="shared" si="47"/>
        <v>43.538904190786205</v>
      </c>
      <c r="FH39" s="20">
        <f t="shared" si="22"/>
        <v>375.40667813228606</v>
      </c>
      <c r="FI39" s="59">
        <f t="shared" si="23"/>
        <v>668.74001146561932</v>
      </c>
      <c r="FJ39" s="59">
        <f ca="1">AVERAGE(OFFSET($FI$3,0,0,'Données projet'!$E$16+1,1))-AVERAGE(OFFSET($H$3,0,0,'Données projet'!$E$16+1,1))</f>
        <v>322.54393676667081</v>
      </c>
      <c r="FK39" s="59">
        <f t="shared" si="48"/>
        <v>296.73904998640018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5.9831819342034391</v>
      </c>
      <c r="FR39" s="21">
        <f>EXP(-LN(2)/25)*FR38+(1-EXP(-LN(2)/25))/(LN(2)/25)*Calculateur!FM39*Calculateur!FO39*VLOOKUP('Données projet'!$B$16,Paramètres!$A$1:$I$89,3,0)*0.475*44/12</f>
        <v>11.365977436832349</v>
      </c>
      <c r="FS39" s="21">
        <f>EXP(-LN(2)/2)*FS38+(1-EXP(-LN(2)/2))/(LN(2)/2)*FM39*FP39*VLOOKUP('Données projet'!$B$16,Paramètres!$A$1:$I$89,3,0)*0.475*44/12</f>
        <v>2.6140979285291044</v>
      </c>
      <c r="FT39" s="22">
        <f t="shared" si="24"/>
        <v>19.963257299564894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783.23871166662536</v>
      </c>
      <c r="S40" s="59">
        <f ca="1">AVERAGE(OFFSET($R$3,0,0,'Données projet'!$E$9+1,1))-AVERAGE(OFFSET($H$3,0,0,'Données projet'!$E$9+1,1))</f>
        <v>401.06118089678654</v>
      </c>
      <c r="T40" s="59">
        <f t="shared" si="34"/>
        <v>399.58193819355591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13.3</v>
      </c>
      <c r="AI40" s="13">
        <f>IF('Données projet'!$A$62&gt;35,AI39+AH40-AQ39,IF(A40&lt;'Données projet'!$A$62,$AF$205^A40,IF(A40='Données projet'!$A$62,'Données projet'!$B$62,AI39+AH40-AQ39)))</f>
        <v>243.10000000000014</v>
      </c>
      <c r="AJ40" s="13">
        <f>AI40*VLOOKUP('Données projet'!$B$10,Paramètres!$A$1:$I$89,3,0)*VLOOKUP('Données projet'!$B$10,Paramètres!$A$1:$I$89,5,0)</f>
        <v>151.69440000000009</v>
      </c>
      <c r="AK40" s="13">
        <f t="shared" si="35"/>
        <v>38.963392010880654</v>
      </c>
      <c r="AL40" s="20">
        <f t="shared" si="4"/>
        <v>332.06232108561727</v>
      </c>
      <c r="AM40" s="59">
        <f t="shared" si="5"/>
        <v>625.39565441895058</v>
      </c>
      <c r="AN40" s="59">
        <f ca="1">AVERAGE(OFFSET($AM$3,0,0,'Données projet'!$E$10+1,1))-AVERAGE(OFFSET($H$3,0,0,'Données projet'!$E$10+1,1))</f>
        <v>240.30073883588199</v>
      </c>
      <c r="AO40" s="59">
        <f t="shared" si="36"/>
        <v>263.20351282678843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6.0532168600953895</v>
      </c>
      <c r="AV40" s="21">
        <f>EXP(-LN(2)/25)*AV39+(1-EXP(-LN(2)/25))/(LN(2)/25)*Calculateur!AQ40*Calculateur!AS40*VLOOKUP('Données projet'!$B$10,Paramètres!$A$1:$I$89,3,0)*0.475*44/12</f>
        <v>17.120734673658355</v>
      </c>
      <c r="AW40" s="21">
        <f>EXP(-LN(2)/2)*AW39+(1-EXP(-LN(2)/2))/(LN(2)/2)*AQ40*AT40*VLOOKUP('Données projet'!$B$10,Paramètres!$A$1:$I$89,3,0)*0.475*44/12</f>
        <v>1.7846328200454276</v>
      </c>
      <c r="AX40" s="21">
        <f t="shared" si="6"/>
        <v>24.958584353799171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25.3</v>
      </c>
      <c r="BD40" s="12">
        <f>IF('Données projet'!$A$88&gt;35,BD39+BC40-BL39,IF(A40&lt;'Données projet'!$A$88,$BA$205^A40,IF(A40='Données projet'!$A$88,'Données projet'!$B$88,BD39+BC40-BL39)))</f>
        <v>423.09999999999997</v>
      </c>
      <c r="BE40" s="13">
        <f>BD40*VLOOKUP('Données projet'!$B$11,Paramètres!$A$1:$I$89,3,0)*VLOOKUP('Données projet'!$B$11,Paramètres!$A$1:$I$89,5,0)</f>
        <v>203.5111</v>
      </c>
      <c r="BF40" s="13">
        <f t="shared" si="37"/>
        <v>50.515017937063924</v>
      </c>
      <c r="BG40" s="20">
        <f t="shared" si="7"/>
        <v>442.42882207371969</v>
      </c>
      <c r="BH40" s="59">
        <f t="shared" si="8"/>
        <v>735.762155407053</v>
      </c>
      <c r="BI40" s="59">
        <f ca="1">AVERAGE(OFFSET($BH$3,0,0,'Données projet'!$E$11+1,1))-AVERAGE(OFFSET($H$3,0,0,'Données projet'!$E$11+1,1))</f>
        <v>364.67510777943329</v>
      </c>
      <c r="BJ40" s="59">
        <f t="shared" si="38"/>
        <v>352.13878061387169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7.698935193933826</v>
      </c>
      <c r="BQ40" s="21">
        <f>EXP(-LN(2)/25)*BQ39+(1-EXP(-LN(2)/25))/(LN(2)/25)*Calculateur!BL40*Calculateur!BN40*VLOOKUP('Données projet'!$B$11,Paramètres!$A$1:$I$89,3,0)*0.475*44/12</f>
        <v>14.837191718090482</v>
      </c>
      <c r="BR40" s="21">
        <f>EXP(-LN(2)/2)*BR39+(1-EXP(-LN(2)/2))/(LN(2)/2)*BL40*BO40*VLOOKUP('Données projet'!$B$11,Paramètres!$A$1:$I$89,3,0)*0.475*44/12</f>
        <v>2.42834226744522</v>
      </c>
      <c r="BS40" s="22">
        <f t="shared" si="9"/>
        <v>24.964469179469528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10.000000000000004</v>
      </c>
      <c r="BY40" s="12">
        <f>IF('Données projet'!$A$114&gt;35,BY39+BX40-CG39,IF(A40&lt;'Données projet'!$A$114,$BV$205^A40,IF(A40='Données projet'!$A$114,'Données projet'!$B$114,BY39+BX40-CG39)))</f>
        <v>261.59999999999991</v>
      </c>
      <c r="BZ40" s="13">
        <f>BY40*VLOOKUP('Données projet'!$B$12,Paramètres!$A$1:$I$89,3,0)*VLOOKUP('Données projet'!$B$12,Paramètres!$A$1:$I$89,5,0)</f>
        <v>122.42879999999995</v>
      </c>
      <c r="CA40" s="13">
        <f t="shared" si="39"/>
        <v>32.240814688958388</v>
      </c>
      <c r="CB40" s="20">
        <f t="shared" si="10"/>
        <v>269.38291224993577</v>
      </c>
      <c r="CC40" s="59">
        <f t="shared" si="11"/>
        <v>562.71624558326903</v>
      </c>
      <c r="CD40" s="59">
        <f ca="1">AVERAGE(OFFSET($CC$3,0,0,'Données projet'!$E$12+1,1))-AVERAGE(OFFSET($H$3,0,0,'Données projet'!$E$12+1,1))</f>
        <v>252.98248842635206</v>
      </c>
      <c r="CE40" s="59">
        <f t="shared" si="40"/>
        <v>207.11938580878308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2.7288117791626449</v>
      </c>
      <c r="CL40" s="21">
        <f>EXP(-LN(2)/25)*CL39+(1-EXP(-LN(2)/25))/(LN(2)/25)*Calculateur!CG40*Calculateur!CI40*VLOOKUP('Données projet'!$B$12,Paramètres!$A$1:$I$89,3,0)*0.475*44/12</f>
        <v>6.4696898784144414</v>
      </c>
      <c r="CM40" s="21">
        <f>EXP(-LN(2)/2)*CM39+(1-EXP(-LN(2)/2))/(LN(2)/2)*CG40*CJ40*VLOOKUP('Données projet'!$B$12,Paramètres!$A$1:$I$89,3,0)*0.475*44/12</f>
        <v>0.86904983288002213</v>
      </c>
      <c r="CN40" s="22">
        <f t="shared" si="12"/>
        <v>10.067551490457108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22</v>
      </c>
      <c r="CT40" s="12">
        <f>IF('Données projet'!$A$140&gt;35,CT39+CS40-DB39,IF(A40&lt;'Données projet'!$A$140,$CQ$205^A40,IF(A40='Données projet'!$A$140,'Données projet'!$B$140,CT39+CS40-DB39)))</f>
        <v>362.99999999999989</v>
      </c>
      <c r="CU40" s="17">
        <f>CT40*VLOOKUP('Données projet'!$B$13,Paramètres!$A$1:$I$89,3,0)*VLOOKUP('Données projet'!$B$13,Paramètres!$A$1:$I$89,5,0)</f>
        <v>202.91699999999994</v>
      </c>
      <c r="CV40" s="13">
        <f t="shared" si="41"/>
        <v>50.384694798587844</v>
      </c>
      <c r="CW40" s="20">
        <f t="shared" si="13"/>
        <v>441.16711844087371</v>
      </c>
      <c r="CX40" s="59">
        <f t="shared" si="14"/>
        <v>734.50045177420702</v>
      </c>
      <c r="CY40" s="59">
        <f ca="1">AVERAGE(OFFSET($CX$3,0,0,'Données projet'!$E$13+1,1))-AVERAGE(OFFSET($H$3,0,0,'Données projet'!$E$13+1,1))</f>
        <v>356.67698551373468</v>
      </c>
      <c r="CZ40" s="59">
        <f t="shared" si="42"/>
        <v>353.21836615408171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3.9766271872571117</v>
      </c>
      <c r="DG40" s="21">
        <f>EXP(-LN(2)/25)*DG39+(1-EXP(-LN(2)/25))/(LN(2)/25)*Calculateur!DB40*Calculateur!DD40*VLOOKUP('Données projet'!$B$13,Paramètres!$A$1:$I$89,3,0)*0.475*44/12</f>
        <v>24.850169158445183</v>
      </c>
      <c r="DH40" s="21">
        <f>EXP(-LN(2)/2)*DH39+(1-EXP(-LN(2)/2))/(LN(2)/2)*DB40*DE40*VLOOKUP('Données projet'!$B$13,Paramètres!$A$1:$I$89,3,0)*0.475*44/12</f>
        <v>2.8745736531353643</v>
      </c>
      <c r="DI40" s="22">
        <f t="shared" si="15"/>
        <v>31.701369998837659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13.7</v>
      </c>
      <c r="DO40" s="12">
        <f>IF('Données projet'!$A$166&gt;35,DO39+DN40-DW39,IF(A40&lt;'Données projet'!$A$166,$DL$205^A40,IF(A40='Données projet'!$A$166,'Données projet'!$B$166,DO39+DN40-DW39)))</f>
        <v>243.89999999999992</v>
      </c>
      <c r="DP40" s="17">
        <f>DO40*VLOOKUP('Données projet'!$B$14,Paramètres!$A$1:$I$89,3,0)*VLOOKUP('Données projet'!$B$14,Paramètres!$A$1:$I$89,5,0)</f>
        <v>145.85219999999998</v>
      </c>
      <c r="DQ40" s="13">
        <f t="shared" si="43"/>
        <v>37.634450370795903</v>
      </c>
      <c r="DR40" s="20">
        <f t="shared" si="16"/>
        <v>319.57258272913612</v>
      </c>
      <c r="DS40" s="59">
        <f t="shared" si="17"/>
        <v>612.90591606246949</v>
      </c>
      <c r="DT40" s="59">
        <f ca="1">AVERAGE(OFFSET($DS$3,0,0,'Données projet'!$E$14+1,1))-AVERAGE(OFFSET($H$3,0,0,'Données projet'!$E$14+1,1))</f>
        <v>247.30892363953825</v>
      </c>
      <c r="DU40" s="59">
        <f t="shared" si="44"/>
        <v>248.38414731596578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10.582538039807497</v>
      </c>
      <c r="EC40" s="21">
        <f>EXP(-LN(2)/2)*EC39+(1-EXP(-LN(2)/2))/(LN(2)/2)*DW40*DZ40*VLOOKUP('Données projet'!$B$14,Paramètres!$A$1:$I$89,3,0)*0.475*44/12</f>
        <v>2.097398909999169</v>
      </c>
      <c r="ED40" s="22">
        <f t="shared" si="18"/>
        <v>12.679936949806667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13.7</v>
      </c>
      <c r="EJ40" s="12">
        <f>IF('Données projet'!$A$192&gt;35,EJ39+EI40-ER39,IF(A40&lt;'Données projet'!$A$192,$EG$205^A40,IF(A40='Données projet'!$A$192,'Données projet'!$B$192,EJ39+EI40-ER39)))</f>
        <v>243.89999999999992</v>
      </c>
      <c r="EK40" s="17">
        <f>EJ40*VLOOKUP('Données projet'!$B$15,Paramètres!$A$1:$I$89,3,0)*VLOOKUP('Données projet'!$B$15,Paramètres!$A$1:$I$89,5,0)</f>
        <v>145.85219999999998</v>
      </c>
      <c r="EL40" s="13">
        <f t="shared" si="45"/>
        <v>37.634450370795903</v>
      </c>
      <c r="EM40" s="20">
        <f t="shared" si="19"/>
        <v>319.57258272913612</v>
      </c>
      <c r="EN40" s="59">
        <f t="shared" si="20"/>
        <v>612.90591606246949</v>
      </c>
      <c r="EO40" s="59">
        <f ca="1">AVERAGE(OFFSET($EN$3,0,0,'Données projet'!$E$15+1,1))-AVERAGE(OFFSET($H$3,0,0,'Données projet'!$E$15+1,1))</f>
        <v>247.30892363953825</v>
      </c>
      <c r="EP40" s="59">
        <f t="shared" si="46"/>
        <v>248.38414731596578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10.582538039807497</v>
      </c>
      <c r="EX40" s="21">
        <f>EXP(-LN(2)/2)*EX39+(1-EXP(-LN(2)/2))/(LN(2)/2)*ER40*EU40*VLOOKUP('Données projet'!$B$15,Paramètres!$A$1:$I$89,3,0)*0.475*44/12</f>
        <v>2.097398909999169</v>
      </c>
      <c r="EY40" s="22">
        <f t="shared" si="21"/>
        <v>12.679936949806667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22.6</v>
      </c>
      <c r="FE40" s="12">
        <f>IF('Données projet'!$A$218&gt;35,FE39+FD40-FM39,IF(A40&lt;'Données projet'!$A$218,$FB$205^A40,IF(A40='Données projet'!$A$218,'Données projet'!$B$218,FE39+FD40-FM39)))</f>
        <v>380.2000000000001</v>
      </c>
      <c r="FF40" s="17">
        <f>FE40*VLOOKUP('Données projet'!$B$16,Paramètres!$A$1:$I$89,3,0)*VLOOKUP('Données projet'!$B$16,Paramètres!$A$1:$I$89,5,0)</f>
        <v>182.87620000000004</v>
      </c>
      <c r="FG40" s="13">
        <f t="shared" si="47"/>
        <v>45.96149609461218</v>
      </c>
      <c r="FH40" s="20">
        <f t="shared" si="22"/>
        <v>398.55898736478298</v>
      </c>
      <c r="FI40" s="59">
        <f t="shared" si="23"/>
        <v>691.89232069811624</v>
      </c>
      <c r="FJ40" s="59">
        <f ca="1">AVERAGE(OFFSET($FI$3,0,0,'Données projet'!$E$16+1,1))-AVERAGE(OFFSET($H$3,0,0,'Données projet'!$E$16+1,1))</f>
        <v>322.54393676667081</v>
      </c>
      <c r="FK40" s="59">
        <f t="shared" si="48"/>
        <v>296.73904998640018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5.865855385854343</v>
      </c>
      <c r="FR40" s="21">
        <f>EXP(-LN(2)/25)*FR39+(1-EXP(-LN(2)/25))/(LN(2)/25)*Calculateur!FM40*Calculateur!FO40*VLOOKUP('Données projet'!$B$16,Paramètres!$A$1:$I$89,3,0)*0.475*44/12</f>
        <v>11.055174186111392</v>
      </c>
      <c r="FS40" s="21">
        <f>EXP(-LN(2)/2)*FS39+(1-EXP(-LN(2)/2))/(LN(2)/2)*FM40*FP40*VLOOKUP('Données projet'!$B$16,Paramètres!$A$1:$I$89,3,0)*0.475*44/12</f>
        <v>1.8484463719486366</v>
      </c>
      <c r="FT40" s="22">
        <f t="shared" si="24"/>
        <v>18.769475943914372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812.00565318156964</v>
      </c>
      <c r="S41" s="59">
        <f ca="1">AVERAGE(OFFSET($R$3,0,0,'Données projet'!$E$9+1,1))-AVERAGE(OFFSET($H$3,0,0,'Données projet'!$E$9+1,1))</f>
        <v>401.06118089678654</v>
      </c>
      <c r="T41" s="59">
        <f t="shared" si="34"/>
        <v>399.58193819355591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13.3</v>
      </c>
      <c r="AI41" s="13">
        <f>IF('Données projet'!$A$62&gt;35,AI40+AH41-AQ40,IF(A41&lt;'Données projet'!$A$62,$AF$205^A41,IF(A41='Données projet'!$A$62,'Données projet'!$B$62,AI40+AH41-AQ40)))</f>
        <v>256.40000000000015</v>
      </c>
      <c r="AJ41" s="13">
        <f>AI41*VLOOKUP('Données projet'!$B$10,Paramètres!$A$1:$I$89,3,0)*VLOOKUP('Données projet'!$B$10,Paramètres!$A$1:$I$89,5,0)</f>
        <v>159.99360000000007</v>
      </c>
      <c r="AK41" s="13">
        <f t="shared" si="35"/>
        <v>40.841071865470695</v>
      </c>
      <c r="AL41" s="20">
        <f t="shared" si="4"/>
        <v>349.78705349902822</v>
      </c>
      <c r="AM41" s="59">
        <f t="shared" si="5"/>
        <v>643.12038683236153</v>
      </c>
      <c r="AN41" s="59">
        <f ca="1">AVERAGE(OFFSET($AM$3,0,0,'Données projet'!$E$10+1,1))-AVERAGE(OFFSET($H$3,0,0,'Données projet'!$E$10+1,1))</f>
        <v>240.30073883588199</v>
      </c>
      <c r="AO41" s="59">
        <f t="shared" si="36"/>
        <v>263.20351282678843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5.9345169695666389</v>
      </c>
      <c r="AV41" s="21">
        <f>EXP(-LN(2)/25)*AV40+(1-EXP(-LN(2)/25))/(LN(2)/25)*Calculateur!AQ41*Calculateur!AS41*VLOOKUP('Données projet'!$B$10,Paramètres!$A$1:$I$89,3,0)*0.475*44/12</f>
        <v>16.652567283666862</v>
      </c>
      <c r="AW41" s="21">
        <f>EXP(-LN(2)/2)*AW40+(1-EXP(-LN(2)/2))/(LN(2)/2)*AQ41*AT41*VLOOKUP('Données projet'!$B$10,Paramètres!$A$1:$I$89,3,0)*0.475*44/12</f>
        <v>1.2619259689821936</v>
      </c>
      <c r="AX41" s="21">
        <f t="shared" si="6"/>
        <v>23.849010222215693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25.3</v>
      </c>
      <c r="BD41" s="12">
        <f>IF('Données projet'!$A$88&gt;35,BD40+BC41-BL40,IF(A41&lt;'Données projet'!$A$88,$BA$205^A41,IF(A41='Données projet'!$A$88,'Données projet'!$B$88,BD40+BC41-BL40)))</f>
        <v>448.4</v>
      </c>
      <c r="BE41" s="13">
        <f>BD41*VLOOKUP('Données projet'!$B$11,Paramètres!$A$1:$I$89,3,0)*VLOOKUP('Données projet'!$B$11,Paramètres!$A$1:$I$89,5,0)</f>
        <v>215.68039999999999</v>
      </c>
      <c r="BF41" s="13">
        <f t="shared" si="37"/>
        <v>53.174961236135232</v>
      </c>
      <c r="BG41" s="20">
        <f t="shared" si="7"/>
        <v>468.25642081960217</v>
      </c>
      <c r="BH41" s="59">
        <f t="shared" si="8"/>
        <v>761.58975415293548</v>
      </c>
      <c r="BI41" s="59">
        <f ca="1">AVERAGE(OFFSET($BH$3,0,0,'Données projet'!$E$11+1,1))-AVERAGE(OFFSET($H$3,0,0,'Données projet'!$E$11+1,1))</f>
        <v>364.67510777943329</v>
      </c>
      <c r="BJ41" s="59">
        <f t="shared" si="38"/>
        <v>352.13878061387169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7.5479637706675717</v>
      </c>
      <c r="BQ41" s="21">
        <f>EXP(-LN(2)/25)*BQ40+(1-EXP(-LN(2)/25))/(LN(2)/25)*Calculateur!BL41*Calculateur!BN41*VLOOKUP('Données projet'!$B$11,Paramètres!$A$1:$I$89,3,0)*0.475*44/12</f>
        <v>14.431467930305296</v>
      </c>
      <c r="BR41" s="21">
        <f>EXP(-LN(2)/2)*BR40+(1-EXP(-LN(2)/2))/(LN(2)/2)*BL41*BO41*VLOOKUP('Données projet'!$B$11,Paramètres!$A$1:$I$89,3,0)*0.475*44/12</f>
        <v>1.7170972843524319</v>
      </c>
      <c r="BS41" s="22">
        <f t="shared" si="9"/>
        <v>23.696528985325298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10.000000000000004</v>
      </c>
      <c r="BY41" s="12">
        <f>IF('Données projet'!$A$114&gt;35,BY40+BX41-CG40,IF(A41&lt;'Données projet'!$A$114,$BV$205^A41,IF(A41='Données projet'!$A$114,'Données projet'!$B$114,BY40+BX41-CG40)))</f>
        <v>271.59999999999991</v>
      </c>
      <c r="BZ41" s="13">
        <f>BY41*VLOOKUP('Données projet'!$B$12,Paramètres!$A$1:$I$89,3,0)*VLOOKUP('Données projet'!$B$12,Paramètres!$A$1:$I$89,5,0)</f>
        <v>127.10879999999996</v>
      </c>
      <c r="CA41" s="13">
        <f t="shared" si="39"/>
        <v>33.32741592766736</v>
      </c>
      <c r="CB41" s="20">
        <f t="shared" si="10"/>
        <v>279.4264094073539</v>
      </c>
      <c r="CC41" s="59">
        <f t="shared" si="11"/>
        <v>572.75974274068722</v>
      </c>
      <c r="CD41" s="59">
        <f ca="1">AVERAGE(OFFSET($CC$3,0,0,'Données projet'!$E$12+1,1))-AVERAGE(OFFSET($H$3,0,0,'Données projet'!$E$12+1,1))</f>
        <v>252.98248842635206</v>
      </c>
      <c r="CE41" s="59">
        <f t="shared" si="40"/>
        <v>207.11938580878308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2.6753014445841039</v>
      </c>
      <c r="CL41" s="21">
        <f>EXP(-LN(2)/25)*CL40+(1-EXP(-LN(2)/25))/(LN(2)/25)*Calculateur!CG41*Calculateur!CI41*VLOOKUP('Données projet'!$B$12,Paramètres!$A$1:$I$89,3,0)*0.475*44/12</f>
        <v>6.2927758684629946</v>
      </c>
      <c r="CM41" s="21">
        <f>EXP(-LN(2)/2)*CM40+(1-EXP(-LN(2)/2))/(LN(2)/2)*CG41*CJ41*VLOOKUP('Données projet'!$B$12,Paramètres!$A$1:$I$89,3,0)*0.475*44/12</f>
        <v>0.61451103001849949</v>
      </c>
      <c r="CN41" s="22">
        <f t="shared" si="12"/>
        <v>9.5825883430655985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22</v>
      </c>
      <c r="CT41" s="12">
        <f>IF('Données projet'!$A$140&gt;35,CT40+CS41-DB40,IF(A41&lt;'Données projet'!$A$140,$CQ$205^A41,IF(A41='Données projet'!$A$140,'Données projet'!$B$140,CT40+CS41-DB40)))</f>
        <v>384.99999999999989</v>
      </c>
      <c r="CU41" s="17">
        <f>CT41*VLOOKUP('Données projet'!$B$13,Paramètres!$A$1:$I$89,3,0)*VLOOKUP('Données projet'!$B$13,Paramètres!$A$1:$I$89,5,0)</f>
        <v>215.21499999999995</v>
      </c>
      <c r="CV41" s="13">
        <f t="shared" si="41"/>
        <v>53.073562353518611</v>
      </c>
      <c r="CW41" s="20">
        <f t="shared" si="13"/>
        <v>467.26924609904478</v>
      </c>
      <c r="CX41" s="59">
        <f t="shared" si="14"/>
        <v>760.60257943237809</v>
      </c>
      <c r="CY41" s="59">
        <f ca="1">AVERAGE(OFFSET($CX$3,0,0,'Données projet'!$E$13+1,1))-AVERAGE(OFFSET($H$3,0,0,'Données projet'!$E$13+1,1))</f>
        <v>356.67698551373468</v>
      </c>
      <c r="CZ41" s="59">
        <f t="shared" si="42"/>
        <v>353.21836615408171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3.8986479536180854</v>
      </c>
      <c r="DG41" s="21">
        <f>EXP(-LN(2)/25)*DG40+(1-EXP(-LN(2)/25))/(LN(2)/25)*Calculateur!DB41*Calculateur!DD41*VLOOKUP('Données projet'!$B$13,Paramètres!$A$1:$I$89,3,0)*0.475*44/12</f>
        <v>24.1706399759939</v>
      </c>
      <c r="DH41" s="21">
        <f>EXP(-LN(2)/2)*DH40+(1-EXP(-LN(2)/2))/(LN(2)/2)*DB41*DE41*VLOOKUP('Données projet'!$B$13,Paramètres!$A$1:$I$89,3,0)*0.475*44/12</f>
        <v>2.0326305231522026</v>
      </c>
      <c r="DI41" s="22">
        <f t="shared" si="15"/>
        <v>30.101918452764188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13.7</v>
      </c>
      <c r="DO41" s="12">
        <f>IF('Données projet'!$A$166&gt;35,DO40+DN41-DW40,IF(A41&lt;'Données projet'!$A$166,$DL$205^A41,IF(A41='Données projet'!$A$166,'Données projet'!$B$166,DO40+DN41-DW40)))</f>
        <v>257.59999999999991</v>
      </c>
      <c r="DP41" s="17">
        <f>DO41*VLOOKUP('Données projet'!$B$14,Paramètres!$A$1:$I$89,3,0)*VLOOKUP('Données projet'!$B$14,Paramètres!$A$1:$I$89,5,0)</f>
        <v>154.04479999999995</v>
      </c>
      <c r="DQ41" s="13">
        <f t="shared" si="43"/>
        <v>39.496352638742984</v>
      </c>
      <c r="DR41" s="20">
        <f t="shared" si="16"/>
        <v>337.08417417914399</v>
      </c>
      <c r="DS41" s="59">
        <f t="shared" si="17"/>
        <v>630.4175075124773</v>
      </c>
      <c r="DT41" s="59">
        <f ca="1">AVERAGE(OFFSET($DS$3,0,0,'Données projet'!$E$14+1,1))-AVERAGE(OFFSET($H$3,0,0,'Données projet'!$E$14+1,1))</f>
        <v>247.30892363953825</v>
      </c>
      <c r="DU41" s="59">
        <f t="shared" si="44"/>
        <v>248.38414731596578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10.293157980597472</v>
      </c>
      <c r="EC41" s="21">
        <f>EXP(-LN(2)/2)*EC40+(1-EXP(-LN(2)/2))/(LN(2)/2)*DW41*DZ41*VLOOKUP('Données projet'!$B$14,Paramètres!$A$1:$I$89,3,0)*0.475*44/12</f>
        <v>1.4830849921136857</v>
      </c>
      <c r="ED41" s="22">
        <f t="shared" si="18"/>
        <v>11.776242972711158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13.7</v>
      </c>
      <c r="EJ41" s="12">
        <f>IF('Données projet'!$A$192&gt;35,EJ40+EI41-ER40,IF(A41&lt;'Données projet'!$A$192,$EG$205^A41,IF(A41='Données projet'!$A$192,'Données projet'!$B$192,EJ40+EI41-ER40)))</f>
        <v>257.59999999999991</v>
      </c>
      <c r="EK41" s="17">
        <f>EJ41*VLOOKUP('Données projet'!$B$15,Paramètres!$A$1:$I$89,3,0)*VLOOKUP('Données projet'!$B$15,Paramètres!$A$1:$I$89,5,0)</f>
        <v>154.04479999999995</v>
      </c>
      <c r="EL41" s="13">
        <f t="shared" si="45"/>
        <v>39.496352638742984</v>
      </c>
      <c r="EM41" s="20">
        <f t="shared" si="19"/>
        <v>337.08417417914399</v>
      </c>
      <c r="EN41" s="59">
        <f t="shared" si="20"/>
        <v>630.4175075124773</v>
      </c>
      <c r="EO41" s="59">
        <f ca="1">AVERAGE(OFFSET($EN$3,0,0,'Données projet'!$E$15+1,1))-AVERAGE(OFFSET($H$3,0,0,'Données projet'!$E$15+1,1))</f>
        <v>247.30892363953825</v>
      </c>
      <c r="EP41" s="59">
        <f t="shared" si="46"/>
        <v>248.38414731596578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10.293157980597472</v>
      </c>
      <c r="EX41" s="21">
        <f>EXP(-LN(2)/2)*EX40+(1-EXP(-LN(2)/2))/(LN(2)/2)*ER41*EU41*VLOOKUP('Données projet'!$B$15,Paramètres!$A$1:$I$89,3,0)*0.475*44/12</f>
        <v>1.4830849921136857</v>
      </c>
      <c r="EY41" s="22">
        <f t="shared" si="21"/>
        <v>11.776242972711158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22.6</v>
      </c>
      <c r="FE41" s="12">
        <f>IF('Données projet'!$A$218&gt;35,FE40+FD41-FM40,IF(A41&lt;'Données projet'!$A$218,$FB$205^A41,IF(A41='Données projet'!$A$218,'Données projet'!$B$218,FE40+FD41-FM40)))</f>
        <v>402.80000000000013</v>
      </c>
      <c r="FF41" s="17">
        <f>FE41*VLOOKUP('Données projet'!$B$16,Paramètres!$A$1:$I$89,3,0)*VLOOKUP('Données projet'!$B$16,Paramètres!$A$1:$I$89,5,0)</f>
        <v>193.74680000000009</v>
      </c>
      <c r="FG41" s="13">
        <f t="shared" si="47"/>
        <v>48.367373321255229</v>
      </c>
      <c r="FH41" s="20">
        <f t="shared" si="22"/>
        <v>421.68218520118631</v>
      </c>
      <c r="FI41" s="59">
        <f t="shared" si="23"/>
        <v>715.01551853451963</v>
      </c>
      <c r="FJ41" s="59">
        <f ca="1">AVERAGE(OFFSET($FI$3,0,0,'Données projet'!$E$16+1,1))-AVERAGE(OFFSET($H$3,0,0,'Données projet'!$E$16+1,1))</f>
        <v>322.54393676667081</v>
      </c>
      <c r="FK41" s="59">
        <f t="shared" si="48"/>
        <v>296.73904998640018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5.7508295395562445</v>
      </c>
      <c r="FR41" s="21">
        <f>EXP(-LN(2)/25)*FR40+(1-EXP(-LN(2)/25))/(LN(2)/25)*Calculateur!FM41*Calculateur!FO41*VLOOKUP('Données projet'!$B$16,Paramètres!$A$1:$I$89,3,0)*0.475*44/12</f>
        <v>10.752869866625833</v>
      </c>
      <c r="FS41" s="21">
        <f>EXP(-LN(2)/2)*FS40+(1-EXP(-LN(2)/2))/(LN(2)/2)*FM41*FP41*VLOOKUP('Données projet'!$B$16,Paramètres!$A$1:$I$89,3,0)*0.475*44/12</f>
        <v>1.3070489642645522</v>
      </c>
      <c r="FT41" s="22">
        <f t="shared" si="24"/>
        <v>17.810748370446632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840.73895670218121</v>
      </c>
      <c r="S42" s="59">
        <f ca="1">AVERAGE(OFFSET($R$3,0,0,'Données projet'!$E$9+1,1))-AVERAGE(OFFSET($H$3,0,0,'Données projet'!$E$9+1,1))</f>
        <v>401.06118089678654</v>
      </c>
      <c r="T42" s="59">
        <f t="shared" si="34"/>
        <v>399.58193819355591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13.3</v>
      </c>
      <c r="AI42" s="13">
        <f>IF('Données projet'!$A$62&gt;35,AI41+AH42-AQ41,IF(A42&lt;'Données projet'!$A$62,$AF$205^A42,IF(A42='Données projet'!$A$62,'Données projet'!$B$62,AI41+AH42-AQ41)))</f>
        <v>269.70000000000016</v>
      </c>
      <c r="AJ42" s="13">
        <f>AI42*VLOOKUP('Données projet'!$B$10,Paramètres!$A$1:$I$89,3,0)*VLOOKUP('Données projet'!$B$10,Paramètres!$A$1:$I$89,5,0)</f>
        <v>168.29280000000011</v>
      </c>
      <c r="AK42" s="13">
        <f t="shared" si="35"/>
        <v>42.707443263135104</v>
      </c>
      <c r="AL42" s="20">
        <f t="shared" si="4"/>
        <v>367.49209034996051</v>
      </c>
      <c r="AM42" s="59">
        <f t="shared" si="5"/>
        <v>660.82542368329382</v>
      </c>
      <c r="AN42" s="59">
        <f ca="1">AVERAGE(OFFSET($AM$3,0,0,'Données projet'!$E$10+1,1))-AVERAGE(OFFSET($H$3,0,0,'Données projet'!$E$10+1,1))</f>
        <v>240.30073883588199</v>
      </c>
      <c r="AO42" s="59">
        <f t="shared" si="36"/>
        <v>263.20351282678843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5.8181447114913727</v>
      </c>
      <c r="AV42" s="21">
        <f>EXP(-LN(2)/25)*AV41+(1-EXP(-LN(2)/25))/(LN(2)/25)*Calculateur!AQ42*Calculateur!AS42*VLOOKUP('Données projet'!$B$10,Paramètres!$A$1:$I$89,3,0)*0.475*44/12</f>
        <v>16.197201955574538</v>
      </c>
      <c r="AW42" s="21">
        <f>EXP(-LN(2)/2)*AW41+(1-EXP(-LN(2)/2))/(LN(2)/2)*AQ42*AT42*VLOOKUP('Données projet'!$B$10,Paramètres!$A$1:$I$89,3,0)*0.475*44/12</f>
        <v>0.892316410022714</v>
      </c>
      <c r="AX42" s="21">
        <f t="shared" si="6"/>
        <v>22.907663077088628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25.3</v>
      </c>
      <c r="BD42" s="12">
        <f>IF('Données projet'!$A$88&gt;35,BD41+BC42-BL41,IF(A42&lt;'Données projet'!$A$88,$BA$205^A42,IF(A42='Données projet'!$A$88,'Données projet'!$B$88,BD41+BC42-BL41)))</f>
        <v>473.7</v>
      </c>
      <c r="BE42" s="13">
        <f>BD42*VLOOKUP('Données projet'!$B$11,Paramètres!$A$1:$I$89,3,0)*VLOOKUP('Données projet'!$B$11,Paramètres!$A$1:$I$89,5,0)</f>
        <v>227.84970000000001</v>
      </c>
      <c r="BF42" s="13">
        <f t="shared" si="37"/>
        <v>55.817482526907483</v>
      </c>
      <c r="BG42" s="20">
        <f t="shared" si="7"/>
        <v>494.05367623436382</v>
      </c>
      <c r="BH42" s="59">
        <f t="shared" si="8"/>
        <v>787.38700956769708</v>
      </c>
      <c r="BI42" s="59">
        <f ca="1">AVERAGE(OFFSET($BH$3,0,0,'Données projet'!$E$11+1,1))-AVERAGE(OFFSET($H$3,0,0,'Données projet'!$E$11+1,1))</f>
        <v>364.67510777943329</v>
      </c>
      <c r="BJ42" s="59">
        <f t="shared" si="38"/>
        <v>352.13878061387169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7.3999528049280929</v>
      </c>
      <c r="BQ42" s="21">
        <f>EXP(-LN(2)/25)*BQ41+(1-EXP(-LN(2)/25))/(LN(2)/25)*Calculateur!BL42*Calculateur!BN42*VLOOKUP('Données projet'!$B$11,Paramètres!$A$1:$I$89,3,0)*0.475*44/12</f>
        <v>14.036838680833183</v>
      </c>
      <c r="BR42" s="21">
        <f>EXP(-LN(2)/2)*BR41+(1-EXP(-LN(2)/2))/(LN(2)/2)*BL42*BO42*VLOOKUP('Données projet'!$B$11,Paramètres!$A$1:$I$89,3,0)*0.475*44/12</f>
        <v>1.2141711337226102</v>
      </c>
      <c r="BS42" s="22">
        <f t="shared" si="9"/>
        <v>22.650962619483884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10.000000000000004</v>
      </c>
      <c r="BY42" s="12">
        <f>IF('Données projet'!$A$114&gt;35,BY41+BX42-CG41,IF(A42&lt;'Données projet'!$A$114,$BV$205^A42,IF(A42='Données projet'!$A$114,'Données projet'!$B$114,BY41+BX42-CG41)))</f>
        <v>281.59999999999991</v>
      </c>
      <c r="BZ42" s="13">
        <f>BY42*VLOOKUP('Données projet'!$B$12,Paramètres!$A$1:$I$89,3,0)*VLOOKUP('Données projet'!$B$12,Paramètres!$A$1:$I$89,5,0)</f>
        <v>131.78879999999995</v>
      </c>
      <c r="CA42" s="13">
        <f t="shared" si="39"/>
        <v>34.409369159409614</v>
      </c>
      <c r="CB42" s="20">
        <f t="shared" si="10"/>
        <v>289.46181128597163</v>
      </c>
      <c r="CC42" s="59">
        <f t="shared" si="11"/>
        <v>582.79514461930489</v>
      </c>
      <c r="CD42" s="59">
        <f ca="1">AVERAGE(OFFSET($CC$3,0,0,'Données projet'!$E$12+1,1))-AVERAGE(OFFSET($H$3,0,0,'Données projet'!$E$12+1,1))</f>
        <v>252.98248842635206</v>
      </c>
      <c r="CE42" s="59">
        <f t="shared" si="40"/>
        <v>207.11938580878308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2.6228404150285667</v>
      </c>
      <c r="CL42" s="21">
        <f>EXP(-LN(2)/25)*CL41+(1-EXP(-LN(2)/25))/(LN(2)/25)*Calculateur!CG42*Calculateur!CI42*VLOOKUP('Données projet'!$B$12,Paramètres!$A$1:$I$89,3,0)*0.475*44/12</f>
        <v>6.1206995814171732</v>
      </c>
      <c r="CM42" s="21">
        <f>EXP(-LN(2)/2)*CM41+(1-EXP(-LN(2)/2))/(LN(2)/2)*CG42*CJ42*VLOOKUP('Données projet'!$B$12,Paramètres!$A$1:$I$89,3,0)*0.475*44/12</f>
        <v>0.43452491644001107</v>
      </c>
      <c r="CN42" s="22">
        <f t="shared" si="12"/>
        <v>9.1780649128857519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22</v>
      </c>
      <c r="CT42" s="12">
        <f>IF('Données projet'!$A$140&gt;35,CT41+CS42-DB41,IF(A42&lt;'Données projet'!$A$140,$CQ$205^A42,IF(A42='Données projet'!$A$140,'Données projet'!$B$140,CT41+CS42-DB41)))</f>
        <v>406.99999999999989</v>
      </c>
      <c r="CU42" s="17">
        <f>CT42*VLOOKUP('Données projet'!$B$13,Paramètres!$A$1:$I$89,3,0)*VLOOKUP('Données projet'!$B$13,Paramètres!$A$1:$I$89,5,0)</f>
        <v>227.51299999999995</v>
      </c>
      <c r="CV42" s="13">
        <f t="shared" si="41"/>
        <v>55.744594200664011</v>
      </c>
      <c r="CW42" s="20">
        <f t="shared" si="13"/>
        <v>493.34030989948968</v>
      </c>
      <c r="CX42" s="59">
        <f t="shared" si="14"/>
        <v>786.673643232823</v>
      </c>
      <c r="CY42" s="59">
        <f ca="1">AVERAGE(OFFSET($CX$3,0,0,'Données projet'!$E$13+1,1))-AVERAGE(OFFSET($H$3,0,0,'Données projet'!$E$13+1,1))</f>
        <v>356.67698551373468</v>
      </c>
      <c r="CZ42" s="59">
        <f t="shared" si="42"/>
        <v>353.21836615408171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3.8221978451880845</v>
      </c>
      <c r="DG42" s="21">
        <f>EXP(-LN(2)/25)*DG41+(1-EXP(-LN(2)/25))/(LN(2)/25)*Calculateur!DB42*Calculateur!DD42*VLOOKUP('Données projet'!$B$13,Paramètres!$A$1:$I$89,3,0)*0.475*44/12</f>
        <v>23.509692554771632</v>
      </c>
      <c r="DH42" s="21">
        <f>EXP(-LN(2)/2)*DH41+(1-EXP(-LN(2)/2))/(LN(2)/2)*DB42*DE42*VLOOKUP('Données projet'!$B$13,Paramètres!$A$1:$I$89,3,0)*0.475*44/12</f>
        <v>1.4372868265676821</v>
      </c>
      <c r="DI42" s="22">
        <f t="shared" si="15"/>
        <v>28.7691772265274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13.7</v>
      </c>
      <c r="DO42" s="12">
        <f>IF('Données projet'!$A$166&gt;35,DO41+DN42-DW41,IF(A42&lt;'Données projet'!$A$166,$DL$205^A42,IF(A42='Données projet'!$A$166,'Données projet'!$B$166,DO41+DN42-DW41)))</f>
        <v>271.2999999999999</v>
      </c>
      <c r="DP42" s="17">
        <f>DO42*VLOOKUP('Données projet'!$B$14,Paramètres!$A$1:$I$89,3,0)*VLOOKUP('Données projet'!$B$14,Paramètres!$A$1:$I$89,5,0)</f>
        <v>162.23739999999995</v>
      </c>
      <c r="DQ42" s="13">
        <f t="shared" si="43"/>
        <v>41.346758630600348</v>
      </c>
      <c r="DR42" s="20">
        <f t="shared" si="16"/>
        <v>354.57574294829556</v>
      </c>
      <c r="DS42" s="59">
        <f t="shared" si="17"/>
        <v>647.90907628162881</v>
      </c>
      <c r="DT42" s="59">
        <f ca="1">AVERAGE(OFFSET($DS$3,0,0,'Données projet'!$E$14+1,1))-AVERAGE(OFFSET($H$3,0,0,'Données projet'!$E$14+1,1))</f>
        <v>247.30892363953825</v>
      </c>
      <c r="DU42" s="59">
        <f t="shared" si="44"/>
        <v>248.38414731596578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10.011691034324382</v>
      </c>
      <c r="EC42" s="21">
        <f>EXP(-LN(2)/2)*EC41+(1-EXP(-LN(2)/2))/(LN(2)/2)*DW42*DZ42*VLOOKUP('Données projet'!$B$14,Paramètres!$A$1:$I$89,3,0)*0.475*44/12</f>
        <v>1.0486994549995845</v>
      </c>
      <c r="ED42" s="22">
        <f t="shared" si="18"/>
        <v>11.060390489323966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13.7</v>
      </c>
      <c r="EJ42" s="12">
        <f>IF('Données projet'!$A$192&gt;35,EJ41+EI42-ER41,IF(A42&lt;'Données projet'!$A$192,$EG$205^A42,IF(A42='Données projet'!$A$192,'Données projet'!$B$192,EJ41+EI42-ER41)))</f>
        <v>271.2999999999999</v>
      </c>
      <c r="EK42" s="17">
        <f>EJ42*VLOOKUP('Données projet'!$B$15,Paramètres!$A$1:$I$89,3,0)*VLOOKUP('Données projet'!$B$15,Paramètres!$A$1:$I$89,5,0)</f>
        <v>162.23739999999995</v>
      </c>
      <c r="EL42" s="13">
        <f t="shared" si="45"/>
        <v>41.346758630600348</v>
      </c>
      <c r="EM42" s="20">
        <f t="shared" si="19"/>
        <v>354.57574294829556</v>
      </c>
      <c r="EN42" s="59">
        <f t="shared" si="20"/>
        <v>647.90907628162881</v>
      </c>
      <c r="EO42" s="59">
        <f ca="1">AVERAGE(OFFSET($EN$3,0,0,'Données projet'!$E$15+1,1))-AVERAGE(OFFSET($H$3,0,0,'Données projet'!$E$15+1,1))</f>
        <v>247.30892363953825</v>
      </c>
      <c r="EP42" s="59">
        <f t="shared" si="46"/>
        <v>248.38414731596578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10.011691034324382</v>
      </c>
      <c r="EX42" s="21">
        <f>EXP(-LN(2)/2)*EX41+(1-EXP(-LN(2)/2))/(LN(2)/2)*ER42*EU42*VLOOKUP('Données projet'!$B$15,Paramètres!$A$1:$I$89,3,0)*0.475*44/12</f>
        <v>1.0486994549995845</v>
      </c>
      <c r="EY42" s="22">
        <f t="shared" si="21"/>
        <v>11.060390489323966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22.6</v>
      </c>
      <c r="FE42" s="12">
        <f>IF('Données projet'!$A$218&gt;35,FE41+FD42-FM41,IF(A42&lt;'Données projet'!$A$218,$FB$205^A42,IF(A42='Données projet'!$A$218,'Données projet'!$B$218,FE41+FD42-FM41)))</f>
        <v>425.40000000000015</v>
      </c>
      <c r="FF42" s="17">
        <f>FE42*VLOOKUP('Données projet'!$B$16,Paramètres!$A$1:$I$89,3,0)*VLOOKUP('Données projet'!$B$16,Paramètres!$A$1:$I$89,5,0)</f>
        <v>204.61740000000009</v>
      </c>
      <c r="FG42" s="13">
        <f t="shared" si="47"/>
        <v>50.757580561694567</v>
      </c>
      <c r="FH42" s="20">
        <f t="shared" si="22"/>
        <v>444.77809114495147</v>
      </c>
      <c r="FI42" s="59">
        <f t="shared" si="23"/>
        <v>738.11142447828479</v>
      </c>
      <c r="FJ42" s="59">
        <f ca="1">AVERAGE(OFFSET($FI$3,0,0,'Données projet'!$E$16+1,1))-AVERAGE(OFFSET($H$3,0,0,'Données projet'!$E$16+1,1))</f>
        <v>322.54393676667081</v>
      </c>
      <c r="FK42" s="59">
        <f t="shared" si="48"/>
        <v>296.73904998640018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5.6380592799452129</v>
      </c>
      <c r="FR42" s="21">
        <f>EXP(-LN(2)/25)*FR41+(1-EXP(-LN(2)/25))/(LN(2)/25)*Calculateur!FM42*Calculateur!FO42*VLOOKUP('Données projet'!$B$16,Paramètres!$A$1:$I$89,3,0)*0.475*44/12</f>
        <v>10.458832074654099</v>
      </c>
      <c r="FS42" s="21">
        <f>EXP(-LN(2)/2)*FS41+(1-EXP(-LN(2)/2))/(LN(2)/2)*FM42*FP42*VLOOKUP('Données projet'!$B$16,Paramètres!$A$1:$I$89,3,0)*0.475*44/12</f>
        <v>0.9242231859743183</v>
      </c>
      <c r="FT42" s="22">
        <f t="shared" si="24"/>
        <v>17.021114540573631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401.06118089678654</v>
      </c>
      <c r="T43" s="59">
        <f t="shared" si="34"/>
        <v>399.58193819355591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283</v>
      </c>
      <c r="AG43" s="12">
        <f>VLOOKUP(A43,'Données projet'!$A$61:$I$81,9,0)</f>
        <v>13.3</v>
      </c>
      <c r="AH43" s="12">
        <f t="array" ref="AH43">INDEX(AG:AG,MIN(IF(ISNUMBER(AG43:AG239),ROW(AG43:AG239),"")))</f>
        <v>13.3</v>
      </c>
      <c r="AI43" s="13">
        <f>IF('Données projet'!$A$62&gt;35,AI42+AH43-AQ42,IF(A43&lt;'Données projet'!$A$62,$AF$205^A43,IF(A43='Données projet'!$A$62,'Données projet'!$B$62,AI42+AH43-AQ42)))</f>
        <v>283.00000000000017</v>
      </c>
      <c r="AJ43" s="13">
        <f>AI43*VLOOKUP('Données projet'!$B$10,Paramètres!$A$1:$I$89,3,0)*VLOOKUP('Données projet'!$B$10,Paramètres!$A$1:$I$89,5,0)</f>
        <v>176.59200000000013</v>
      </c>
      <c r="AK43" s="13">
        <f t="shared" si="35"/>
        <v>44.56312751418794</v>
      </c>
      <c r="AL43" s="20">
        <f t="shared" si="4"/>
        <v>385.1785137538775</v>
      </c>
      <c r="AM43" s="59">
        <f t="shared" si="5"/>
        <v>678.51184708721075</v>
      </c>
      <c r="AN43" s="59">
        <f ca="1">AVERAGE(OFFSET($AM$3,0,0,'Données projet'!$E$10+1,1))-AVERAGE(OFFSET($H$3,0,0,'Données projet'!$E$10+1,1))</f>
        <v>240.30073883588199</v>
      </c>
      <c r="AO43" s="59">
        <f t="shared" si="36"/>
        <v>263.20351282678843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5.7040544424168944</v>
      </c>
      <c r="AV43" s="21">
        <f>EXP(-LN(2)/25)*AV42+(1-EXP(-LN(2)/25))/(LN(2)/25)*Calculateur!AQ43*Calculateur!AS43*VLOOKUP('Données projet'!$B$10,Paramètres!$A$1:$I$89,3,0)*0.475*44/12</f>
        <v>15.754288616325521</v>
      </c>
      <c r="AW43" s="21">
        <f>EXP(-LN(2)/2)*AW42+(1-EXP(-LN(2)/2))/(LN(2)/2)*AQ43*AT43*VLOOKUP('Données projet'!$B$10,Paramètres!$A$1:$I$89,3,0)*0.475*44/12</f>
        <v>0.63096298449109689</v>
      </c>
      <c r="AX43" s="21">
        <f t="shared" si="6"/>
        <v>22.089306043233513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499</v>
      </c>
      <c r="BB43" s="12">
        <f>VLOOKUP(A43,'Données projet'!$A$87:$I$107,9,0)</f>
        <v>25.3</v>
      </c>
      <c r="BC43" s="12">
        <f t="array" ref="BC43">INDEX(BB:BB,MIN(IF(ISNUMBER(BB43:BB239),ROW(BB43:BB239),"")))</f>
        <v>25.3</v>
      </c>
      <c r="BD43" s="12">
        <f>IF('Données projet'!$A$88&gt;35,BD42+BC43-BL42,IF(A43&lt;'Données projet'!$A$88,$BA$205^A43,IF(A43='Données projet'!$A$88,'Données projet'!$B$88,BD42+BC43-BL42)))</f>
        <v>499</v>
      </c>
      <c r="BE43" s="13">
        <f>BD43*VLOOKUP('Données projet'!$B$11,Paramètres!$A$1:$I$89,3,0)*VLOOKUP('Données projet'!$B$11,Paramètres!$A$1:$I$89,5,0)</f>
        <v>240.01900000000001</v>
      </c>
      <c r="BF43" s="13">
        <f t="shared" si="37"/>
        <v>58.443618405936363</v>
      </c>
      <c r="BG43" s="20">
        <f t="shared" si="7"/>
        <v>519.82239372367246</v>
      </c>
      <c r="BH43" s="59">
        <f t="shared" si="8"/>
        <v>813.15572705700583</v>
      </c>
      <c r="BI43" s="59">
        <f ca="1">AVERAGE(OFFSET($BH$3,0,0,'Données projet'!$E$11+1,1))-AVERAGE(OFFSET($H$3,0,0,'Données projet'!$E$11+1,1))</f>
        <v>364.67510777943329</v>
      </c>
      <c r="BJ43" s="59">
        <f t="shared" si="38"/>
        <v>352.13878061387169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126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7.2548442439489902</v>
      </c>
      <c r="BQ43" s="21">
        <f>EXP(-LN(2)/25)*BQ42+(1-EXP(-LN(2)/25))/(LN(2)/25)*Calculateur!BL43*Calculateur!BN43*VLOOKUP('Données projet'!$B$11,Paramètres!$A$1:$I$89,3,0)*0.475*44/12</f>
        <v>13.653000588940536</v>
      </c>
      <c r="BR43" s="21">
        <f>EXP(-LN(2)/2)*BR42+(1-EXP(-LN(2)/2))/(LN(2)/2)*BL43*BO43*VLOOKUP('Données projet'!$B$11,Paramètres!$A$1:$I$89,3,0)*0.475*44/12</f>
        <v>0.85854864217621618</v>
      </c>
      <c r="BS43" s="22">
        <f t="shared" si="9"/>
        <v>21.766393475065744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291.60000000000002</v>
      </c>
      <c r="BW43" s="12">
        <f>VLOOKUP(A43,'Données projet'!$A$113:$I$133,9,0)</f>
        <v>10.000000000000004</v>
      </c>
      <c r="BX43" s="12">
        <f t="array" ref="BX43">INDEX(BW:BW,MIN(IF(ISNUMBER(BW43:BW239),ROW(BW43:BW239),"")))</f>
        <v>10.000000000000004</v>
      </c>
      <c r="BY43" s="12">
        <f>IF('Données projet'!$A$114&gt;35,BY42+BX43-CG42,IF(A43&lt;'Données projet'!$A$114,$BV$205^A43,IF(A43='Données projet'!$A$114,'Données projet'!$B$114,BY42+BX43-CG42)))</f>
        <v>291.59999999999991</v>
      </c>
      <c r="BZ43" s="13">
        <f>BY43*VLOOKUP('Données projet'!$B$12,Paramètres!$A$1:$I$89,3,0)*VLOOKUP('Données projet'!$B$12,Paramètres!$A$1:$I$89,5,0)</f>
        <v>136.46879999999996</v>
      </c>
      <c r="CA43" s="13">
        <f t="shared" si="39"/>
        <v>35.486858352195874</v>
      </c>
      <c r="CB43" s="20">
        <f t="shared" si="10"/>
        <v>299.48943829674107</v>
      </c>
      <c r="CC43" s="59">
        <f t="shared" si="11"/>
        <v>592.82277163007439</v>
      </c>
      <c r="CD43" s="59">
        <f ca="1">AVERAGE(OFFSET($CC$3,0,0,'Données projet'!$E$12+1,1))-AVERAGE(OFFSET($H$3,0,0,'Données projet'!$E$12+1,1))</f>
        <v>252.98248842635206</v>
      </c>
      <c r="CE43" s="59">
        <f t="shared" si="40"/>
        <v>207.11938580878308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83.4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2.5714081142645449</v>
      </c>
      <c r="CL43" s="21">
        <f>EXP(-LN(2)/25)*CL42+(1-EXP(-LN(2)/25))/(LN(2)/25)*Calculateur!CG43*Calculateur!CI43*VLOOKUP('Données projet'!$B$12,Paramètres!$A$1:$I$89,3,0)*0.475*44/12</f>
        <v>5.9533287294897184</v>
      </c>
      <c r="CM43" s="21">
        <f>EXP(-LN(2)/2)*CM42+(1-EXP(-LN(2)/2))/(LN(2)/2)*CG43*CJ43*VLOOKUP('Données projet'!$B$12,Paramètres!$A$1:$I$89,3,0)*0.475*44/12</f>
        <v>0.30725551500924975</v>
      </c>
      <c r="CN43" s="22">
        <f t="shared" si="12"/>
        <v>8.8319923587635127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429</v>
      </c>
      <c r="CR43" s="12">
        <f>VLOOKUP(A43,'Données projet'!$A$139:$I$159,9,0)</f>
        <v>22</v>
      </c>
      <c r="CS43" s="12">
        <f t="array" ref="CS43">INDEX(CR:CR,MIN(IF(ISNUMBER(CR43:CR239),ROW(CR43:CR239),"")))</f>
        <v>22</v>
      </c>
      <c r="CT43" s="12">
        <f>IF('Données projet'!$A$140&gt;35,CT42+CS43-DB42,IF(A43&lt;'Données projet'!$A$140,$CQ$205^A43,IF(A43='Données projet'!$A$140,'Données projet'!$B$140,CT42+CS43-DB42)))</f>
        <v>428.99999999999989</v>
      </c>
      <c r="CU43" s="17">
        <f>CT43*VLOOKUP('Données projet'!$B$13,Paramètres!$A$1:$I$89,3,0)*VLOOKUP('Données projet'!$B$13,Paramètres!$A$1:$I$89,5,0)</f>
        <v>239.81099999999992</v>
      </c>
      <c r="CV43" s="13">
        <f t="shared" si="41"/>
        <v>58.398864347229804</v>
      </c>
      <c r="CW43" s="20">
        <f t="shared" si="13"/>
        <v>519.3821804047584</v>
      </c>
      <c r="CX43" s="59">
        <f t="shared" si="14"/>
        <v>812.71551373809166</v>
      </c>
      <c r="CY43" s="59">
        <f ca="1">AVERAGE(OFFSET($CX$3,0,0,'Données projet'!$E$13+1,1))-AVERAGE(OFFSET($H$3,0,0,'Données projet'!$E$13+1,1))</f>
        <v>356.67698551373468</v>
      </c>
      <c r="CZ43" s="59">
        <f t="shared" si="42"/>
        <v>353.21836615408171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112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3.747246876754434</v>
      </c>
      <c r="DG43" s="21">
        <f>EXP(-LN(2)/25)*DG42+(1-EXP(-LN(2)/25))/(LN(2)/25)*Calculateur!DB43*Calculateur!DD43*VLOOKUP('Données projet'!$B$13,Paramètres!$A$1:$I$89,3,0)*0.475*44/12</f>
        <v>22.866818775540402</v>
      </c>
      <c r="DH43" s="21">
        <f>EXP(-LN(2)/2)*DH42+(1-EXP(-LN(2)/2))/(LN(2)/2)*DB43*DE43*VLOOKUP('Données projet'!$B$13,Paramètres!$A$1:$I$89,3,0)*0.475*44/12</f>
        <v>1.0163152615761013</v>
      </c>
      <c r="DI43" s="22">
        <f t="shared" si="15"/>
        <v>27.630380913870937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285</v>
      </c>
      <c r="DM43" s="12">
        <f>VLOOKUP(A43,'Données projet'!$A$165:$I$185,9,0)</f>
        <v>13.7</v>
      </c>
      <c r="DN43" s="12">
        <f t="array" ref="DN43">INDEX(DM:DM,MIN(IF(ISNUMBER(DM43:DM239),ROW(DM43:DM239),"")))</f>
        <v>13.7</v>
      </c>
      <c r="DO43" s="12">
        <f>IF('Données projet'!$A$166&gt;35,DO42+DN43-DW42,IF(A43&lt;'Données projet'!$A$166,$DL$205^A43,IF(A43='Données projet'!$A$166,'Données projet'!$B$166,DO42+DN43-DW42)))</f>
        <v>284.99999999999989</v>
      </c>
      <c r="DP43" s="17">
        <f>DO43*VLOOKUP('Données projet'!$B$14,Paramètres!$A$1:$I$89,3,0)*VLOOKUP('Données projet'!$B$14,Paramètres!$A$1:$I$89,5,0)</f>
        <v>170.42999999999995</v>
      </c>
      <c r="DQ43" s="13">
        <f t="shared" si="43"/>
        <v>43.186315117079396</v>
      </c>
      <c r="DR43" s="20">
        <f t="shared" si="16"/>
        <v>372.04841549557983</v>
      </c>
      <c r="DS43" s="59">
        <f t="shared" si="17"/>
        <v>665.38174882891315</v>
      </c>
      <c r="DT43" s="59">
        <f ca="1">AVERAGE(OFFSET($DS$3,0,0,'Données projet'!$E$14+1,1))-AVERAGE(OFFSET($H$3,0,0,'Données projet'!$E$14+1,1))</f>
        <v>247.30892363953825</v>
      </c>
      <c r="DU43" s="59">
        <f t="shared" si="44"/>
        <v>248.38414731596578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9.737920816498832</v>
      </c>
      <c r="EC43" s="21">
        <f>EXP(-LN(2)/2)*EC42+(1-EXP(-LN(2)/2))/(LN(2)/2)*DW43*DZ43*VLOOKUP('Données projet'!$B$14,Paramètres!$A$1:$I$89,3,0)*0.475*44/12</f>
        <v>0.74154249605684286</v>
      </c>
      <c r="ED43" s="22">
        <f t="shared" si="18"/>
        <v>10.479463312555675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285</v>
      </c>
      <c r="EH43" s="12">
        <f>VLOOKUP(A43,'Données projet'!$A$191:$I$211,9,0)</f>
        <v>13.7</v>
      </c>
      <c r="EI43" s="12">
        <f t="array" ref="EI43">INDEX(EH:EH,MIN(IF(ISNUMBER(EH43:EH239),ROW(EH43:EH239),"")))</f>
        <v>13.7</v>
      </c>
      <c r="EJ43" s="12">
        <f>IF('Données projet'!$A$192&gt;35,EJ42+EI43-ER42,IF(A43&lt;'Données projet'!$A$192,$EG$205^A43,IF(A43='Données projet'!$A$192,'Données projet'!$B$192,EJ42+EI43-ER42)))</f>
        <v>284.99999999999989</v>
      </c>
      <c r="EK43" s="17">
        <f>EJ43*VLOOKUP('Données projet'!$B$15,Paramètres!$A$1:$I$89,3,0)*VLOOKUP('Données projet'!$B$15,Paramètres!$A$1:$I$89,5,0)</f>
        <v>170.42999999999995</v>
      </c>
      <c r="EL43" s="13">
        <f t="shared" si="45"/>
        <v>43.186315117079396</v>
      </c>
      <c r="EM43" s="20">
        <f t="shared" si="19"/>
        <v>372.04841549557983</v>
      </c>
      <c r="EN43" s="59">
        <f t="shared" si="20"/>
        <v>665.38174882891315</v>
      </c>
      <c r="EO43" s="59">
        <f ca="1">AVERAGE(OFFSET($EN$3,0,0,'Données projet'!$E$15+1,1))-AVERAGE(OFFSET($H$3,0,0,'Données projet'!$E$15+1,1))</f>
        <v>247.30892363953825</v>
      </c>
      <c r="EP43" s="59">
        <f t="shared" si="46"/>
        <v>248.38414731596578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9.737920816498832</v>
      </c>
      <c r="EX43" s="21">
        <f>EXP(-LN(2)/2)*EX42+(1-EXP(-LN(2)/2))/(LN(2)/2)*ER43*EU43*VLOOKUP('Données projet'!$B$15,Paramètres!$A$1:$I$89,3,0)*0.475*44/12</f>
        <v>0.74154249605684286</v>
      </c>
      <c r="EY43" s="22">
        <f t="shared" si="21"/>
        <v>10.479463312555675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448</v>
      </c>
      <c r="FC43" s="12">
        <f>VLOOKUP(A43,'Données projet'!$A$217:$I$237,9,0)</f>
        <v>22.6</v>
      </c>
      <c r="FD43" s="12">
        <f t="array" ref="FD43">INDEX(FC:FC,MIN(IF(ISNUMBER(FC43:FC239),ROW(FC43:FC239),"")))</f>
        <v>22.6</v>
      </c>
      <c r="FE43" s="12">
        <f>IF('Données projet'!$A$218&gt;35,FE42+FD43-FM42,IF(A43&lt;'Données projet'!$A$218,$FB$205^A43,IF(A43='Données projet'!$A$218,'Données projet'!$B$218,FE42+FD43-FM42)))</f>
        <v>448.00000000000017</v>
      </c>
      <c r="FF43" s="17">
        <f>FE43*VLOOKUP('Données projet'!$B$16,Paramètres!$A$1:$I$89,3,0)*VLOOKUP('Données projet'!$B$16,Paramètres!$A$1:$I$89,5,0)</f>
        <v>215.48800000000006</v>
      </c>
      <c r="FG43" s="13">
        <f t="shared" si="47"/>
        <v>53.133045236186121</v>
      </c>
      <c r="FH43" s="20">
        <f t="shared" si="22"/>
        <v>467.84832045302431</v>
      </c>
      <c r="FI43" s="59">
        <f t="shared" si="23"/>
        <v>761.18165378635763</v>
      </c>
      <c r="FJ43" s="59">
        <f ca="1">AVERAGE(OFFSET($FI$3,0,0,'Données projet'!$E$16+1,1))-AVERAGE(OFFSET($H$3,0,0,'Données projet'!$E$16+1,1))</f>
        <v>322.54393676667081</v>
      </c>
      <c r="FK43" s="59">
        <f t="shared" si="48"/>
        <v>296.73904998640018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132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5.5275003763420871</v>
      </c>
      <c r="FR43" s="21">
        <f>EXP(-LN(2)/25)*FR42+(1-EXP(-LN(2)/25))/(LN(2)/25)*Calculateur!FM43*Calculateur!FO43*VLOOKUP('Données projet'!$B$16,Paramètres!$A$1:$I$89,3,0)*0.475*44/12</f>
        <v>10.172834761566607</v>
      </c>
      <c r="FS43" s="21">
        <f>EXP(-LN(2)/2)*FS42+(1-EXP(-LN(2)/2))/(LN(2)/2)*FM43*FP43*VLOOKUP('Données projet'!$B$16,Paramètres!$A$1:$I$89,3,0)*0.475*44/12</f>
        <v>0.6535244821322761</v>
      </c>
      <c r="FT43" s="22">
        <f t="shared" si="24"/>
        <v>16.353859620040971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745.18247892131149</v>
      </c>
      <c r="S44" s="59">
        <f ca="1">AVERAGE(OFFSET($R$3,0,0,'Données projet'!$E$9+1,1))-AVERAGE(OFFSET($H$3,0,0,'Données projet'!$E$9+1,1))</f>
        <v>401.06118089678654</v>
      </c>
      <c r="T44" s="59">
        <f t="shared" si="34"/>
        <v>399.58193819355591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224.00000000000017</v>
      </c>
      <c r="AJ44" s="13">
        <f>AI44*VLOOKUP('Données projet'!$B$10,Paramètres!$A$1:$I$89,3,0)*VLOOKUP('Données projet'!$B$10,Paramètres!$A$1:$I$89,5,0)</f>
        <v>139.77600000000012</v>
      </c>
      <c r="AK44" s="13">
        <f t="shared" si="35"/>
        <v>36.245685459195322</v>
      </c>
      <c r="AL44" s="20">
        <f t="shared" si="4"/>
        <v>306.57110217476543</v>
      </c>
      <c r="AM44" s="59">
        <f t="shared" si="5"/>
        <v>599.90443550809869</v>
      </c>
      <c r="AN44" s="59">
        <f ca="1">AVERAGE(OFFSET($AM$3,0,0,'Données projet'!$E$10+1,1))-AVERAGE(OFFSET($H$3,0,0,'Données projet'!$E$10+1,1))</f>
        <v>240.30073883588199</v>
      </c>
      <c r="AO44" s="59">
        <f t="shared" si="36"/>
        <v>263.20351282678843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5.5922014139307734</v>
      </c>
      <c r="AV44" s="21">
        <f>EXP(-LN(2)/25)*AV43+(1-EXP(-LN(2)/25))/(LN(2)/25)*Calculateur!AQ44*Calculateur!AS44*VLOOKUP('Données projet'!$B$10,Paramètres!$A$1:$I$89,3,0)*0.475*44/12</f>
        <v>15.323486765630069</v>
      </c>
      <c r="AW44" s="21">
        <f>EXP(-LN(2)/2)*AW43+(1-EXP(-LN(2)/2))/(LN(2)/2)*AQ44*AT44*VLOOKUP('Données projet'!$B$10,Paramètres!$A$1:$I$89,3,0)*0.475*44/12</f>
        <v>0.44615820501135706</v>
      </c>
      <c r="AX44" s="21">
        <f t="shared" si="6"/>
        <v>21.3618463845722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23.5</v>
      </c>
      <c r="BD44" s="12">
        <f>IF('Données projet'!$A$88&gt;35,BD43+BC44-BL43,IF(A44&lt;'Données projet'!$A$88,$BA$205^A44,IF(A44='Données projet'!$A$88,'Données projet'!$B$88,BD43+BC44-BL43)))</f>
        <v>396.5</v>
      </c>
      <c r="BE44" s="13">
        <f>BD44*VLOOKUP('Données projet'!$B$11,Paramètres!$A$1:$I$89,3,0)*VLOOKUP('Données projet'!$B$11,Paramètres!$A$1:$I$89,5,0)</f>
        <v>190.7165</v>
      </c>
      <c r="BF44" s="13">
        <f t="shared" si="37"/>
        <v>47.698326110267381</v>
      </c>
      <c r="BG44" s="20">
        <f t="shared" si="7"/>
        <v>415.23915547538235</v>
      </c>
      <c r="BH44" s="59">
        <f t="shared" si="8"/>
        <v>708.57248880871566</v>
      </c>
      <c r="BI44" s="59">
        <f ca="1">AVERAGE(OFFSET($BH$3,0,0,'Données projet'!$E$11+1,1))-AVERAGE(OFFSET($H$3,0,0,'Données projet'!$E$11+1,1))</f>
        <v>364.67510777943329</v>
      </c>
      <c r="BJ44" s="59">
        <f t="shared" si="38"/>
        <v>352.13878061387169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7.1125811733432052</v>
      </c>
      <c r="BQ44" s="21">
        <f>EXP(-LN(2)/25)*BQ43+(1-EXP(-LN(2)/25))/(LN(2)/25)*Calculateur!BL44*Calculateur!BN44*VLOOKUP('Données projet'!$B$11,Paramètres!$A$1:$I$89,3,0)*0.475*44/12</f>
        <v>13.27965856985586</v>
      </c>
      <c r="BR44" s="21">
        <f>EXP(-LN(2)/2)*BR43+(1-EXP(-LN(2)/2))/(LN(2)/2)*BL44*BO44*VLOOKUP('Données projet'!$B$11,Paramètres!$A$1:$I$89,3,0)*0.475*44/12</f>
        <v>0.60708556686130521</v>
      </c>
      <c r="BS44" s="22">
        <f t="shared" si="9"/>
        <v>20.999325310060367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11.499999999999996</v>
      </c>
      <c r="BY44" s="12">
        <f>IF('Données projet'!$A$114&gt;35,BY43+BX44-CG43,IF(A44&lt;'Données projet'!$A$114,$BV$205^A44,IF(A44='Données projet'!$A$114,'Données projet'!$B$114,BY43+BX44-CG43)))</f>
        <v>219.6999999999999</v>
      </c>
      <c r="BZ44" s="13">
        <f>BY44*VLOOKUP('Données projet'!$B$12,Paramètres!$A$1:$I$89,3,0)*VLOOKUP('Données projet'!$B$12,Paramètres!$A$1:$I$89,5,0)</f>
        <v>102.81959999999995</v>
      </c>
      <c r="CA44" s="13">
        <f t="shared" si="39"/>
        <v>27.632637448562328</v>
      </c>
      <c r="CB44" s="20">
        <f t="shared" si="10"/>
        <v>227.20431355624598</v>
      </c>
      <c r="CC44" s="59">
        <f t="shared" si="11"/>
        <v>520.53764688957926</v>
      </c>
      <c r="CD44" s="59">
        <f ca="1">AVERAGE(OFFSET($CC$3,0,0,'Données projet'!$E$12+1,1))-AVERAGE(OFFSET($H$3,0,0,'Données projet'!$E$12+1,1))</f>
        <v>252.98248842635206</v>
      </c>
      <c r="CE44" s="59">
        <f t="shared" si="40"/>
        <v>207.11938580878308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2.5209843695478997</v>
      </c>
      <c r="CL44" s="21">
        <f>EXP(-LN(2)/25)*CL43+(1-EXP(-LN(2)/25))/(LN(2)/25)*Calculateur!CG44*Calculateur!CI44*VLOOKUP('Données projet'!$B$12,Paramètres!$A$1:$I$89,3,0)*0.475*44/12</f>
        <v>5.7905346423098703</v>
      </c>
      <c r="CM44" s="21">
        <f>EXP(-LN(2)/2)*CM43+(1-EXP(-LN(2)/2))/(LN(2)/2)*CG44*CJ44*VLOOKUP('Données projet'!$B$12,Paramètres!$A$1:$I$89,3,0)*0.475*44/12</f>
        <v>0.21726245822000553</v>
      </c>
      <c r="CN44" s="22">
        <f t="shared" si="12"/>
        <v>8.5287814700777762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19.2</v>
      </c>
      <c r="CT44" s="12">
        <f>IF('Données projet'!$A$140&gt;35,CT43+CS44-DB43,IF(A44&lt;'Données projet'!$A$140,$CQ$205^A44,IF(A44='Données projet'!$A$140,'Données projet'!$B$140,CT43+CS44-DB43)))</f>
        <v>336.19999999999987</v>
      </c>
      <c r="CU44" s="17">
        <f>CT44*VLOOKUP('Données projet'!$B$13,Paramètres!$A$1:$I$89,3,0)*VLOOKUP('Données projet'!$B$13,Paramètres!$A$1:$I$89,5,0)</f>
        <v>187.93579999999994</v>
      </c>
      <c r="CV44" s="13">
        <f t="shared" si="41"/>
        <v>47.083297807364765</v>
      </c>
      <c r="CW44" s="20">
        <f t="shared" si="13"/>
        <v>409.3249286811602</v>
      </c>
      <c r="CX44" s="59">
        <f t="shared" si="14"/>
        <v>702.65826201449352</v>
      </c>
      <c r="CY44" s="59">
        <f ca="1">AVERAGE(OFFSET($CX$3,0,0,'Données projet'!$E$13+1,1))-AVERAGE(OFFSET($H$3,0,0,'Données projet'!$E$13+1,1))</f>
        <v>356.67698551373468</v>
      </c>
      <c r="CZ44" s="59">
        <f t="shared" si="42"/>
        <v>353.21836615408171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3.6737656510961907</v>
      </c>
      <c r="DG44" s="21">
        <f>EXP(-LN(2)/25)*DG43+(1-EXP(-LN(2)/25))/(LN(2)/25)*Calculateur!DB44*Calculateur!DD44*VLOOKUP('Données projet'!$B$13,Paramètres!$A$1:$I$89,3,0)*0.475*44/12</f>
        <v>22.241524413609515</v>
      </c>
      <c r="DH44" s="21">
        <f>EXP(-LN(2)/2)*DH43+(1-EXP(-LN(2)/2))/(LN(2)/2)*DB44*DE44*VLOOKUP('Données projet'!$B$13,Paramètres!$A$1:$I$89,3,0)*0.475*44/12</f>
        <v>0.71864341328384107</v>
      </c>
      <c r="DI44" s="22">
        <f t="shared" si="15"/>
        <v>26.633933477989544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12.8</v>
      </c>
      <c r="DO44" s="12">
        <f>IF('Données projet'!$A$166&gt;35,DO43+DN44-DW43,IF(A44&lt;'Données projet'!$A$166,$DL$205^A44,IF(A44='Données projet'!$A$166,'Données projet'!$B$166,DO43+DN44-DW43)))</f>
        <v>227.7999999999999</v>
      </c>
      <c r="DP44" s="17">
        <f>DO44*VLOOKUP('Données projet'!$B$14,Paramètres!$A$1:$I$89,3,0)*VLOOKUP('Données projet'!$B$14,Paramètres!$A$1:$I$89,5,0)</f>
        <v>136.22439999999995</v>
      </c>
      <c r="DQ44" s="13">
        <f t="shared" si="43"/>
        <v>35.430697151629076</v>
      </c>
      <c r="DR44" s="20">
        <f t="shared" si="16"/>
        <v>298.96596087242057</v>
      </c>
      <c r="DS44" s="59">
        <f t="shared" si="17"/>
        <v>592.29929420575388</v>
      </c>
      <c r="DT44" s="59">
        <f ca="1">AVERAGE(OFFSET($DS$3,0,0,'Données projet'!$E$14+1,1))-AVERAGE(OFFSET($H$3,0,0,'Données projet'!$E$14+1,1))</f>
        <v>247.30892363953825</v>
      </c>
      <c r="DU44" s="59">
        <f t="shared" si="44"/>
        <v>248.38414731596578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9.4716368596766713</v>
      </c>
      <c r="EC44" s="21">
        <f>EXP(-LN(2)/2)*EC43+(1-EXP(-LN(2)/2))/(LN(2)/2)*DW44*DZ44*VLOOKUP('Données projet'!$B$14,Paramètres!$A$1:$I$89,3,0)*0.475*44/12</f>
        <v>0.52434972749979225</v>
      </c>
      <c r="ED44" s="22">
        <f t="shared" si="18"/>
        <v>9.9959865871764642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12.8</v>
      </c>
      <c r="EJ44" s="12">
        <f>IF('Données projet'!$A$192&gt;35,EJ43+EI44-ER43,IF(A44&lt;'Données projet'!$A$192,$EG$205^A44,IF(A44='Données projet'!$A$192,'Données projet'!$B$192,EJ43+EI44-ER43)))</f>
        <v>227.7999999999999</v>
      </c>
      <c r="EK44" s="17">
        <f>EJ44*VLOOKUP('Données projet'!$B$15,Paramètres!$A$1:$I$89,3,0)*VLOOKUP('Données projet'!$B$15,Paramètres!$A$1:$I$89,5,0)</f>
        <v>136.22439999999995</v>
      </c>
      <c r="EL44" s="13">
        <f t="shared" si="45"/>
        <v>35.430697151629076</v>
      </c>
      <c r="EM44" s="20">
        <f t="shared" si="19"/>
        <v>298.96596087242057</v>
      </c>
      <c r="EN44" s="59">
        <f t="shared" si="20"/>
        <v>592.29929420575388</v>
      </c>
      <c r="EO44" s="59">
        <f ca="1">AVERAGE(OFFSET($EN$3,0,0,'Données projet'!$E$15+1,1))-AVERAGE(OFFSET($H$3,0,0,'Données projet'!$E$15+1,1))</f>
        <v>247.30892363953825</v>
      </c>
      <c r="EP44" s="59">
        <f t="shared" si="46"/>
        <v>248.38414731596578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9.4716368596766713</v>
      </c>
      <c r="EX44" s="21">
        <f>EXP(-LN(2)/2)*EX43+(1-EXP(-LN(2)/2))/(LN(2)/2)*ER44*EU44*VLOOKUP('Données projet'!$B$15,Paramètres!$A$1:$I$89,3,0)*0.475*44/12</f>
        <v>0.52434972749979225</v>
      </c>
      <c r="EY44" s="22">
        <f t="shared" si="21"/>
        <v>9.9959865871764642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23.4</v>
      </c>
      <c r="FE44" s="12">
        <f>IF('Données projet'!$A$218&gt;35,FE43+FD44-FM43,IF(A44&lt;'Données projet'!$A$218,$FB$205^A44,IF(A44='Données projet'!$A$218,'Données projet'!$B$218,FE43+FD44-FM43)))</f>
        <v>339.40000000000015</v>
      </c>
      <c r="FF44" s="17">
        <f>FE44*VLOOKUP('Données projet'!$B$16,Paramètres!$A$1:$I$89,3,0)*VLOOKUP('Données projet'!$B$16,Paramètres!$A$1:$I$89,5,0)</f>
        <v>163.25140000000007</v>
      </c>
      <c r="FG44" s="13">
        <f t="shared" si="47"/>
        <v>41.575016896583769</v>
      </c>
      <c r="FH44" s="20">
        <f t="shared" si="22"/>
        <v>356.73934276155018</v>
      </c>
      <c r="FI44" s="59">
        <f t="shared" si="23"/>
        <v>650.07267609488349</v>
      </c>
      <c r="FJ44" s="59">
        <f ca="1">AVERAGE(OFFSET($FI$3,0,0,'Données projet'!$E$16+1,1))-AVERAGE(OFFSET($H$3,0,0,'Données projet'!$E$16+1,1))</f>
        <v>322.54393676667081</v>
      </c>
      <c r="FK44" s="59">
        <f t="shared" si="48"/>
        <v>296.73904998640018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5.4191094654043459</v>
      </c>
      <c r="FR44" s="21">
        <f>EXP(-LN(2)/25)*FR43+(1-EXP(-LN(2)/25))/(LN(2)/25)*Calculateur!FM44*Calculateur!FO44*VLOOKUP('Données projet'!$B$16,Paramètres!$A$1:$I$89,3,0)*0.475*44/12</f>
        <v>9.8946580600454386</v>
      </c>
      <c r="FS44" s="21">
        <f>EXP(-LN(2)/2)*FS43+(1-EXP(-LN(2)/2))/(LN(2)/2)*FM44*FP44*VLOOKUP('Données projet'!$B$16,Paramètres!$A$1:$I$89,3,0)*0.475*44/12</f>
        <v>0.46211159298715915</v>
      </c>
      <c r="FT44" s="22">
        <f t="shared" si="24"/>
        <v>15.775879118436944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770.08645729957652</v>
      </c>
      <c r="S45" s="59">
        <f ca="1">AVERAGE(OFFSET($R$3,0,0,'Données projet'!$E$9+1,1))-AVERAGE(OFFSET($H$3,0,0,'Données projet'!$E$9+1,1))</f>
        <v>401.06118089678654</v>
      </c>
      <c r="T45" s="59">
        <f t="shared" si="34"/>
        <v>399.58193819355591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235.00000000000017</v>
      </c>
      <c r="AJ45" s="13">
        <f>AI45*VLOOKUP('Données projet'!$B$10,Paramètres!$A$1:$I$89,3,0)*VLOOKUP('Données projet'!$B$10,Paramètres!$A$1:$I$89,5,0)</f>
        <v>146.6400000000001</v>
      </c>
      <c r="AK45" s="13">
        <f t="shared" si="35"/>
        <v>37.814009712703054</v>
      </c>
      <c r="AL45" s="20">
        <f t="shared" si="4"/>
        <v>321.25740024962471</v>
      </c>
      <c r="AM45" s="59">
        <f t="shared" si="5"/>
        <v>614.59073358295802</v>
      </c>
      <c r="AN45" s="59">
        <f ca="1">AVERAGE(OFFSET($AM$3,0,0,'Données projet'!$E$10+1,1))-AVERAGE(OFFSET($H$3,0,0,'Données projet'!$E$10+1,1))</f>
        <v>240.30073883588199</v>
      </c>
      <c r="AO45" s="59">
        <f t="shared" si="36"/>
        <v>263.20351282678843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5.4825417551096542</v>
      </c>
      <c r="AV45" s="21">
        <f>EXP(-LN(2)/25)*AV44+(1-EXP(-LN(2)/25))/(LN(2)/25)*Calculateur!AQ45*Calculateur!AS45*VLOOKUP('Données projet'!$B$10,Paramètres!$A$1:$I$89,3,0)*0.475*44/12</f>
        <v>14.904465214196767</v>
      </c>
      <c r="AW45" s="21">
        <f>EXP(-LN(2)/2)*AW44+(1-EXP(-LN(2)/2))/(LN(2)/2)*AQ45*AT45*VLOOKUP('Données projet'!$B$10,Paramètres!$A$1:$I$89,3,0)*0.475*44/12</f>
        <v>0.3154814922455485</v>
      </c>
      <c r="AX45" s="21">
        <f t="shared" si="6"/>
        <v>20.702488461551969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23.5</v>
      </c>
      <c r="BD45" s="12">
        <f>IF('Données projet'!$A$88&gt;35,BD44+BC45-BL44,IF(A45&lt;'Données projet'!$A$88,$BA$205^A45,IF(A45='Données projet'!$A$88,'Données projet'!$B$88,BD44+BC45-BL44)))</f>
        <v>420</v>
      </c>
      <c r="BE45" s="13">
        <f>BD45*VLOOKUP('Données projet'!$B$11,Paramètres!$A$1:$I$89,3,0)*VLOOKUP('Données projet'!$B$11,Paramètres!$A$1:$I$89,5,0)</f>
        <v>202.02</v>
      </c>
      <c r="BF45" s="13">
        <f t="shared" si="37"/>
        <v>50.187842607873506</v>
      </c>
      <c r="BG45" s="20">
        <f t="shared" si="7"/>
        <v>439.26199254204636</v>
      </c>
      <c r="BH45" s="59">
        <f t="shared" si="8"/>
        <v>732.59532587537967</v>
      </c>
      <c r="BI45" s="59">
        <f ca="1">AVERAGE(OFFSET($BH$3,0,0,'Données projet'!$E$11+1,1))-AVERAGE(OFFSET($H$3,0,0,'Données projet'!$E$11+1,1))</f>
        <v>364.67510777943329</v>
      </c>
      <c r="BJ45" s="59">
        <f t="shared" si="38"/>
        <v>352.13878061387169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6.9731077947800948</v>
      </c>
      <c r="BQ45" s="21">
        <f>EXP(-LN(2)/25)*BQ44+(1-EXP(-LN(2)/25))/(LN(2)/25)*Calculateur!BL45*Calculateur!BN45*VLOOKUP('Données projet'!$B$11,Paramètres!$A$1:$I$89,3,0)*0.475*44/12</f>
        <v>12.916525607916258</v>
      </c>
      <c r="BR45" s="21">
        <f>EXP(-LN(2)/2)*BR44+(1-EXP(-LN(2)/2))/(LN(2)/2)*BL45*BO45*VLOOKUP('Données projet'!$B$11,Paramètres!$A$1:$I$89,3,0)*0.475*44/12</f>
        <v>0.42927432108810815</v>
      </c>
      <c r="BS45" s="22">
        <f t="shared" si="9"/>
        <v>20.318907723784463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11.499999999999996</v>
      </c>
      <c r="BY45" s="12">
        <f>IF('Données projet'!$A$114&gt;35,BY44+BX45-CG44,IF(A45&lt;'Données projet'!$A$114,$BV$205^A45,IF(A45='Données projet'!$A$114,'Données projet'!$B$114,BY44+BX45-CG44)))</f>
        <v>231.1999999999999</v>
      </c>
      <c r="BZ45" s="13">
        <f>BY45*VLOOKUP('Données projet'!$B$12,Paramètres!$A$1:$I$89,3,0)*VLOOKUP('Données projet'!$B$12,Paramètres!$A$1:$I$89,5,0)</f>
        <v>108.20159999999994</v>
      </c>
      <c r="CA45" s="13">
        <f t="shared" si="39"/>
        <v>28.906861857161235</v>
      </c>
      <c r="CB45" s="20">
        <f t="shared" si="10"/>
        <v>238.79723773455569</v>
      </c>
      <c r="CC45" s="59">
        <f t="shared" si="11"/>
        <v>532.13057106788904</v>
      </c>
      <c r="CD45" s="59">
        <f ca="1">AVERAGE(OFFSET($CC$3,0,0,'Données projet'!$E$12+1,1))-AVERAGE(OFFSET($H$3,0,0,'Données projet'!$E$12+1,1))</f>
        <v>252.98248842635206</v>
      </c>
      <c r="CE45" s="59">
        <f t="shared" si="40"/>
        <v>207.11938580878308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2.4715494037097008</v>
      </c>
      <c r="CL45" s="21">
        <f>EXP(-LN(2)/25)*CL44+(1-EXP(-LN(2)/25))/(LN(2)/25)*Calculateur!CG45*Calculateur!CI45*VLOOKUP('Données projet'!$B$12,Paramètres!$A$1:$I$89,3,0)*0.475*44/12</f>
        <v>5.6321921680049245</v>
      </c>
      <c r="CM45" s="21">
        <f>EXP(-LN(2)/2)*CM44+(1-EXP(-LN(2)/2))/(LN(2)/2)*CG45*CJ45*VLOOKUP('Données projet'!$B$12,Paramètres!$A$1:$I$89,3,0)*0.475*44/12</f>
        <v>0.15362775750462487</v>
      </c>
      <c r="CN45" s="22">
        <f t="shared" si="12"/>
        <v>8.2573693292192498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19.2</v>
      </c>
      <c r="CT45" s="12">
        <f>IF('Données projet'!$A$140&gt;35,CT44+CS45-DB44,IF(A45&lt;'Données projet'!$A$140,$CQ$205^A45,IF(A45='Données projet'!$A$140,'Données projet'!$B$140,CT44+CS45-DB44)))</f>
        <v>355.39999999999986</v>
      </c>
      <c r="CU45" s="17">
        <f>CT45*VLOOKUP('Données projet'!$B$13,Paramètres!$A$1:$I$89,3,0)*VLOOKUP('Données projet'!$B$13,Paramètres!$A$1:$I$89,5,0)</f>
        <v>198.66859999999994</v>
      </c>
      <c r="CV45" s="13">
        <f t="shared" si="41"/>
        <v>49.451452656287465</v>
      </c>
      <c r="CW45" s="20">
        <f t="shared" si="13"/>
        <v>432.14242504303388</v>
      </c>
      <c r="CX45" s="59">
        <f t="shared" si="14"/>
        <v>725.47575837636714</v>
      </c>
      <c r="CY45" s="59">
        <f ca="1">AVERAGE(OFFSET($CX$3,0,0,'Données projet'!$E$13+1,1))-AVERAGE(OFFSET($H$3,0,0,'Données projet'!$E$13+1,1))</f>
        <v>356.67698551373468</v>
      </c>
      <c r="CZ45" s="59">
        <f t="shared" si="42"/>
        <v>353.21836615408171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3.6017253474539834</v>
      </c>
      <c r="DG45" s="21">
        <f>EXP(-LN(2)/25)*DG44+(1-EXP(-LN(2)/25))/(LN(2)/25)*Calculateur!DB45*Calculateur!DD45*VLOOKUP('Données projet'!$B$13,Paramètres!$A$1:$I$89,3,0)*0.475*44/12</f>
        <v>21.633328758888428</v>
      </c>
      <c r="DH45" s="21">
        <f>EXP(-LN(2)/2)*DH44+(1-EXP(-LN(2)/2))/(LN(2)/2)*DB45*DE45*VLOOKUP('Données projet'!$B$13,Paramètres!$A$1:$I$89,3,0)*0.475*44/12</f>
        <v>0.50815763078805065</v>
      </c>
      <c r="DI45" s="22">
        <f t="shared" si="15"/>
        <v>25.743211737130462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12.8</v>
      </c>
      <c r="DO45" s="12">
        <f>IF('Données projet'!$A$166&gt;35,DO44+DN45-DW44,IF(A45&lt;'Données projet'!$A$166,$DL$205^A45,IF(A45='Données projet'!$A$166,'Données projet'!$B$166,DO44+DN45-DW44)))</f>
        <v>240.59999999999991</v>
      </c>
      <c r="DP45" s="17">
        <f>DO45*VLOOKUP('Données projet'!$B$14,Paramètres!$A$1:$I$89,3,0)*VLOOKUP('Données projet'!$B$14,Paramètres!$A$1:$I$89,5,0)</f>
        <v>143.87879999999996</v>
      </c>
      <c r="DQ45" s="13">
        <f t="shared" si="43"/>
        <v>37.184165858158067</v>
      </c>
      <c r="DR45" s="20">
        <f t="shared" si="16"/>
        <v>315.35133220295853</v>
      </c>
      <c r="DS45" s="59">
        <f t="shared" si="17"/>
        <v>608.68466553629185</v>
      </c>
      <c r="DT45" s="59">
        <f ca="1">AVERAGE(OFFSET($DS$3,0,0,'Données projet'!$E$14+1,1))-AVERAGE(OFFSET($H$3,0,0,'Données projet'!$E$14+1,1))</f>
        <v>247.30892363953825</v>
      </c>
      <c r="DU45" s="59">
        <f t="shared" si="44"/>
        <v>248.38414731596578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9.2126344516570775</v>
      </c>
      <c r="EC45" s="21">
        <f>EXP(-LN(2)/2)*EC44+(1-EXP(-LN(2)/2))/(LN(2)/2)*DW45*DZ45*VLOOKUP('Données projet'!$B$14,Paramètres!$A$1:$I$89,3,0)*0.475*44/12</f>
        <v>0.37077124802842143</v>
      </c>
      <c r="ED45" s="22">
        <f t="shared" si="18"/>
        <v>9.5834056996854997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12.8</v>
      </c>
      <c r="EJ45" s="12">
        <f>IF('Données projet'!$A$192&gt;35,EJ44+EI45-ER44,IF(A45&lt;'Données projet'!$A$192,$EG$205^A45,IF(A45='Données projet'!$A$192,'Données projet'!$B$192,EJ44+EI45-ER44)))</f>
        <v>240.59999999999991</v>
      </c>
      <c r="EK45" s="17">
        <f>EJ45*VLOOKUP('Données projet'!$B$15,Paramètres!$A$1:$I$89,3,0)*VLOOKUP('Données projet'!$B$15,Paramètres!$A$1:$I$89,5,0)</f>
        <v>143.87879999999996</v>
      </c>
      <c r="EL45" s="13">
        <f t="shared" si="45"/>
        <v>37.184165858158067</v>
      </c>
      <c r="EM45" s="20">
        <f t="shared" si="19"/>
        <v>315.35133220295853</v>
      </c>
      <c r="EN45" s="59">
        <f t="shared" si="20"/>
        <v>608.68466553629185</v>
      </c>
      <c r="EO45" s="59">
        <f ca="1">AVERAGE(OFFSET($EN$3,0,0,'Données projet'!$E$15+1,1))-AVERAGE(OFFSET($H$3,0,0,'Données projet'!$E$15+1,1))</f>
        <v>247.30892363953825</v>
      </c>
      <c r="EP45" s="59">
        <f t="shared" si="46"/>
        <v>248.38414731596578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9.2126344516570775</v>
      </c>
      <c r="EX45" s="21">
        <f>EXP(-LN(2)/2)*EX44+(1-EXP(-LN(2)/2))/(LN(2)/2)*ER45*EU45*VLOOKUP('Données projet'!$B$15,Paramètres!$A$1:$I$89,3,0)*0.475*44/12</f>
        <v>0.37077124802842143</v>
      </c>
      <c r="EY45" s="22">
        <f t="shared" si="21"/>
        <v>9.5834056996854997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23.4</v>
      </c>
      <c r="FE45" s="12">
        <f>IF('Données projet'!$A$218&gt;35,FE44+FD45-FM44,IF(A45&lt;'Données projet'!$A$218,$FB$205^A45,IF(A45='Données projet'!$A$218,'Données projet'!$B$218,FE44+FD45-FM44)))</f>
        <v>362.80000000000013</v>
      </c>
      <c r="FF45" s="17">
        <f>FE45*VLOOKUP('Données projet'!$B$16,Paramètres!$A$1:$I$89,3,0)*VLOOKUP('Données projet'!$B$16,Paramètres!$A$1:$I$89,5,0)</f>
        <v>174.50680000000006</v>
      </c>
      <c r="FG45" s="13">
        <f t="shared" si="47"/>
        <v>44.097854637536997</v>
      </c>
      <c r="FH45" s="20">
        <f t="shared" si="22"/>
        <v>380.73644016037707</v>
      </c>
      <c r="FI45" s="59">
        <f t="shared" si="23"/>
        <v>674.06977349371039</v>
      </c>
      <c r="FJ45" s="59">
        <f ca="1">AVERAGE(OFFSET($FI$3,0,0,'Données projet'!$E$16+1,1))-AVERAGE(OFFSET($H$3,0,0,'Données projet'!$E$16+1,1))</f>
        <v>322.54393676667081</v>
      </c>
      <c r="FK45" s="59">
        <f t="shared" si="48"/>
        <v>296.73904998640018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5.3128440341181662</v>
      </c>
      <c r="FR45" s="21">
        <f>EXP(-LN(2)/25)*FR44+(1-EXP(-LN(2)/25))/(LN(2)/25)*Calculateur!FM45*Calculateur!FO45*VLOOKUP('Données projet'!$B$16,Paramètres!$A$1:$I$89,3,0)*0.475*44/12</f>
        <v>9.6240881150560433</v>
      </c>
      <c r="FS45" s="21">
        <f>EXP(-LN(2)/2)*FS44+(1-EXP(-LN(2)/2))/(LN(2)/2)*FM45*FP45*VLOOKUP('Données projet'!$B$16,Paramètres!$A$1:$I$89,3,0)*0.475*44/12</f>
        <v>0.32676224106613805</v>
      </c>
      <c r="FT45" s="22">
        <f t="shared" si="24"/>
        <v>15.263694390240348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794.96277632581439</v>
      </c>
      <c r="S46" s="59">
        <f ca="1">AVERAGE(OFFSET($R$3,0,0,'Données projet'!$E$9+1,1))-AVERAGE(OFFSET($H$3,0,0,'Données projet'!$E$9+1,1))</f>
        <v>401.06118089678654</v>
      </c>
      <c r="T46" s="59">
        <f t="shared" si="34"/>
        <v>399.58193819355591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246.00000000000017</v>
      </c>
      <c r="AJ46" s="13">
        <f>AI46*VLOOKUP('Données projet'!$B$10,Paramètres!$A$1:$I$89,3,0)*VLOOKUP('Données projet'!$B$10,Paramètres!$A$1:$I$89,5,0)</f>
        <v>153.5040000000001</v>
      </c>
      <c r="AK46" s="13">
        <f t="shared" si="35"/>
        <v>39.373808884365637</v>
      </c>
      <c r="AL46" s="20">
        <f t="shared" si="4"/>
        <v>335.92885047360363</v>
      </c>
      <c r="AM46" s="59">
        <f t="shared" si="5"/>
        <v>629.26218380693695</v>
      </c>
      <c r="AN46" s="59">
        <f ca="1">AVERAGE(OFFSET($AM$3,0,0,'Données projet'!$E$10+1,1))-AVERAGE(OFFSET($H$3,0,0,'Données projet'!$E$10+1,1))</f>
        <v>240.30073883588199</v>
      </c>
      <c r="AO46" s="59">
        <f t="shared" si="36"/>
        <v>263.20351282678843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5.3750324553122297</v>
      </c>
      <c r="AV46" s="21">
        <f>EXP(-LN(2)/25)*AV45+(1-EXP(-LN(2)/25))/(LN(2)/25)*Calculateur!AQ46*Calculateur!AS46*VLOOKUP('Données projet'!$B$10,Paramètres!$A$1:$I$89,3,0)*0.475*44/12</f>
        <v>14.496901829122795</v>
      </c>
      <c r="AW46" s="21">
        <f>EXP(-LN(2)/2)*AW45+(1-EXP(-LN(2)/2))/(LN(2)/2)*AQ46*AT46*VLOOKUP('Données projet'!$B$10,Paramètres!$A$1:$I$89,3,0)*0.475*44/12</f>
        <v>0.22307910250567856</v>
      </c>
      <c r="AX46" s="21">
        <f t="shared" si="6"/>
        <v>20.095013386940703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23.5</v>
      </c>
      <c r="BD46" s="12">
        <f>IF('Données projet'!$A$88&gt;35,BD45+BC46-BL45,IF(A46&lt;'Données projet'!$A$88,$BA$205^A46,IF(A46='Données projet'!$A$88,'Données projet'!$B$88,BD45+BC46-BL45)))</f>
        <v>443.5</v>
      </c>
      <c r="BE46" s="13">
        <f>BD46*VLOOKUP('Données projet'!$B$11,Paramètres!$A$1:$I$89,3,0)*VLOOKUP('Données projet'!$B$11,Paramètres!$A$1:$I$89,5,0)</f>
        <v>213.3235</v>
      </c>
      <c r="BF46" s="13">
        <f t="shared" si="37"/>
        <v>52.661189019068658</v>
      </c>
      <c r="BG46" s="20">
        <f t="shared" si="7"/>
        <v>463.25666670821124</v>
      </c>
      <c r="BH46" s="59">
        <f t="shared" si="8"/>
        <v>756.5900000415445</v>
      </c>
      <c r="BI46" s="59">
        <f ca="1">AVERAGE(OFFSET($BH$3,0,0,'Données projet'!$E$11+1,1))-AVERAGE(OFFSET($H$3,0,0,'Données projet'!$E$11+1,1))</f>
        <v>364.67510777943329</v>
      </c>
      <c r="BJ46" s="59">
        <f t="shared" si="38"/>
        <v>352.13878061387169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6.8363694041002461</v>
      </c>
      <c r="BQ46" s="21">
        <f>EXP(-LN(2)/25)*BQ45+(1-EXP(-LN(2)/25))/(LN(2)/25)*Calculateur!BL46*Calculateur!BN46*VLOOKUP('Données projet'!$B$11,Paramètres!$A$1:$I$89,3,0)*0.475*44/12</f>
        <v>12.563322535917226</v>
      </c>
      <c r="BR46" s="21">
        <f>EXP(-LN(2)/2)*BR45+(1-EXP(-LN(2)/2))/(LN(2)/2)*BL46*BO46*VLOOKUP('Données projet'!$B$11,Paramètres!$A$1:$I$89,3,0)*0.475*44/12</f>
        <v>0.30354278343065266</v>
      </c>
      <c r="BS46" s="22">
        <f t="shared" si="9"/>
        <v>19.703234723448126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11.499999999999996</v>
      </c>
      <c r="BY46" s="12">
        <f>IF('Données projet'!$A$114&gt;35,BY45+BX46-CG45,IF(A46&lt;'Données projet'!$A$114,$BV$205^A46,IF(A46='Données projet'!$A$114,'Données projet'!$B$114,BY45+BX46-CG45)))</f>
        <v>242.6999999999999</v>
      </c>
      <c r="BZ46" s="13">
        <f>BY46*VLOOKUP('Données projet'!$B$12,Paramètres!$A$1:$I$89,3,0)*VLOOKUP('Données projet'!$B$12,Paramètres!$A$1:$I$89,5,0)</f>
        <v>113.58359999999995</v>
      </c>
      <c r="CA46" s="13">
        <f t="shared" si="39"/>
        <v>30.17372688298952</v>
      </c>
      <c r="CB46" s="20">
        <f t="shared" si="10"/>
        <v>250.37734432120666</v>
      </c>
      <c r="CC46" s="59">
        <f t="shared" si="11"/>
        <v>543.71067765453995</v>
      </c>
      <c r="CD46" s="59">
        <f ca="1">AVERAGE(OFFSET($CC$3,0,0,'Données projet'!$E$12+1,1))-AVERAGE(OFFSET($H$3,0,0,'Données projet'!$E$12+1,1))</f>
        <v>252.98248842635206</v>
      </c>
      <c r="CE46" s="59">
        <f t="shared" si="40"/>
        <v>207.11938580878308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2.4230838273992368</v>
      </c>
      <c r="CL46" s="21">
        <f>EXP(-LN(2)/25)*CL45+(1-EXP(-LN(2)/25))/(LN(2)/25)*Calculateur!CG46*Calculateur!CI46*VLOOKUP('Données projet'!$B$12,Paramètres!$A$1:$I$89,3,0)*0.475*44/12</f>
        <v>5.4781795769867161</v>
      </c>
      <c r="CM46" s="21">
        <f>EXP(-LN(2)/2)*CM45+(1-EXP(-LN(2)/2))/(LN(2)/2)*CG46*CJ46*VLOOKUP('Données projet'!$B$12,Paramètres!$A$1:$I$89,3,0)*0.475*44/12</f>
        <v>0.10863122911000277</v>
      </c>
      <c r="CN46" s="22">
        <f t="shared" si="12"/>
        <v>8.0098946334959553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19.2</v>
      </c>
      <c r="CT46" s="12">
        <f>IF('Données projet'!$A$140&gt;35,CT45+CS46-DB45,IF(A46&lt;'Données projet'!$A$140,$CQ$205^A46,IF(A46='Données projet'!$A$140,'Données projet'!$B$140,CT45+CS46-DB45)))</f>
        <v>374.59999999999985</v>
      </c>
      <c r="CU46" s="17">
        <f>CT46*VLOOKUP('Données projet'!$B$13,Paramètres!$A$1:$I$89,3,0)*VLOOKUP('Données projet'!$B$13,Paramètres!$A$1:$I$89,5,0)</f>
        <v>209.40139999999994</v>
      </c>
      <c r="CV46" s="13">
        <f t="shared" si="41"/>
        <v>51.804754813749405</v>
      </c>
      <c r="CW46" s="20">
        <f t="shared" si="13"/>
        <v>454.93405296728002</v>
      </c>
      <c r="CX46" s="59">
        <f t="shared" si="14"/>
        <v>748.26738630061334</v>
      </c>
      <c r="CY46" s="59">
        <f ca="1">AVERAGE(OFFSET($CX$3,0,0,'Données projet'!$E$13+1,1))-AVERAGE(OFFSET($H$3,0,0,'Données projet'!$E$13+1,1))</f>
        <v>356.67698551373468</v>
      </c>
      <c r="CZ46" s="59">
        <f t="shared" si="42"/>
        <v>353.21836615408171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3.5310977102259531</v>
      </c>
      <c r="DG46" s="21">
        <f>EXP(-LN(2)/25)*DG45+(1-EXP(-LN(2)/25))/(LN(2)/25)*Calculateur!DB46*Calculateur!DD46*VLOOKUP('Données projet'!$B$13,Paramètres!$A$1:$I$89,3,0)*0.475*44/12</f>
        <v>21.041764246329308</v>
      </c>
      <c r="DH46" s="21">
        <f>EXP(-LN(2)/2)*DH45+(1-EXP(-LN(2)/2))/(LN(2)/2)*DB46*DE46*VLOOKUP('Données projet'!$B$13,Paramètres!$A$1:$I$89,3,0)*0.475*44/12</f>
        <v>0.35932170664192054</v>
      </c>
      <c r="DI46" s="22">
        <f t="shared" si="15"/>
        <v>24.932183663197183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12.8</v>
      </c>
      <c r="DO46" s="12">
        <f>IF('Données projet'!$A$166&gt;35,DO45+DN46-DW45,IF(A46&lt;'Données projet'!$A$166,$DL$205^A46,IF(A46='Données projet'!$A$166,'Données projet'!$B$166,DO45+DN46-DW45)))</f>
        <v>253.39999999999992</v>
      </c>
      <c r="DP46" s="17">
        <f>DO46*VLOOKUP('Données projet'!$B$14,Paramètres!$A$1:$I$89,3,0)*VLOOKUP('Données projet'!$B$14,Paramètres!$A$1:$I$89,5,0)</f>
        <v>151.53319999999997</v>
      </c>
      <c r="DQ46" s="13">
        <f t="shared" si="43"/>
        <v>38.926804334954284</v>
      </c>
      <c r="DR46" s="20">
        <f t="shared" si="16"/>
        <v>331.71784088337864</v>
      </c>
      <c r="DS46" s="59">
        <f t="shared" si="17"/>
        <v>625.05117421671196</v>
      </c>
      <c r="DT46" s="59">
        <f ca="1">AVERAGE(OFFSET($DS$3,0,0,'Données projet'!$E$14+1,1))-AVERAGE(OFFSET($H$3,0,0,'Données projet'!$E$14+1,1))</f>
        <v>247.30892363953825</v>
      </c>
      <c r="DU46" s="59">
        <f t="shared" si="44"/>
        <v>248.38414731596578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8.9607144781051247</v>
      </c>
      <c r="EC46" s="21">
        <f>EXP(-LN(2)/2)*EC45+(1-EXP(-LN(2)/2))/(LN(2)/2)*DW46*DZ46*VLOOKUP('Données projet'!$B$14,Paramètres!$A$1:$I$89,3,0)*0.475*44/12</f>
        <v>0.26217486374989613</v>
      </c>
      <c r="ED46" s="22">
        <f t="shared" si="18"/>
        <v>9.2228893418550211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12.8</v>
      </c>
      <c r="EJ46" s="12">
        <f>IF('Données projet'!$A$192&gt;35,EJ45+EI46-ER45,IF(A46&lt;'Données projet'!$A$192,$EG$205^A46,IF(A46='Données projet'!$A$192,'Données projet'!$B$192,EJ45+EI46-ER45)))</f>
        <v>253.39999999999992</v>
      </c>
      <c r="EK46" s="17">
        <f>EJ46*VLOOKUP('Données projet'!$B$15,Paramètres!$A$1:$I$89,3,0)*VLOOKUP('Données projet'!$B$15,Paramètres!$A$1:$I$89,5,0)</f>
        <v>151.53319999999997</v>
      </c>
      <c r="EL46" s="13">
        <f t="shared" si="45"/>
        <v>38.926804334954284</v>
      </c>
      <c r="EM46" s="20">
        <f t="shared" si="19"/>
        <v>331.71784088337864</v>
      </c>
      <c r="EN46" s="59">
        <f t="shared" si="20"/>
        <v>625.05117421671196</v>
      </c>
      <c r="EO46" s="59">
        <f ca="1">AVERAGE(OFFSET($EN$3,0,0,'Données projet'!$E$15+1,1))-AVERAGE(OFFSET($H$3,0,0,'Données projet'!$E$15+1,1))</f>
        <v>247.30892363953825</v>
      </c>
      <c r="EP46" s="59">
        <f t="shared" si="46"/>
        <v>248.38414731596578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8.9607144781051247</v>
      </c>
      <c r="EX46" s="21">
        <f>EXP(-LN(2)/2)*EX45+(1-EXP(-LN(2)/2))/(LN(2)/2)*ER46*EU46*VLOOKUP('Données projet'!$B$15,Paramètres!$A$1:$I$89,3,0)*0.475*44/12</f>
        <v>0.26217486374989613</v>
      </c>
      <c r="EY46" s="22">
        <f t="shared" si="21"/>
        <v>9.2228893418550211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23.4</v>
      </c>
      <c r="FE46" s="12">
        <f>IF('Données projet'!$A$218&gt;35,FE45+FD46-FM45,IF(A46&lt;'Données projet'!$A$218,$FB$205^A46,IF(A46='Données projet'!$A$218,'Données projet'!$B$218,FE45+FD46-FM45)))</f>
        <v>386.2000000000001</v>
      </c>
      <c r="FF46" s="17">
        <f>FE46*VLOOKUP('Données projet'!$B$16,Paramètres!$A$1:$I$89,3,0)*VLOOKUP('Données projet'!$B$16,Paramètres!$A$1:$I$89,5,0)</f>
        <v>185.76220000000006</v>
      </c>
      <c r="FG46" s="13">
        <f t="shared" si="47"/>
        <v>46.601809007608949</v>
      </c>
      <c r="FH46" s="20">
        <f t="shared" si="22"/>
        <v>404.70064902158566</v>
      </c>
      <c r="FI46" s="59">
        <f t="shared" si="23"/>
        <v>698.03398235491898</v>
      </c>
      <c r="FJ46" s="59">
        <f ca="1">AVERAGE(OFFSET($FI$3,0,0,'Données projet'!$E$16+1,1))-AVERAGE(OFFSET($H$3,0,0,'Données projet'!$E$16+1,1))</f>
        <v>322.54393676667081</v>
      </c>
      <c r="FK46" s="59">
        <f t="shared" si="48"/>
        <v>296.73904998640018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5.2086624031239959</v>
      </c>
      <c r="FR46" s="21">
        <f>EXP(-LN(2)/25)*FR45+(1-EXP(-LN(2)/25))/(LN(2)/25)*Calculateur!FM46*Calculateur!FO46*VLOOKUP('Données projet'!$B$16,Paramètres!$A$1:$I$89,3,0)*0.475*44/12</f>
        <v>9.3609169194410384</v>
      </c>
      <c r="FS46" s="21">
        <f>EXP(-LN(2)/2)*FS45+(1-EXP(-LN(2)/2))/(LN(2)/2)*FM46*FP46*VLOOKUP('Données projet'!$B$16,Paramètres!$A$1:$I$89,3,0)*0.475*44/12</f>
        <v>0.23105579649357957</v>
      </c>
      <c r="FT46" s="22">
        <f t="shared" si="24"/>
        <v>14.800635119058613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819.81299907951461</v>
      </c>
      <c r="S47" s="59">
        <f ca="1">AVERAGE(OFFSET($R$3,0,0,'Données projet'!$E$9+1,1))-AVERAGE(OFFSET($H$3,0,0,'Données projet'!$E$9+1,1))</f>
        <v>401.06118089678654</v>
      </c>
      <c r="T47" s="59">
        <f t="shared" si="34"/>
        <v>399.58193819355591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257.00000000000017</v>
      </c>
      <c r="AJ47" s="13">
        <f>AI47*VLOOKUP('Données projet'!$B$10,Paramètres!$A$1:$I$89,3,0)*VLOOKUP('Données projet'!$B$10,Paramètres!$A$1:$I$89,5,0)</f>
        <v>160.36800000000011</v>
      </c>
      <c r="AK47" s="13">
        <f t="shared" si="35"/>
        <v>40.925507732566111</v>
      </c>
      <c r="AL47" s="20">
        <f t="shared" si="4"/>
        <v>350.58619263421946</v>
      </c>
      <c r="AM47" s="59">
        <f t="shared" si="5"/>
        <v>643.91952596755277</v>
      </c>
      <c r="AN47" s="59">
        <f ca="1">AVERAGE(OFFSET($AM$3,0,0,'Données projet'!$E$10+1,1))-AVERAGE(OFFSET($H$3,0,0,'Données projet'!$E$10+1,1))</f>
        <v>240.30073883588199</v>
      </c>
      <c r="AO47" s="59">
        <f t="shared" si="36"/>
        <v>263.20351282678843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5.2696313473096348</v>
      </c>
      <c r="AV47" s="21">
        <f>EXP(-LN(2)/25)*AV46+(1-EXP(-LN(2)/25))/(LN(2)/25)*Calculateur!AQ47*Calculateur!AS47*VLOOKUP('Données projet'!$B$10,Paramètres!$A$1:$I$89,3,0)*0.475*44/12</f>
        <v>14.100483286246497</v>
      </c>
      <c r="AW47" s="21">
        <f>EXP(-LN(2)/2)*AW46+(1-EXP(-LN(2)/2))/(LN(2)/2)*AQ47*AT47*VLOOKUP('Données projet'!$B$10,Paramètres!$A$1:$I$89,3,0)*0.475*44/12</f>
        <v>0.15774074612277425</v>
      </c>
      <c r="AX47" s="21">
        <f t="shared" si="6"/>
        <v>19.527855379678904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23.5</v>
      </c>
      <c r="BD47" s="12">
        <f>IF('Données projet'!$A$88&gt;35,BD46+BC47-BL46,IF(A47&lt;'Données projet'!$A$88,$BA$205^A47,IF(A47='Données projet'!$A$88,'Données projet'!$B$88,BD46+BC47-BL46)))</f>
        <v>467</v>
      </c>
      <c r="BE47" s="13">
        <f>BD47*VLOOKUP('Données projet'!$B$11,Paramètres!$A$1:$I$89,3,0)*VLOOKUP('Données projet'!$B$11,Paramètres!$A$1:$I$89,5,0)</f>
        <v>224.62700000000001</v>
      </c>
      <c r="BF47" s="13">
        <f t="shared" si="37"/>
        <v>55.119319863505318</v>
      </c>
      <c r="BG47" s="20">
        <f t="shared" si="7"/>
        <v>487.22484042893842</v>
      </c>
      <c r="BH47" s="59">
        <f t="shared" si="8"/>
        <v>780.55817376227174</v>
      </c>
      <c r="BI47" s="59">
        <f ca="1">AVERAGE(OFFSET($BH$3,0,0,'Données projet'!$E$11+1,1))-AVERAGE(OFFSET($H$3,0,0,'Données projet'!$E$11+1,1))</f>
        <v>364.67510777943329</v>
      </c>
      <c r="BJ47" s="59">
        <f t="shared" si="38"/>
        <v>352.13878061387169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6.7023123698594462</v>
      </c>
      <c r="BQ47" s="21">
        <f>EXP(-LN(2)/25)*BQ46+(1-EXP(-LN(2)/25))/(LN(2)/25)*Calculateur!BL47*Calculateur!BN47*VLOOKUP('Données projet'!$B$11,Paramètres!$A$1:$I$89,3,0)*0.475*44/12</f>
        <v>12.219777820496152</v>
      </c>
      <c r="BR47" s="21">
        <f>EXP(-LN(2)/2)*BR46+(1-EXP(-LN(2)/2))/(LN(2)/2)*BL47*BO47*VLOOKUP('Données projet'!$B$11,Paramètres!$A$1:$I$89,3,0)*0.475*44/12</f>
        <v>0.2146371605440541</v>
      </c>
      <c r="BS47" s="22">
        <f t="shared" si="9"/>
        <v>19.136727350899651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11.499999999999996</v>
      </c>
      <c r="BY47" s="12">
        <f>IF('Données projet'!$A$114&gt;35,BY46+BX47-CG46,IF(A47&lt;'Données projet'!$A$114,$BV$205^A47,IF(A47='Données projet'!$A$114,'Données projet'!$B$114,BY46+BX47-CG46)))</f>
        <v>254.1999999999999</v>
      </c>
      <c r="BZ47" s="13">
        <f>BY47*VLOOKUP('Données projet'!$B$12,Paramètres!$A$1:$I$89,3,0)*VLOOKUP('Données projet'!$B$12,Paramètres!$A$1:$I$89,5,0)</f>
        <v>118.96559999999995</v>
      </c>
      <c r="CA47" s="13">
        <f t="shared" si="39"/>
        <v>31.433621056182272</v>
      </c>
      <c r="CB47" s="20">
        <f t="shared" si="10"/>
        <v>261.945310006184</v>
      </c>
      <c r="CC47" s="59">
        <f t="shared" si="11"/>
        <v>555.27864333951732</v>
      </c>
      <c r="CD47" s="59">
        <f ca="1">AVERAGE(OFFSET($CC$3,0,0,'Données projet'!$E$12+1,1))-AVERAGE(OFFSET($H$3,0,0,'Données projet'!$E$12+1,1))</f>
        <v>252.98248842635206</v>
      </c>
      <c r="CE47" s="59">
        <f t="shared" si="40"/>
        <v>207.11938580878308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2.3755686314791387</v>
      </c>
      <c r="CL47" s="21">
        <f>EXP(-LN(2)/25)*CL46+(1-EXP(-LN(2)/25))/(LN(2)/25)*Calculateur!CG47*Calculateur!CI47*VLOOKUP('Données projet'!$B$12,Paramètres!$A$1:$I$89,3,0)*0.475*44/12</f>
        <v>5.3283784683690714</v>
      </c>
      <c r="CM47" s="21">
        <f>EXP(-LN(2)/2)*CM46+(1-EXP(-LN(2)/2))/(LN(2)/2)*CG47*CJ47*VLOOKUP('Données projet'!$B$12,Paramètres!$A$1:$I$89,3,0)*0.475*44/12</f>
        <v>7.6813878752312437E-2</v>
      </c>
      <c r="CN47" s="22">
        <f t="shared" si="12"/>
        <v>7.7807609786005223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19.2</v>
      </c>
      <c r="CT47" s="12">
        <f>IF('Données projet'!$A$140&gt;35,CT46+CS47-DB46,IF(A47&lt;'Données projet'!$A$140,$CQ$205^A47,IF(A47='Données projet'!$A$140,'Données projet'!$B$140,CT46+CS47-DB46)))</f>
        <v>393.79999999999984</v>
      </c>
      <c r="CU47" s="17">
        <f>CT47*VLOOKUP('Données projet'!$B$13,Paramètres!$A$1:$I$89,3,0)*VLOOKUP('Données projet'!$B$13,Paramètres!$A$1:$I$89,5,0)</f>
        <v>220.13419999999991</v>
      </c>
      <c r="CV47" s="13">
        <f t="shared" si="41"/>
        <v>54.144052392262886</v>
      </c>
      <c r="CW47" s="20">
        <f t="shared" si="13"/>
        <v>477.701289583191</v>
      </c>
      <c r="CX47" s="59">
        <f t="shared" si="14"/>
        <v>771.03462291652431</v>
      </c>
      <c r="CY47" s="59">
        <f ca="1">AVERAGE(OFFSET($CX$3,0,0,'Données projet'!$E$13+1,1))-AVERAGE(OFFSET($H$3,0,0,'Données projet'!$E$13+1,1))</f>
        <v>356.67698551373468</v>
      </c>
      <c r="CZ47" s="59">
        <f t="shared" si="42"/>
        <v>353.21836615408171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3.4618550378853596</v>
      </c>
      <c r="DG47" s="21">
        <f>EXP(-LN(2)/25)*DG46+(1-EXP(-LN(2)/25))/(LN(2)/25)*Calculateur!DB47*Calculateur!DD47*VLOOKUP('Données projet'!$B$13,Paramètres!$A$1:$I$89,3,0)*0.475*44/12</f>
        <v>20.466376096475141</v>
      </c>
      <c r="DH47" s="21">
        <f>EXP(-LN(2)/2)*DH46+(1-EXP(-LN(2)/2))/(LN(2)/2)*DB47*DE47*VLOOKUP('Données projet'!$B$13,Paramètres!$A$1:$I$89,3,0)*0.475*44/12</f>
        <v>0.25407881539402533</v>
      </c>
      <c r="DI47" s="22">
        <f t="shared" si="15"/>
        <v>24.182309949754526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12.8</v>
      </c>
      <c r="DO47" s="12">
        <f>IF('Données projet'!$A$166&gt;35,DO46+DN47-DW46,IF(A47&lt;'Données projet'!$A$166,$DL$205^A47,IF(A47='Données projet'!$A$166,'Données projet'!$B$166,DO46+DN47-DW46)))</f>
        <v>266.19999999999993</v>
      </c>
      <c r="DP47" s="17">
        <f>DO47*VLOOKUP('Données projet'!$B$14,Paramètres!$A$1:$I$89,3,0)*VLOOKUP('Données projet'!$B$14,Paramètres!$A$1:$I$89,5,0)</f>
        <v>159.18759999999997</v>
      </c>
      <c r="DQ47" s="13">
        <f t="shared" si="43"/>
        <v>40.659222067351315</v>
      </c>
      <c r="DR47" s="20">
        <f t="shared" si="16"/>
        <v>348.06654843397018</v>
      </c>
      <c r="DS47" s="59">
        <f t="shared" si="17"/>
        <v>641.39988176730344</v>
      </c>
      <c r="DT47" s="59">
        <f ca="1">AVERAGE(OFFSET($DS$3,0,0,'Données projet'!$E$14+1,1))-AVERAGE(OFFSET($H$3,0,0,'Données projet'!$E$14+1,1))</f>
        <v>247.30892363953825</v>
      </c>
      <c r="DU47" s="59">
        <f t="shared" si="44"/>
        <v>248.38414731596578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8.7156832694778448</v>
      </c>
      <c r="EC47" s="21">
        <f>EXP(-LN(2)/2)*EC46+(1-EXP(-LN(2)/2))/(LN(2)/2)*DW47*DZ47*VLOOKUP('Données projet'!$B$14,Paramètres!$A$1:$I$89,3,0)*0.475*44/12</f>
        <v>0.18538562401421071</v>
      </c>
      <c r="ED47" s="22">
        <f t="shared" si="18"/>
        <v>8.9010688934920559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12.8</v>
      </c>
      <c r="EJ47" s="12">
        <f>IF('Données projet'!$A$192&gt;35,EJ46+EI47-ER46,IF(A47&lt;'Données projet'!$A$192,$EG$205^A47,IF(A47='Données projet'!$A$192,'Données projet'!$B$192,EJ46+EI47-ER46)))</f>
        <v>266.19999999999993</v>
      </c>
      <c r="EK47" s="17">
        <f>EJ47*VLOOKUP('Données projet'!$B$15,Paramètres!$A$1:$I$89,3,0)*VLOOKUP('Données projet'!$B$15,Paramètres!$A$1:$I$89,5,0)</f>
        <v>159.18759999999997</v>
      </c>
      <c r="EL47" s="13">
        <f t="shared" si="45"/>
        <v>40.659222067351315</v>
      </c>
      <c r="EM47" s="20">
        <f t="shared" si="19"/>
        <v>348.06654843397018</v>
      </c>
      <c r="EN47" s="59">
        <f t="shared" si="20"/>
        <v>641.39988176730344</v>
      </c>
      <c r="EO47" s="59">
        <f ca="1">AVERAGE(OFFSET($EN$3,0,0,'Données projet'!$E$15+1,1))-AVERAGE(OFFSET($H$3,0,0,'Données projet'!$E$15+1,1))</f>
        <v>247.30892363953825</v>
      </c>
      <c r="EP47" s="59">
        <f t="shared" si="46"/>
        <v>248.38414731596578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8.7156832694778448</v>
      </c>
      <c r="EX47" s="21">
        <f>EXP(-LN(2)/2)*EX46+(1-EXP(-LN(2)/2))/(LN(2)/2)*ER47*EU47*VLOOKUP('Données projet'!$B$15,Paramètres!$A$1:$I$89,3,0)*0.475*44/12</f>
        <v>0.18538562401421071</v>
      </c>
      <c r="EY47" s="22">
        <f t="shared" si="21"/>
        <v>8.9010688934920559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23.4</v>
      </c>
      <c r="FE47" s="12">
        <f>IF('Données projet'!$A$218&gt;35,FE46+FD47-FM46,IF(A47&lt;'Données projet'!$A$218,$FB$205^A47,IF(A47='Données projet'!$A$218,'Données projet'!$B$218,FE46+FD47-FM46)))</f>
        <v>409.60000000000008</v>
      </c>
      <c r="FF47" s="17">
        <f>FE47*VLOOKUP('Données projet'!$B$16,Paramètres!$A$1:$I$89,3,0)*VLOOKUP('Données projet'!$B$16,Paramètres!$A$1:$I$89,5,0)</f>
        <v>197.01760000000004</v>
      </c>
      <c r="FG47" s="13">
        <f t="shared" si="47"/>
        <v>49.088154448552409</v>
      </c>
      <c r="FH47" s="20">
        <f t="shared" si="22"/>
        <v>428.63418899789554</v>
      </c>
      <c r="FI47" s="59">
        <f t="shared" si="23"/>
        <v>721.96752233122879</v>
      </c>
      <c r="FJ47" s="59">
        <f ca="1">AVERAGE(OFFSET($FI$3,0,0,'Données projet'!$E$16+1,1))-AVERAGE(OFFSET($H$3,0,0,'Données projet'!$E$16+1,1))</f>
        <v>322.54393676667081</v>
      </c>
      <c r="FK47" s="59">
        <f t="shared" si="48"/>
        <v>296.73904998640018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5.1065237103691006</v>
      </c>
      <c r="FR47" s="21">
        <f>EXP(-LN(2)/25)*FR46+(1-EXP(-LN(2)/25))/(LN(2)/25)*Calculateur!FM47*Calculateur!FO47*VLOOKUP('Données projet'!$B$16,Paramètres!$A$1:$I$89,3,0)*0.475*44/12</f>
        <v>9.1049421540096969</v>
      </c>
      <c r="FS47" s="21">
        <f>EXP(-LN(2)/2)*FS46+(1-EXP(-LN(2)/2))/(LN(2)/2)*FM47*FP47*VLOOKUP('Données projet'!$B$16,Paramètres!$A$1:$I$89,3,0)*0.475*44/12</f>
        <v>0.16338112053306902</v>
      </c>
      <c r="FT47" s="22">
        <f t="shared" si="24"/>
        <v>14.374846984911867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844.63852919520491</v>
      </c>
      <c r="S48" s="59">
        <f ca="1">AVERAGE(OFFSET($R$3,0,0,'Données projet'!$E$9+1,1))-AVERAGE(OFFSET($H$3,0,0,'Données projet'!$E$9+1,1))</f>
        <v>401.06118089678654</v>
      </c>
      <c r="T48" s="59">
        <f t="shared" si="34"/>
        <v>399.58193819355591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268.00000000000017</v>
      </c>
      <c r="AJ48" s="13">
        <f>AI48*VLOOKUP('Données projet'!$B$10,Paramètres!$A$1:$I$89,3,0)*VLOOKUP('Données projet'!$B$10,Paramètres!$A$1:$I$89,5,0)</f>
        <v>167.23200000000011</v>
      </c>
      <c r="AK48" s="13">
        <f t="shared" si="35"/>
        <v>42.469492598516958</v>
      </c>
      <c r="AL48" s="20">
        <f t="shared" si="4"/>
        <v>365.23009960908388</v>
      </c>
      <c r="AM48" s="59">
        <f t="shared" si="5"/>
        <v>658.56343294241719</v>
      </c>
      <c r="AN48" s="59">
        <f ca="1">AVERAGE(OFFSET($AM$3,0,0,'Données projet'!$E$10+1,1))-AVERAGE(OFFSET($H$3,0,0,'Données projet'!$E$10+1,1))</f>
        <v>240.30073883588199</v>
      </c>
      <c r="AO48" s="59">
        <f t="shared" si="36"/>
        <v>263.20351282678843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5.1662970907466432</v>
      </c>
      <c r="AV48" s="21">
        <f>EXP(-LN(2)/25)*AV47+(1-EXP(-LN(2)/25))/(LN(2)/25)*Calculateur!AQ48*Calculateur!AS48*VLOOKUP('Données projet'!$B$10,Paramètres!$A$1:$I$89,3,0)*0.475*44/12</f>
        <v>13.714904829271898</v>
      </c>
      <c r="AW48" s="21">
        <f>EXP(-LN(2)/2)*AW47+(1-EXP(-LN(2)/2))/(LN(2)/2)*AQ48*AT48*VLOOKUP('Données projet'!$B$10,Paramètres!$A$1:$I$89,3,0)*0.475*44/12</f>
        <v>0.11153955125283928</v>
      </c>
      <c r="AX48" s="21">
        <f t="shared" si="6"/>
        <v>18.99274147127138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23.5</v>
      </c>
      <c r="BD48" s="12">
        <f>IF('Données projet'!$A$88&gt;35,BD47+BC48-BL47,IF(A48&lt;'Données projet'!$A$88,$BA$205^A48,IF(A48='Données projet'!$A$88,'Données projet'!$B$88,BD47+BC48-BL47)))</f>
        <v>490.5</v>
      </c>
      <c r="BE48" s="13">
        <f>BD48*VLOOKUP('Données projet'!$B$11,Paramètres!$A$1:$I$89,3,0)*VLOOKUP('Données projet'!$B$11,Paramètres!$A$1:$I$89,5,0)</f>
        <v>235.93049999999999</v>
      </c>
      <c r="BF48" s="13">
        <f t="shared" si="37"/>
        <v>57.563088169175288</v>
      </c>
      <c r="BG48" s="20">
        <f t="shared" si="7"/>
        <v>511.16799939464698</v>
      </c>
      <c r="BH48" s="59">
        <f t="shared" si="8"/>
        <v>804.5013327279803</v>
      </c>
      <c r="BI48" s="59">
        <f ca="1">AVERAGE(OFFSET($BH$3,0,0,'Données projet'!$E$11+1,1))-AVERAGE(OFFSET($H$3,0,0,'Données projet'!$E$11+1,1))</f>
        <v>364.67510777943329</v>
      </c>
      <c r="BJ48" s="59">
        <f t="shared" si="38"/>
        <v>352.13878061387169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6.570884112293391</v>
      </c>
      <c r="BQ48" s="21">
        <f>EXP(-LN(2)/25)*BQ47+(1-EXP(-LN(2)/25))/(LN(2)/25)*Calculateur!BL48*Calculateur!BN48*VLOOKUP('Données projet'!$B$11,Paramètres!$A$1:$I$89,3,0)*0.475*44/12</f>
        <v>11.885627353384498</v>
      </c>
      <c r="BR48" s="21">
        <f>EXP(-LN(2)/2)*BR47+(1-EXP(-LN(2)/2))/(LN(2)/2)*BL48*BO48*VLOOKUP('Données projet'!$B$11,Paramètres!$A$1:$I$89,3,0)*0.475*44/12</f>
        <v>0.15177139171532633</v>
      </c>
      <c r="BS48" s="22">
        <f t="shared" si="9"/>
        <v>18.608282857393213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11.499999999999996</v>
      </c>
      <c r="BY48" s="12">
        <f>IF('Données projet'!$A$114&gt;35,BY47+BX48-CG47,IF(A48&lt;'Données projet'!$A$114,$BV$205^A48,IF(A48='Données projet'!$A$114,'Données projet'!$B$114,BY47+BX48-CG47)))</f>
        <v>265.69999999999987</v>
      </c>
      <c r="BZ48" s="13">
        <f>BY48*VLOOKUP('Données projet'!$B$12,Paramètres!$A$1:$I$89,3,0)*VLOOKUP('Données projet'!$B$12,Paramètres!$A$1:$I$89,5,0)</f>
        <v>124.34759999999994</v>
      </c>
      <c r="CA48" s="13">
        <f t="shared" si="39"/>
        <v>32.68689576547478</v>
      </c>
      <c r="CB48" s="20">
        <f t="shared" si="10"/>
        <v>273.50174679153514</v>
      </c>
      <c r="CC48" s="59">
        <f t="shared" si="11"/>
        <v>566.83508012486845</v>
      </c>
      <c r="CD48" s="59">
        <f ca="1">AVERAGE(OFFSET($CC$3,0,0,'Données projet'!$E$12+1,1))-AVERAGE(OFFSET($H$3,0,0,'Données projet'!$E$12+1,1))</f>
        <v>252.98248842635206</v>
      </c>
      <c r="CE48" s="59">
        <f t="shared" si="40"/>
        <v>207.11938580878308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2.3289851795696257</v>
      </c>
      <c r="CL48" s="21">
        <f>EXP(-LN(2)/25)*CL47+(1-EXP(-LN(2)/25))/(LN(2)/25)*Calculateur!CG48*Calculateur!CI48*VLOOKUP('Données projet'!$B$12,Paramètres!$A$1:$I$89,3,0)*0.475*44/12</f>
        <v>5.1826736789442736</v>
      </c>
      <c r="CM48" s="21">
        <f>EXP(-LN(2)/2)*CM47+(1-EXP(-LN(2)/2))/(LN(2)/2)*CG48*CJ48*VLOOKUP('Données projet'!$B$12,Paramètres!$A$1:$I$89,3,0)*0.475*44/12</f>
        <v>5.4315614555001383E-2</v>
      </c>
      <c r="CN48" s="22">
        <f t="shared" si="12"/>
        <v>7.5659744730689003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19.2</v>
      </c>
      <c r="CT48" s="12">
        <f>IF('Données projet'!$A$140&gt;35,CT47+CS48-DB47,IF(A48&lt;'Données projet'!$A$140,$CQ$205^A48,IF(A48='Données projet'!$A$140,'Données projet'!$B$140,CT47+CS48-DB47)))</f>
        <v>412.99999999999983</v>
      </c>
      <c r="CU48" s="17">
        <f>CT48*VLOOKUP('Données projet'!$B$13,Paramètres!$A$1:$I$89,3,0)*VLOOKUP('Données projet'!$B$13,Paramètres!$A$1:$I$89,5,0)</f>
        <v>230.8669999999999</v>
      </c>
      <c r="CV48" s="13">
        <f t="shared" si="41"/>
        <v>56.470106131334084</v>
      </c>
      <c r="CW48" s="20">
        <f t="shared" si="13"/>
        <v>500.44545984540667</v>
      </c>
      <c r="CX48" s="59">
        <f t="shared" si="14"/>
        <v>793.77879317873999</v>
      </c>
      <c r="CY48" s="59">
        <f ca="1">AVERAGE(OFFSET($CX$3,0,0,'Données projet'!$E$13+1,1))-AVERAGE(OFFSET($H$3,0,0,'Données projet'!$E$13+1,1))</f>
        <v>356.67698551373468</v>
      </c>
      <c r="CZ48" s="59">
        <f t="shared" si="42"/>
        <v>353.21836615408171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3.3939701721155053</v>
      </c>
      <c r="DG48" s="21">
        <f>EXP(-LN(2)/25)*DG47+(1-EXP(-LN(2)/25))/(LN(2)/25)*Calculateur!DB48*Calculateur!DD48*VLOOKUP('Données projet'!$B$13,Paramètres!$A$1:$I$89,3,0)*0.475*44/12</f>
        <v>19.906721965837086</v>
      </c>
      <c r="DH48" s="21">
        <f>EXP(-LN(2)/2)*DH47+(1-EXP(-LN(2)/2))/(LN(2)/2)*DB48*DE48*VLOOKUP('Données projet'!$B$13,Paramètres!$A$1:$I$89,3,0)*0.475*44/12</f>
        <v>0.17966085332096027</v>
      </c>
      <c r="DI48" s="22">
        <f t="shared" si="15"/>
        <v>23.480352991273552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12.8</v>
      </c>
      <c r="DO48" s="12">
        <f>IF('Données projet'!$A$166&gt;35,DO47+DN48-DW47,IF(A48&lt;'Données projet'!$A$166,$DL$205^A48,IF(A48='Données projet'!$A$166,'Données projet'!$B$166,DO47+DN48-DW47)))</f>
        <v>278.99999999999994</v>
      </c>
      <c r="DP48" s="17">
        <f>DO48*VLOOKUP('Données projet'!$B$14,Paramètres!$A$1:$I$89,3,0)*VLOOKUP('Données projet'!$B$14,Paramètres!$A$1:$I$89,5,0)</f>
        <v>166.84199999999998</v>
      </c>
      <c r="DQ48" s="13">
        <f t="shared" si="43"/>
        <v>42.381966615760334</v>
      </c>
      <c r="DR48" s="20">
        <f t="shared" si="16"/>
        <v>364.39840852244924</v>
      </c>
      <c r="DS48" s="59">
        <f t="shared" si="17"/>
        <v>657.7317418557825</v>
      </c>
      <c r="DT48" s="59">
        <f ca="1">AVERAGE(OFFSET($DS$3,0,0,'Données projet'!$E$14+1,1))-AVERAGE(OFFSET($H$3,0,0,'Données projet'!$E$14+1,1))</f>
        <v>247.30892363953825</v>
      </c>
      <c r="DU48" s="59">
        <f t="shared" si="44"/>
        <v>248.38414731596578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8.4773524521361097</v>
      </c>
      <c r="EC48" s="21">
        <f>EXP(-LN(2)/2)*EC47+(1-EXP(-LN(2)/2))/(LN(2)/2)*DW48*DZ48*VLOOKUP('Données projet'!$B$14,Paramètres!$A$1:$I$89,3,0)*0.475*44/12</f>
        <v>0.13108743187494806</v>
      </c>
      <c r="ED48" s="22">
        <f t="shared" si="18"/>
        <v>8.608439884011057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12.8</v>
      </c>
      <c r="EJ48" s="12">
        <f>IF('Données projet'!$A$192&gt;35,EJ47+EI48-ER47,IF(A48&lt;'Données projet'!$A$192,$EG$205^A48,IF(A48='Données projet'!$A$192,'Données projet'!$B$192,EJ47+EI48-ER47)))</f>
        <v>278.99999999999994</v>
      </c>
      <c r="EK48" s="17">
        <f>EJ48*VLOOKUP('Données projet'!$B$15,Paramètres!$A$1:$I$89,3,0)*VLOOKUP('Données projet'!$B$15,Paramètres!$A$1:$I$89,5,0)</f>
        <v>166.84199999999998</v>
      </c>
      <c r="EL48" s="13">
        <f t="shared" si="45"/>
        <v>42.381966615760334</v>
      </c>
      <c r="EM48" s="20">
        <f t="shared" si="19"/>
        <v>364.39840852244924</v>
      </c>
      <c r="EN48" s="59">
        <f t="shared" si="20"/>
        <v>657.7317418557825</v>
      </c>
      <c r="EO48" s="59">
        <f ca="1">AVERAGE(OFFSET($EN$3,0,0,'Données projet'!$E$15+1,1))-AVERAGE(OFFSET($H$3,0,0,'Données projet'!$E$15+1,1))</f>
        <v>247.30892363953825</v>
      </c>
      <c r="EP48" s="59">
        <f t="shared" si="46"/>
        <v>248.38414731596578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8.4773524521361097</v>
      </c>
      <c r="EX48" s="21">
        <f>EXP(-LN(2)/2)*EX47+(1-EXP(-LN(2)/2))/(LN(2)/2)*ER48*EU48*VLOOKUP('Données projet'!$B$15,Paramètres!$A$1:$I$89,3,0)*0.475*44/12</f>
        <v>0.13108743187494806</v>
      </c>
      <c r="EY48" s="22">
        <f t="shared" si="21"/>
        <v>8.608439884011057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23.4</v>
      </c>
      <c r="FE48" s="12">
        <f>IF('Données projet'!$A$218&gt;35,FE47+FD48-FM47,IF(A48&lt;'Données projet'!$A$218,$FB$205^A48,IF(A48='Données projet'!$A$218,'Données projet'!$B$218,FE47+FD48-FM47)))</f>
        <v>433.00000000000006</v>
      </c>
      <c r="FF48" s="17">
        <f>FE48*VLOOKUP('Données projet'!$B$16,Paramètres!$A$1:$I$89,3,0)*VLOOKUP('Données projet'!$B$16,Paramètres!$A$1:$I$89,5,0)</f>
        <v>208.27300000000002</v>
      </c>
      <c r="FG48" s="13">
        <f t="shared" si="47"/>
        <v>51.558011562434125</v>
      </c>
      <c r="FH48" s="20">
        <f t="shared" si="22"/>
        <v>452.53901180457274</v>
      </c>
      <c r="FI48" s="59">
        <f t="shared" si="23"/>
        <v>745.872345137906</v>
      </c>
      <c r="FJ48" s="59">
        <f ca="1">AVERAGE(OFFSET($FI$3,0,0,'Données projet'!$E$16+1,1))-AVERAGE(OFFSET($H$3,0,0,'Données projet'!$E$16+1,1))</f>
        <v>322.54393676667081</v>
      </c>
      <c r="FK48" s="59">
        <f t="shared" si="48"/>
        <v>296.73904998640018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5.0063878950806773</v>
      </c>
      <c r="FR48" s="21">
        <f>EXP(-LN(2)/25)*FR47+(1-EXP(-LN(2)/25))/(LN(2)/25)*Calculateur!FM48*Calculateur!FO48*VLOOKUP('Données projet'!$B$16,Paramètres!$A$1:$I$89,3,0)*0.475*44/12</f>
        <v>8.8559670320002031</v>
      </c>
      <c r="FS48" s="21">
        <f>EXP(-LN(2)/2)*FS47+(1-EXP(-LN(2)/2))/(LN(2)/2)*FM48*FP48*VLOOKUP('Données projet'!$B$16,Paramètres!$A$1:$I$89,3,0)*0.475*44/12</f>
        <v>0.11552789824678979</v>
      </c>
      <c r="FT48" s="22">
        <f t="shared" si="24"/>
        <v>13.977882825327669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869.44063371825973</v>
      </c>
      <c r="S49" s="59">
        <f ca="1">AVERAGE(OFFSET($R$3,0,0,'Données projet'!$E$9+1,1))-AVERAGE(OFFSET($H$3,0,0,'Données projet'!$E$9+1,1))</f>
        <v>401.06118089678654</v>
      </c>
      <c r="T49" s="59">
        <f t="shared" si="34"/>
        <v>399.58193819355591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279.00000000000017</v>
      </c>
      <c r="AJ49" s="13">
        <f>AI49*VLOOKUP('Données projet'!$B$10,Paramètres!$A$1:$I$89,3,0)*VLOOKUP('Données projet'!$B$10,Paramètres!$A$1:$I$89,5,0)</f>
        <v>174.09600000000009</v>
      </c>
      <c r="AK49" s="13">
        <f t="shared" si="35"/>
        <v>44.00611631426144</v>
      </c>
      <c r="AL49" s="20">
        <f t="shared" si="4"/>
        <v>379.86118591400549</v>
      </c>
      <c r="AM49" s="59">
        <f t="shared" si="5"/>
        <v>673.1945192473388</v>
      </c>
      <c r="AN49" s="59">
        <f ca="1">AVERAGE(OFFSET($AM$3,0,0,'Données projet'!$E$10+1,1))-AVERAGE(OFFSET($H$3,0,0,'Données projet'!$E$10+1,1))</f>
        <v>240.30073883588199</v>
      </c>
      <c r="AO49" s="59">
        <f t="shared" si="36"/>
        <v>263.20351282678843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5.0649891559271785</v>
      </c>
      <c r="AV49" s="21">
        <f>EXP(-LN(2)/25)*AV48+(1-EXP(-LN(2)/25))/(LN(2)/25)*Calculateur!AQ49*Calculateur!AS49*VLOOKUP('Données projet'!$B$10,Paramètres!$A$1:$I$89,3,0)*0.475*44/12</f>
        <v>13.339870035479958</v>
      </c>
      <c r="AW49" s="21">
        <f>EXP(-LN(2)/2)*AW48+(1-EXP(-LN(2)/2))/(LN(2)/2)*AQ49*AT49*VLOOKUP('Données projet'!$B$10,Paramètres!$A$1:$I$89,3,0)*0.475*44/12</f>
        <v>7.8870373061387125E-2</v>
      </c>
      <c r="AX49" s="21">
        <f t="shared" si="6"/>
        <v>18.483729564468526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23.5</v>
      </c>
      <c r="BD49" s="12">
        <f>IF('Données projet'!$A$88&gt;35,BD48+BC49-BL48,IF(A49&lt;'Données projet'!$A$88,$BA$205^A49,IF(A49='Données projet'!$A$88,'Données projet'!$B$88,BD48+BC49-BL48)))</f>
        <v>514</v>
      </c>
      <c r="BE49" s="13">
        <f>BD49*VLOOKUP('Données projet'!$B$11,Paramètres!$A$1:$I$89,3,0)*VLOOKUP('Données projet'!$B$11,Paramètres!$A$1:$I$89,5,0)</f>
        <v>247.23400000000001</v>
      </c>
      <c r="BF49" s="13">
        <f t="shared" si="37"/>
        <v>59.993260607978399</v>
      </c>
      <c r="BG49" s="20">
        <f t="shared" si="7"/>
        <v>535.087478892229</v>
      </c>
      <c r="BH49" s="59">
        <f t="shared" si="8"/>
        <v>828.42081222556226</v>
      </c>
      <c r="BI49" s="59">
        <f ca="1">AVERAGE(OFFSET($BH$3,0,0,'Données projet'!$E$11+1,1))-AVERAGE(OFFSET($H$3,0,0,'Données projet'!$E$11+1,1))</f>
        <v>364.67510777943329</v>
      </c>
      <c r="BJ49" s="59">
        <f t="shared" si="38"/>
        <v>352.13878061387169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6.4420330826948842</v>
      </c>
      <c r="BQ49" s="21">
        <f>EXP(-LN(2)/25)*BQ48+(1-EXP(-LN(2)/25))/(LN(2)/25)*Calculateur!BL49*Calculateur!BN49*VLOOKUP('Données projet'!$B$11,Paramètres!$A$1:$I$89,3,0)*0.475*44/12</f>
        <v>11.560614248368221</v>
      </c>
      <c r="BR49" s="21">
        <f>EXP(-LN(2)/2)*BR48+(1-EXP(-LN(2)/2))/(LN(2)/2)*BL49*BO49*VLOOKUP('Données projet'!$B$11,Paramètres!$A$1:$I$89,3,0)*0.475*44/12</f>
        <v>0.10731858027202705</v>
      </c>
      <c r="BS49" s="22">
        <f t="shared" si="9"/>
        <v>18.109965911335131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11.499999999999996</v>
      </c>
      <c r="BY49" s="12">
        <f>IF('Données projet'!$A$114&gt;35,BY48+BX49-CG48,IF(A49&lt;'Données projet'!$A$114,$BV$205^A49,IF(A49='Données projet'!$A$114,'Données projet'!$B$114,BY48+BX49-CG48)))</f>
        <v>277.19999999999987</v>
      </c>
      <c r="BZ49" s="13">
        <f>BY49*VLOOKUP('Données projet'!$B$12,Paramètres!$A$1:$I$89,3,0)*VLOOKUP('Données projet'!$B$12,Paramètres!$A$1:$I$89,5,0)</f>
        <v>129.72959999999992</v>
      </c>
      <c r="CA49" s="13">
        <f t="shared" si="39"/>
        <v>33.933870261867483</v>
      </c>
      <c r="CB49" s="20">
        <f t="shared" si="10"/>
        <v>285.04721070608576</v>
      </c>
      <c r="CC49" s="59">
        <f t="shared" si="11"/>
        <v>578.38054403941908</v>
      </c>
      <c r="CD49" s="59">
        <f ca="1">AVERAGE(OFFSET($CC$3,0,0,'Données projet'!$E$12+1,1))-AVERAGE(OFFSET($H$3,0,0,'Données projet'!$E$12+1,1))</f>
        <v>252.98248842635206</v>
      </c>
      <c r="CE49" s="59">
        <f t="shared" si="40"/>
        <v>207.11938580878308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2.2833152007389583</v>
      </c>
      <c r="CL49" s="21">
        <f>EXP(-LN(2)/25)*CL48+(1-EXP(-LN(2)/25))/(LN(2)/25)*Calculateur!CG49*Calculateur!CI49*VLOOKUP('Données projet'!$B$12,Paramètres!$A$1:$I$89,3,0)*0.475*44/12</f>
        <v>5.040953194648579</v>
      </c>
      <c r="CM49" s="21">
        <f>EXP(-LN(2)/2)*CM48+(1-EXP(-LN(2)/2))/(LN(2)/2)*CG49*CJ49*VLOOKUP('Données projet'!$B$12,Paramètres!$A$1:$I$89,3,0)*0.475*44/12</f>
        <v>3.8406939376156218E-2</v>
      </c>
      <c r="CN49" s="22">
        <f t="shared" si="12"/>
        <v>7.3626753347636944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19.2</v>
      </c>
      <c r="CT49" s="12">
        <f>IF('Données projet'!$A$140&gt;35,CT48+CS49-DB48,IF(A49&lt;'Données projet'!$A$140,$CQ$205^A49,IF(A49='Données projet'!$A$140,'Données projet'!$B$140,CT48+CS49-DB48)))</f>
        <v>432.19999999999982</v>
      </c>
      <c r="CU49" s="17">
        <f>CT49*VLOOKUP('Données projet'!$B$13,Paramètres!$A$1:$I$89,3,0)*VLOOKUP('Données projet'!$B$13,Paramètres!$A$1:$I$89,5,0)</f>
        <v>241.5997999999999</v>
      </c>
      <c r="CV49" s="13">
        <f t="shared" si="41"/>
        <v>58.783602040793284</v>
      </c>
      <c r="CW49" s="20">
        <f t="shared" si="13"/>
        <v>523.16775855438141</v>
      </c>
      <c r="CX49" s="59">
        <f t="shared" si="14"/>
        <v>816.50109188771467</v>
      </c>
      <c r="CY49" s="59">
        <f ca="1">AVERAGE(OFFSET($CX$3,0,0,'Données projet'!$E$13+1,1))-AVERAGE(OFFSET($H$3,0,0,'Données projet'!$E$13+1,1))</f>
        <v>356.67698551373468</v>
      </c>
      <c r="CZ49" s="59">
        <f t="shared" si="42"/>
        <v>353.21836615408171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3.3274164871577181</v>
      </c>
      <c r="DG49" s="21">
        <f>EXP(-LN(2)/25)*DG48+(1-EXP(-LN(2)/25))/(LN(2)/25)*Calculateur!DB49*Calculateur!DD49*VLOOKUP('Données projet'!$B$13,Paramètres!$A$1:$I$89,3,0)*0.475*44/12</f>
        <v>19.362371606832259</v>
      </c>
      <c r="DH49" s="21">
        <f>EXP(-LN(2)/2)*DH48+(1-EXP(-LN(2)/2))/(LN(2)/2)*DB49*DE49*VLOOKUP('Données projet'!$B$13,Paramètres!$A$1:$I$89,3,0)*0.475*44/12</f>
        <v>0.12703940769701266</v>
      </c>
      <c r="DI49" s="22">
        <f t="shared" si="15"/>
        <v>22.816827501686987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12.8</v>
      </c>
      <c r="DO49" s="12">
        <f>IF('Données projet'!$A$166&gt;35,DO48+DN49-DW48,IF(A49&lt;'Données projet'!$A$166,$DL$205^A49,IF(A49='Données projet'!$A$166,'Données projet'!$B$166,DO48+DN49-DW48)))</f>
        <v>291.79999999999995</v>
      </c>
      <c r="DP49" s="17">
        <f>DO49*VLOOKUP('Données projet'!$B$14,Paramètres!$A$1:$I$89,3,0)*VLOOKUP('Données projet'!$B$14,Paramètres!$A$1:$I$89,5,0)</f>
        <v>174.49639999999999</v>
      </c>
      <c r="DQ49" s="13">
        <f t="shared" si="43"/>
        <v>44.095532458716939</v>
      </c>
      <c r="DR49" s="20">
        <f t="shared" si="16"/>
        <v>380.71428236559865</v>
      </c>
      <c r="DS49" s="59">
        <f t="shared" si="17"/>
        <v>674.04761569893196</v>
      </c>
      <c r="DT49" s="59">
        <f ca="1">AVERAGE(OFFSET($DS$3,0,0,'Données projet'!$E$14+1,1))-AVERAGE(OFFSET($H$3,0,0,'Données projet'!$E$14+1,1))</f>
        <v>247.30892363953825</v>
      </c>
      <c r="DU49" s="59">
        <f t="shared" si="44"/>
        <v>248.38414731596578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8.2455388035278574</v>
      </c>
      <c r="EC49" s="21">
        <f>EXP(-LN(2)/2)*EC48+(1-EXP(-LN(2)/2))/(LN(2)/2)*DW49*DZ49*VLOOKUP('Données projet'!$B$14,Paramètres!$A$1:$I$89,3,0)*0.475*44/12</f>
        <v>9.2692812007105357E-2</v>
      </c>
      <c r="ED49" s="22">
        <f t="shared" si="18"/>
        <v>8.3382316155349621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12.8</v>
      </c>
      <c r="EJ49" s="12">
        <f>IF('Données projet'!$A$192&gt;35,EJ48+EI49-ER48,IF(A49&lt;'Données projet'!$A$192,$EG$205^A49,IF(A49='Données projet'!$A$192,'Données projet'!$B$192,EJ48+EI49-ER48)))</f>
        <v>291.79999999999995</v>
      </c>
      <c r="EK49" s="17">
        <f>EJ49*VLOOKUP('Données projet'!$B$15,Paramètres!$A$1:$I$89,3,0)*VLOOKUP('Données projet'!$B$15,Paramètres!$A$1:$I$89,5,0)</f>
        <v>174.49639999999999</v>
      </c>
      <c r="EL49" s="13">
        <f t="shared" si="45"/>
        <v>44.095532458716939</v>
      </c>
      <c r="EM49" s="20">
        <f t="shared" si="19"/>
        <v>380.71428236559865</v>
      </c>
      <c r="EN49" s="59">
        <f t="shared" si="20"/>
        <v>674.04761569893196</v>
      </c>
      <c r="EO49" s="59">
        <f ca="1">AVERAGE(OFFSET($EN$3,0,0,'Données projet'!$E$15+1,1))-AVERAGE(OFFSET($H$3,0,0,'Données projet'!$E$15+1,1))</f>
        <v>247.30892363953825</v>
      </c>
      <c r="EP49" s="59">
        <f t="shared" si="46"/>
        <v>248.38414731596578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8.2455388035278574</v>
      </c>
      <c r="EX49" s="21">
        <f>EXP(-LN(2)/2)*EX48+(1-EXP(-LN(2)/2))/(LN(2)/2)*ER49*EU49*VLOOKUP('Données projet'!$B$15,Paramètres!$A$1:$I$89,3,0)*0.475*44/12</f>
        <v>9.2692812007105357E-2</v>
      </c>
      <c r="EY49" s="22">
        <f t="shared" si="21"/>
        <v>8.3382316155349621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23.4</v>
      </c>
      <c r="FE49" s="12">
        <f>IF('Données projet'!$A$218&gt;35,FE48+FD49-FM48,IF(A49&lt;'Données projet'!$A$218,$FB$205^A49,IF(A49='Données projet'!$A$218,'Données projet'!$B$218,FE48+FD49-FM48)))</f>
        <v>456.40000000000003</v>
      </c>
      <c r="FF49" s="17">
        <f>FE49*VLOOKUP('Données projet'!$B$16,Paramètres!$A$1:$I$89,3,0)*VLOOKUP('Données projet'!$B$16,Paramètres!$A$1:$I$89,5,0)</f>
        <v>219.52840000000003</v>
      </c>
      <c r="FG49" s="13">
        <f t="shared" si="47"/>
        <v>54.012372992613365</v>
      </c>
      <c r="FH49" s="20">
        <f t="shared" si="22"/>
        <v>476.4168462954683</v>
      </c>
      <c r="FI49" s="59">
        <f t="shared" si="23"/>
        <v>769.75017962880156</v>
      </c>
      <c r="FJ49" s="59">
        <f ca="1">AVERAGE(OFFSET($FI$3,0,0,'Données projet'!$E$16+1,1))-AVERAGE(OFFSET($H$3,0,0,'Données projet'!$E$16+1,1))</f>
        <v>322.54393676667081</v>
      </c>
      <c r="FK49" s="59">
        <f t="shared" si="48"/>
        <v>296.73904998640018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4.9082156820532434</v>
      </c>
      <c r="FR49" s="21">
        <f>EXP(-LN(2)/25)*FR48+(1-EXP(-LN(2)/25))/(LN(2)/25)*Calculateur!FM49*Calculateur!FO49*VLOOKUP('Données projet'!$B$16,Paramètres!$A$1:$I$89,3,0)*0.475*44/12</f>
        <v>8.6138001477950912</v>
      </c>
      <c r="FS49" s="21">
        <f>EXP(-LN(2)/2)*FS48+(1-EXP(-LN(2)/2))/(LN(2)/2)*FM49*FP49*VLOOKUP('Données projet'!$B$16,Paramètres!$A$1:$I$89,3,0)*0.475*44/12</f>
        <v>8.1690560266534512E-2</v>
      </c>
      <c r="FT49" s="22">
        <f t="shared" si="24"/>
        <v>13.603706390114869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894.22046182216059</v>
      </c>
      <c r="S50" s="59">
        <f ca="1">AVERAGE(OFFSET($R$3,0,0,'Données projet'!$E$9+1,1))-AVERAGE(OFFSET($H$3,0,0,'Données projet'!$E$9+1,1))</f>
        <v>401.06118089678654</v>
      </c>
      <c r="T50" s="59">
        <f t="shared" si="34"/>
        <v>399.58193819355591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290.00000000000017</v>
      </c>
      <c r="AJ50" s="13">
        <f>AI50*VLOOKUP('Données projet'!$B$10,Paramètres!$A$1:$I$89,3,0)*VLOOKUP('Données projet'!$B$10,Paramètres!$A$1:$I$89,5,0)</f>
        <v>180.96000000000009</v>
      </c>
      <c r="AK50" s="13">
        <f t="shared" si="35"/>
        <v>45.535702314871763</v>
      </c>
      <c r="AL50" s="20">
        <f t="shared" si="4"/>
        <v>394.48001486506854</v>
      </c>
      <c r="AM50" s="59">
        <f t="shared" si="5"/>
        <v>687.81334819840185</v>
      </c>
      <c r="AN50" s="59">
        <f ca="1">AVERAGE(OFFSET($AM$3,0,0,'Données projet'!$E$10+1,1))-AVERAGE(OFFSET($H$3,0,0,'Données projet'!$E$10+1,1))</f>
        <v>240.30073883588199</v>
      </c>
      <c r="AO50" s="59">
        <f t="shared" si="36"/>
        <v>263.20351282678843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4.9656678079177849</v>
      </c>
      <c r="AV50" s="21">
        <f>EXP(-LN(2)/25)*AV49+(1-EXP(-LN(2)/25))/(LN(2)/25)*Calculateur!AQ50*Calculateur!AS50*VLOOKUP('Données projet'!$B$10,Paramètres!$A$1:$I$89,3,0)*0.475*44/12</f>
        <v>12.975090587846482</v>
      </c>
      <c r="AW50" s="21">
        <f>EXP(-LN(2)/2)*AW49+(1-EXP(-LN(2)/2))/(LN(2)/2)*AQ50*AT50*VLOOKUP('Données projet'!$B$10,Paramètres!$A$1:$I$89,3,0)*0.475*44/12</f>
        <v>5.5769775626419639E-2</v>
      </c>
      <c r="AX50" s="21">
        <f t="shared" si="6"/>
        <v>17.996528171390686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23.5</v>
      </c>
      <c r="BD50" s="12">
        <f>IF('Données projet'!$A$88&gt;35,BD49+BC50-BL49,IF(A50&lt;'Données projet'!$A$88,$BA$205^A50,IF(A50='Données projet'!$A$88,'Données projet'!$B$88,BD49+BC50-BL49)))</f>
        <v>537.5</v>
      </c>
      <c r="BE50" s="13">
        <f>BD50*VLOOKUP('Données projet'!$B$11,Paramètres!$A$1:$I$89,3,0)*VLOOKUP('Données projet'!$B$11,Paramètres!$A$1:$I$89,5,0)</f>
        <v>258.53750000000002</v>
      </c>
      <c r="BF50" s="13">
        <f t="shared" si="37"/>
        <v>62.410529785041774</v>
      </c>
      <c r="BG50" s="20">
        <f t="shared" si="7"/>
        <v>558.98448520894783</v>
      </c>
      <c r="BH50" s="59">
        <f t="shared" si="8"/>
        <v>852.3178185422812</v>
      </c>
      <c r="BI50" s="59">
        <f ca="1">AVERAGE(OFFSET($BH$3,0,0,'Données projet'!$E$11+1,1))-AVERAGE(OFFSET($H$3,0,0,'Données projet'!$E$11+1,1))</f>
        <v>364.67510777943329</v>
      </c>
      <c r="BJ50" s="59">
        <f t="shared" si="38"/>
        <v>352.13878061387169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6.3157087431954366</v>
      </c>
      <c r="BQ50" s="21">
        <f>EXP(-LN(2)/25)*BQ49+(1-EXP(-LN(2)/25))/(LN(2)/25)*Calculateur!BL50*Calculateur!BN50*VLOOKUP('Données projet'!$B$11,Paramètres!$A$1:$I$89,3,0)*0.475*44/12</f>
        <v>11.244488643800311</v>
      </c>
      <c r="BR50" s="21">
        <f>EXP(-LN(2)/2)*BR49+(1-EXP(-LN(2)/2))/(LN(2)/2)*BL50*BO50*VLOOKUP('Données projet'!$B$11,Paramètres!$A$1:$I$89,3,0)*0.475*44/12</f>
        <v>7.5885695857663166E-2</v>
      </c>
      <c r="BS50" s="22">
        <f t="shared" si="9"/>
        <v>17.636083082853411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11.499999999999996</v>
      </c>
      <c r="BY50" s="12">
        <f>IF('Données projet'!$A$114&gt;35,BY49+BX50-CG49,IF(A50&lt;'Données projet'!$A$114,$BV$205^A50,IF(A50='Données projet'!$A$114,'Données projet'!$B$114,BY49+BX50-CG49)))</f>
        <v>288.69999999999987</v>
      </c>
      <c r="BZ50" s="13">
        <f>BY50*VLOOKUP('Données projet'!$B$12,Paramètres!$A$1:$I$89,3,0)*VLOOKUP('Données projet'!$B$12,Paramètres!$A$1:$I$89,5,0)</f>
        <v>135.11159999999992</v>
      </c>
      <c r="CA50" s="13">
        <f t="shared" si="39"/>
        <v>35.174835808562257</v>
      </c>
      <c r="CB50" s="20">
        <f t="shared" si="10"/>
        <v>296.58220903324576</v>
      </c>
      <c r="CC50" s="59">
        <f t="shared" si="11"/>
        <v>589.91554236657907</v>
      </c>
      <c r="CD50" s="59">
        <f ca="1">AVERAGE(OFFSET($CC$3,0,0,'Données projet'!$E$12+1,1))-AVERAGE(OFFSET($H$3,0,0,'Données projet'!$E$12+1,1))</f>
        <v>252.98248842635206</v>
      </c>
      <c r="CE50" s="59">
        <f t="shared" si="40"/>
        <v>207.11938580878308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2.2385407823372234</v>
      </c>
      <c r="CL50" s="21">
        <f>EXP(-LN(2)/25)*CL49+(1-EXP(-LN(2)/25))/(LN(2)/25)*Calculateur!CG50*Calculateur!CI50*VLOOKUP('Données projet'!$B$12,Paramètres!$A$1:$I$89,3,0)*0.475*44/12</f>
        <v>4.9031080644487064</v>
      </c>
      <c r="CM50" s="21">
        <f>EXP(-LN(2)/2)*CM49+(1-EXP(-LN(2)/2))/(LN(2)/2)*CG50*CJ50*VLOOKUP('Données projet'!$B$12,Paramètres!$A$1:$I$89,3,0)*0.475*44/12</f>
        <v>2.7157807277500692E-2</v>
      </c>
      <c r="CN50" s="22">
        <f t="shared" si="12"/>
        <v>7.168806654063431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19.2</v>
      </c>
      <c r="CT50" s="12">
        <f>IF('Données projet'!$A$140&gt;35,CT49+CS50-DB49,IF(A50&lt;'Données projet'!$A$140,$CQ$205^A50,IF(A50='Données projet'!$A$140,'Données projet'!$B$140,CT49+CS50-DB49)))</f>
        <v>451.39999999999981</v>
      </c>
      <c r="CU50" s="17">
        <f>CT50*VLOOKUP('Données projet'!$B$13,Paramètres!$A$1:$I$89,3,0)*VLOOKUP('Données projet'!$B$13,Paramètres!$A$1:$I$89,5,0)</f>
        <v>252.3325999999999</v>
      </c>
      <c r="CV50" s="13">
        <f t="shared" si="41"/>
        <v>61.08516173401626</v>
      </c>
      <c r="CW50" s="20">
        <f t="shared" si="13"/>
        <v>545.86926835341148</v>
      </c>
      <c r="CX50" s="59">
        <f t="shared" si="14"/>
        <v>839.20260168674486</v>
      </c>
      <c r="CY50" s="59">
        <f ca="1">AVERAGE(OFFSET($CX$3,0,0,'Données projet'!$E$13+1,1))-AVERAGE(OFFSET($H$3,0,0,'Données projet'!$E$13+1,1))</f>
        <v>356.67698551373468</v>
      </c>
      <c r="CZ50" s="59">
        <f t="shared" si="42"/>
        <v>353.21836615408171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3.2621678793682136</v>
      </c>
      <c r="DG50" s="21">
        <f>EXP(-LN(2)/25)*DG49+(1-EXP(-LN(2)/25))/(LN(2)/25)*Calculateur!DB50*Calculateur!DD50*VLOOKUP('Données projet'!$B$13,Paramètres!$A$1:$I$89,3,0)*0.475*44/12</f>
        <v>18.832906537020563</v>
      </c>
      <c r="DH50" s="21">
        <f>EXP(-LN(2)/2)*DH49+(1-EXP(-LN(2)/2))/(LN(2)/2)*DB50*DE50*VLOOKUP('Données projet'!$B$13,Paramètres!$A$1:$I$89,3,0)*0.475*44/12</f>
        <v>8.9830426660480134E-2</v>
      </c>
      <c r="DI50" s="22">
        <f t="shared" si="15"/>
        <v>22.184904843049257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12.8</v>
      </c>
      <c r="DO50" s="12">
        <f>IF('Données projet'!$A$166&gt;35,DO49+DN50-DW49,IF(A50&lt;'Données projet'!$A$166,$DL$205^A50,IF(A50='Données projet'!$A$166,'Données projet'!$B$166,DO49+DN50-DW49)))</f>
        <v>304.59999999999997</v>
      </c>
      <c r="DP50" s="17">
        <f>DO50*VLOOKUP('Données projet'!$B$14,Paramètres!$A$1:$I$89,3,0)*VLOOKUP('Données projet'!$B$14,Paramètres!$A$1:$I$89,5,0)</f>
        <v>182.15079999999998</v>
      </c>
      <c r="DQ50" s="13">
        <f t="shared" si="43"/>
        <v>45.800368240506849</v>
      </c>
      <c r="DR50" s="20">
        <f t="shared" si="16"/>
        <v>397.01495135221603</v>
      </c>
      <c r="DS50" s="59">
        <f t="shared" si="17"/>
        <v>690.34828468554929</v>
      </c>
      <c r="DT50" s="59">
        <f ca="1">AVERAGE(OFFSET($DS$3,0,0,'Données projet'!$E$14+1,1))-AVERAGE(OFFSET($H$3,0,0,'Données projet'!$E$14+1,1))</f>
        <v>247.30892363953825</v>
      </c>
      <c r="DU50" s="59">
        <f t="shared" si="44"/>
        <v>248.38414731596578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8.0200641113313473</v>
      </c>
      <c r="EC50" s="21">
        <f>EXP(-LN(2)/2)*EC49+(1-EXP(-LN(2)/2))/(LN(2)/2)*DW50*DZ50*VLOOKUP('Données projet'!$B$14,Paramètres!$A$1:$I$89,3,0)*0.475*44/12</f>
        <v>6.5543715937474031E-2</v>
      </c>
      <c r="ED50" s="22">
        <f t="shared" si="18"/>
        <v>8.0856078272688219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12.8</v>
      </c>
      <c r="EJ50" s="12">
        <f>IF('Données projet'!$A$192&gt;35,EJ49+EI50-ER49,IF(A50&lt;'Données projet'!$A$192,$EG$205^A50,IF(A50='Données projet'!$A$192,'Données projet'!$B$192,EJ49+EI50-ER49)))</f>
        <v>304.59999999999997</v>
      </c>
      <c r="EK50" s="17">
        <f>EJ50*VLOOKUP('Données projet'!$B$15,Paramètres!$A$1:$I$89,3,0)*VLOOKUP('Données projet'!$B$15,Paramètres!$A$1:$I$89,5,0)</f>
        <v>182.15079999999998</v>
      </c>
      <c r="EL50" s="13">
        <f t="shared" si="45"/>
        <v>45.800368240506849</v>
      </c>
      <c r="EM50" s="20">
        <f t="shared" si="19"/>
        <v>397.01495135221603</v>
      </c>
      <c r="EN50" s="59">
        <f t="shared" si="20"/>
        <v>690.34828468554929</v>
      </c>
      <c r="EO50" s="59">
        <f ca="1">AVERAGE(OFFSET($EN$3,0,0,'Données projet'!$E$15+1,1))-AVERAGE(OFFSET($H$3,0,0,'Données projet'!$E$15+1,1))</f>
        <v>247.30892363953825</v>
      </c>
      <c r="EP50" s="59">
        <f t="shared" si="46"/>
        <v>248.38414731596578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8.0200641113313473</v>
      </c>
      <c r="EX50" s="21">
        <f>EXP(-LN(2)/2)*EX49+(1-EXP(-LN(2)/2))/(LN(2)/2)*ER50*EU50*VLOOKUP('Données projet'!$B$15,Paramètres!$A$1:$I$89,3,0)*0.475*44/12</f>
        <v>6.5543715937474031E-2</v>
      </c>
      <c r="EY50" s="22">
        <f t="shared" si="21"/>
        <v>8.0856078272688219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23.4</v>
      </c>
      <c r="FE50" s="12">
        <f>IF('Données projet'!$A$218&gt;35,FE49+FD50-FM49,IF(A50&lt;'Données projet'!$A$218,$FB$205^A50,IF(A50='Données projet'!$A$218,'Données projet'!$B$218,FE49+FD50-FM49)))</f>
        <v>479.8</v>
      </c>
      <c r="FF50" s="17">
        <f>FE50*VLOOKUP('Données projet'!$B$16,Paramètres!$A$1:$I$89,3,0)*VLOOKUP('Données projet'!$B$16,Paramètres!$A$1:$I$89,5,0)</f>
        <v>230.78380000000001</v>
      </c>
      <c r="FG50" s="13">
        <f t="shared" si="47"/>
        <v>56.452123845857628</v>
      </c>
      <c r="FH50" s="20">
        <f t="shared" si="22"/>
        <v>500.2692340315354</v>
      </c>
      <c r="FI50" s="59">
        <f t="shared" si="23"/>
        <v>793.60256736486872</v>
      </c>
      <c r="FJ50" s="59">
        <f ca="1">AVERAGE(OFFSET($FI$3,0,0,'Données projet'!$E$16+1,1))-AVERAGE(OFFSET($H$3,0,0,'Données projet'!$E$16+1,1))</f>
        <v>322.54393676667081</v>
      </c>
      <c r="FK50" s="59">
        <f t="shared" si="48"/>
        <v>296.73904998640018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4.8119685662441407</v>
      </c>
      <c r="FR50" s="21">
        <f>EXP(-LN(2)/25)*FR49+(1-EXP(-LN(2)/25))/(LN(2)/25)*Calculateur!FM50*Calculateur!FO50*VLOOKUP('Données projet'!$B$16,Paramètres!$A$1:$I$89,3,0)*0.475*44/12</f>
        <v>8.3782553297735713</v>
      </c>
      <c r="FS50" s="21">
        <f>EXP(-LN(2)/2)*FS49+(1-EXP(-LN(2)/2))/(LN(2)/2)*FM50*FP50*VLOOKUP('Données projet'!$B$16,Paramètres!$A$1:$I$89,3,0)*0.475*44/12</f>
        <v>5.7763949123394893E-2</v>
      </c>
      <c r="FT50" s="22">
        <f t="shared" si="24"/>
        <v>13.247987845141107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918.97906027963745</v>
      </c>
      <c r="S51" s="59">
        <f ca="1">AVERAGE(OFFSET($R$3,0,0,'Données projet'!$E$9+1,1))-AVERAGE(OFFSET($H$3,0,0,'Données projet'!$E$9+1,1))</f>
        <v>401.06118089678654</v>
      </c>
      <c r="T51" s="59">
        <f t="shared" si="34"/>
        <v>399.58193819355591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301.00000000000017</v>
      </c>
      <c r="AJ51" s="13">
        <f>AI51*VLOOKUP('Données projet'!$B$10,Paramètres!$A$1:$I$89,3,0)*VLOOKUP('Données projet'!$B$10,Paramètres!$A$1:$I$89,5,0)</f>
        <v>187.8240000000001</v>
      </c>
      <c r="AK51" s="13">
        <f t="shared" si="35"/>
        <v>47.05854810918273</v>
      </c>
      <c r="AL51" s="20">
        <f t="shared" si="4"/>
        <v>409.08710462349342</v>
      </c>
      <c r="AM51" s="59">
        <f t="shared" si="5"/>
        <v>702.42043795682673</v>
      </c>
      <c r="AN51" s="59">
        <f ca="1">AVERAGE(OFFSET($AM$3,0,0,'Données projet'!$E$10+1,1))-AVERAGE(OFFSET($H$3,0,0,'Données projet'!$E$10+1,1))</f>
        <v>240.30073883588199</v>
      </c>
      <c r="AO51" s="59">
        <f t="shared" si="36"/>
        <v>263.20351282678843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4.8682940909628147</v>
      </c>
      <c r="AV51" s="21">
        <f>EXP(-LN(2)/25)*AV50+(1-EXP(-LN(2)/25))/(LN(2)/25)*Calculateur!AQ51*Calculateur!AS51*VLOOKUP('Données projet'!$B$10,Paramètres!$A$1:$I$89,3,0)*0.475*44/12</f>
        <v>12.620286053391462</v>
      </c>
      <c r="AW51" s="21">
        <f>EXP(-LN(2)/2)*AW50+(1-EXP(-LN(2)/2))/(LN(2)/2)*AQ51*AT51*VLOOKUP('Données projet'!$B$10,Paramètres!$A$1:$I$89,3,0)*0.475*44/12</f>
        <v>3.9435186530693563E-2</v>
      </c>
      <c r="AX51" s="21">
        <f t="shared" si="6"/>
        <v>17.528015330884969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23.5</v>
      </c>
      <c r="BD51" s="12">
        <f>IF('Données projet'!$A$88&gt;35,BD50+BC51-BL50,IF(A51&lt;'Données projet'!$A$88,$BA$205^A51,IF(A51='Données projet'!$A$88,'Données projet'!$B$88,BD50+BC51-BL50)))</f>
        <v>561</v>
      </c>
      <c r="BE51" s="13">
        <f>BD51*VLOOKUP('Données projet'!$B$11,Paramètres!$A$1:$I$89,3,0)*VLOOKUP('Données projet'!$B$11,Paramètres!$A$1:$I$89,5,0)</f>
        <v>269.84100000000001</v>
      </c>
      <c r="BF51" s="13">
        <f t="shared" si="37"/>
        <v>64.815524318181517</v>
      </c>
      <c r="BG51" s="20">
        <f t="shared" si="7"/>
        <v>582.86011318749945</v>
      </c>
      <c r="BH51" s="59">
        <f t="shared" si="8"/>
        <v>876.19344652083282</v>
      </c>
      <c r="BI51" s="59">
        <f ca="1">AVERAGE(OFFSET($BH$3,0,0,'Données projet'!$E$11+1,1))-AVERAGE(OFFSET($H$3,0,0,'Données projet'!$E$11+1,1))</f>
        <v>364.67510777943329</v>
      </c>
      <c r="BJ51" s="59">
        <f t="shared" si="38"/>
        <v>352.13878061387169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6.1918615469433345</v>
      </c>
      <c r="BQ51" s="21">
        <f>EXP(-LN(2)/25)*BQ50+(1-EXP(-LN(2)/25))/(LN(2)/25)*Calculateur!BL51*Calculateur!BN51*VLOOKUP('Données projet'!$B$11,Paramètres!$A$1:$I$89,3,0)*0.475*44/12</f>
        <v>10.937007510513634</v>
      </c>
      <c r="BR51" s="21">
        <f>EXP(-LN(2)/2)*BR50+(1-EXP(-LN(2)/2))/(LN(2)/2)*BL51*BO51*VLOOKUP('Données projet'!$B$11,Paramètres!$A$1:$I$89,3,0)*0.475*44/12</f>
        <v>5.3659290136013525E-2</v>
      </c>
      <c r="BS51" s="22">
        <f t="shared" si="9"/>
        <v>17.182528347592982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11.499999999999996</v>
      </c>
      <c r="BY51" s="12">
        <f>IF('Données projet'!$A$114&gt;35,BY50+BX51-CG50,IF(A51&lt;'Données projet'!$A$114,$BV$205^A51,IF(A51='Données projet'!$A$114,'Données projet'!$B$114,BY50+BX51-CG50)))</f>
        <v>300.19999999999987</v>
      </c>
      <c r="BZ51" s="13">
        <f>BY51*VLOOKUP('Données projet'!$B$12,Paramètres!$A$1:$I$89,3,0)*VLOOKUP('Données projet'!$B$12,Paramètres!$A$1:$I$89,5,0)</f>
        <v>140.49359999999993</v>
      </c>
      <c r="CA51" s="13">
        <f t="shared" si="39"/>
        <v>36.410059151057915</v>
      </c>
      <c r="CB51" s="20">
        <f t="shared" si="10"/>
        <v>308.10720635475906</v>
      </c>
      <c r="CC51" s="59">
        <f t="shared" si="11"/>
        <v>601.44053968809237</v>
      </c>
      <c r="CD51" s="59">
        <f ca="1">AVERAGE(OFFSET($CC$3,0,0,'Données projet'!$E$12+1,1))-AVERAGE(OFFSET($H$3,0,0,'Données projet'!$E$12+1,1))</f>
        <v>252.98248842635206</v>
      </c>
      <c r="CE51" s="59">
        <f t="shared" si="40"/>
        <v>207.11938580878308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2.194644362970648</v>
      </c>
      <c r="CL51" s="21">
        <f>EXP(-LN(2)/25)*CL50+(1-EXP(-LN(2)/25))/(LN(2)/25)*Calculateur!CG51*Calculateur!CI51*VLOOKUP('Données projet'!$B$12,Paramètres!$A$1:$I$89,3,0)*0.475*44/12</f>
        <v>4.7690323165831092</v>
      </c>
      <c r="CM51" s="21">
        <f>EXP(-LN(2)/2)*CM50+(1-EXP(-LN(2)/2))/(LN(2)/2)*CG51*CJ51*VLOOKUP('Données projet'!$B$12,Paramètres!$A$1:$I$89,3,0)*0.475*44/12</f>
        <v>1.9203469688078109E-2</v>
      </c>
      <c r="CN51" s="22">
        <f t="shared" si="12"/>
        <v>6.9828801492418346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19.2</v>
      </c>
      <c r="CT51" s="12">
        <f>IF('Données projet'!$A$140&gt;35,CT50+CS51-DB50,IF(A51&lt;'Données projet'!$A$140,$CQ$205^A51,IF(A51='Données projet'!$A$140,'Données projet'!$B$140,CT50+CS51-DB50)))</f>
        <v>470.5999999999998</v>
      </c>
      <c r="CU51" s="17">
        <f>CT51*VLOOKUP('Données projet'!$B$13,Paramètres!$A$1:$I$89,3,0)*VLOOKUP('Données projet'!$B$13,Paramètres!$A$1:$I$89,5,0)</f>
        <v>263.0653999999999</v>
      </c>
      <c r="CV51" s="13">
        <f t="shared" si="41"/>
        <v>63.375350953508303</v>
      </c>
      <c r="CW51" s="20">
        <f t="shared" si="13"/>
        <v>568.55097457736008</v>
      </c>
      <c r="CX51" s="59">
        <f t="shared" si="14"/>
        <v>861.88430791069345</v>
      </c>
      <c r="CY51" s="59">
        <f ca="1">AVERAGE(OFFSET($CX$3,0,0,'Données projet'!$E$13+1,1))-AVERAGE(OFFSET($H$3,0,0,'Données projet'!$E$13+1,1))</f>
        <v>356.67698551373468</v>
      </c>
      <c r="CZ51" s="59">
        <f t="shared" si="42"/>
        <v>353.21836615408171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3.1981987569797403</v>
      </c>
      <c r="DG51" s="21">
        <f>EXP(-LN(2)/25)*DG50+(1-EXP(-LN(2)/25))/(LN(2)/25)*Calculateur!DB51*Calculateur!DD51*VLOOKUP('Données projet'!$B$13,Paramètres!$A$1:$I$89,3,0)*0.475*44/12</f>
        <v>18.317919717386225</v>
      </c>
      <c r="DH51" s="21">
        <f>EXP(-LN(2)/2)*DH50+(1-EXP(-LN(2)/2))/(LN(2)/2)*DB51*DE51*VLOOKUP('Données projet'!$B$13,Paramètres!$A$1:$I$89,3,0)*0.475*44/12</f>
        <v>6.3519703848506331E-2</v>
      </c>
      <c r="DI51" s="22">
        <f t="shared" si="15"/>
        <v>21.57963817821447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12.8</v>
      </c>
      <c r="DO51" s="12">
        <f>IF('Données projet'!$A$166&gt;35,DO50+DN51-DW50,IF(A51&lt;'Données projet'!$A$166,$DL$205^A51,IF(A51='Données projet'!$A$166,'Données projet'!$B$166,DO50+DN51-DW50)))</f>
        <v>317.39999999999998</v>
      </c>
      <c r="DP51" s="17">
        <f>DO51*VLOOKUP('Données projet'!$B$14,Paramètres!$A$1:$I$89,3,0)*VLOOKUP('Données projet'!$B$14,Paramètres!$A$1:$I$89,5,0)</f>
        <v>189.80519999999999</v>
      </c>
      <c r="DQ51" s="13">
        <f t="shared" si="43"/>
        <v>47.496882766206909</v>
      </c>
      <c r="DR51" s="20">
        <f t="shared" si="16"/>
        <v>413.30112748447704</v>
      </c>
      <c r="DS51" s="59">
        <f t="shared" si="17"/>
        <v>706.63446081781035</v>
      </c>
      <c r="DT51" s="59">
        <f ca="1">AVERAGE(OFFSET($DS$3,0,0,'Données projet'!$E$14+1,1))-AVERAGE(OFFSET($H$3,0,0,'Données projet'!$E$14+1,1))</f>
        <v>247.30892363953825</v>
      </c>
      <c r="DU51" s="59">
        <f t="shared" si="44"/>
        <v>248.38414731596578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7.8007550364501501</v>
      </c>
      <c r="EC51" s="21">
        <f>EXP(-LN(2)/2)*EC50+(1-EXP(-LN(2)/2))/(LN(2)/2)*DW51*DZ51*VLOOKUP('Données projet'!$B$14,Paramètres!$A$1:$I$89,3,0)*0.475*44/12</f>
        <v>4.6346406003552679E-2</v>
      </c>
      <c r="ED51" s="22">
        <f t="shared" si="18"/>
        <v>7.8471014424537024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12.8</v>
      </c>
      <c r="EJ51" s="12">
        <f>IF('Données projet'!$A$192&gt;35,EJ50+EI51-ER50,IF(A51&lt;'Données projet'!$A$192,$EG$205^A51,IF(A51='Données projet'!$A$192,'Données projet'!$B$192,EJ50+EI51-ER50)))</f>
        <v>317.39999999999998</v>
      </c>
      <c r="EK51" s="17">
        <f>EJ51*VLOOKUP('Données projet'!$B$15,Paramètres!$A$1:$I$89,3,0)*VLOOKUP('Données projet'!$B$15,Paramètres!$A$1:$I$89,5,0)</f>
        <v>189.80519999999999</v>
      </c>
      <c r="EL51" s="13">
        <f t="shared" si="45"/>
        <v>47.496882766206909</v>
      </c>
      <c r="EM51" s="20">
        <f t="shared" si="19"/>
        <v>413.30112748447704</v>
      </c>
      <c r="EN51" s="59">
        <f t="shared" si="20"/>
        <v>706.63446081781035</v>
      </c>
      <c r="EO51" s="59">
        <f ca="1">AVERAGE(OFFSET($EN$3,0,0,'Données projet'!$E$15+1,1))-AVERAGE(OFFSET($H$3,0,0,'Données projet'!$E$15+1,1))</f>
        <v>247.30892363953825</v>
      </c>
      <c r="EP51" s="59">
        <f t="shared" si="46"/>
        <v>248.38414731596578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7.8007550364501501</v>
      </c>
      <c r="EX51" s="21">
        <f>EXP(-LN(2)/2)*EX50+(1-EXP(-LN(2)/2))/(LN(2)/2)*ER51*EU51*VLOOKUP('Données projet'!$B$15,Paramètres!$A$1:$I$89,3,0)*0.475*44/12</f>
        <v>4.6346406003552679E-2</v>
      </c>
      <c r="EY51" s="22">
        <f t="shared" si="21"/>
        <v>7.8471014424537024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23.4</v>
      </c>
      <c r="FE51" s="12">
        <f>IF('Données projet'!$A$218&gt;35,FE50+FD51-FM50,IF(A51&lt;'Données projet'!$A$218,$FB$205^A51,IF(A51='Données projet'!$A$218,'Données projet'!$B$218,FE50+FD51-FM50)))</f>
        <v>503.2</v>
      </c>
      <c r="FF51" s="17">
        <f>FE51*VLOOKUP('Données projet'!$B$16,Paramètres!$A$1:$I$89,3,0)*VLOOKUP('Données projet'!$B$16,Paramètres!$A$1:$I$89,5,0)</f>
        <v>242.03919999999999</v>
      </c>
      <c r="FG51" s="13">
        <f t="shared" si="47"/>
        <v>58.878058017449845</v>
      </c>
      <c r="FH51" s="20">
        <f t="shared" si="22"/>
        <v>524.09755771372511</v>
      </c>
      <c r="FI51" s="59">
        <f t="shared" si="23"/>
        <v>817.43089104705837</v>
      </c>
      <c r="FJ51" s="59">
        <f ca="1">AVERAGE(OFFSET($FI$3,0,0,'Données projet'!$E$16+1,1))-AVERAGE(OFFSET($H$3,0,0,'Données projet'!$E$16+1,1))</f>
        <v>322.54393676667081</v>
      </c>
      <c r="FK51" s="59">
        <f t="shared" si="48"/>
        <v>296.73904998640018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4.7176087976711099</v>
      </c>
      <c r="FR51" s="21">
        <f>EXP(-LN(2)/25)*FR50+(1-EXP(-LN(2)/25))/(LN(2)/25)*Calculateur!FM51*Calculateur!FO51*VLOOKUP('Données projet'!$B$16,Paramètres!$A$1:$I$89,3,0)*0.475*44/12</f>
        <v>8.1491514971876136</v>
      </c>
      <c r="FS51" s="21">
        <f>EXP(-LN(2)/2)*FS50+(1-EXP(-LN(2)/2))/(LN(2)/2)*FM51*FP51*VLOOKUP('Données projet'!$B$16,Paramètres!$A$1:$I$89,3,0)*0.475*44/12</f>
        <v>4.0845280133267256E-2</v>
      </c>
      <c r="FT51" s="22">
        <f t="shared" si="24"/>
        <v>12.90760557499199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943.71738635930365</v>
      </c>
      <c r="S52" s="59">
        <f ca="1">AVERAGE(OFFSET($R$3,0,0,'Données projet'!$E$9+1,1))-AVERAGE(OFFSET($H$3,0,0,'Données projet'!$E$9+1,1))</f>
        <v>401.06118089678654</v>
      </c>
      <c r="T52" s="59">
        <f t="shared" si="34"/>
        <v>399.58193819355591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312.00000000000017</v>
      </c>
      <c r="AJ52" s="13">
        <f>AI52*VLOOKUP('Données projet'!$B$10,Paramètres!$A$1:$I$89,3,0)*VLOOKUP('Données projet'!$B$10,Paramètres!$A$1:$I$89,5,0)</f>
        <v>194.6880000000001</v>
      </c>
      <c r="AK52" s="13">
        <f t="shared" si="35"/>
        <v>48.57492822891502</v>
      </c>
      <c r="AL52" s="20">
        <f t="shared" si="4"/>
        <v>423.68293333202706</v>
      </c>
      <c r="AM52" s="59">
        <f t="shared" si="5"/>
        <v>717.01626666536038</v>
      </c>
      <c r="AN52" s="59">
        <f ca="1">AVERAGE(OFFSET($AM$3,0,0,'Données projet'!$E$10+1,1))-AVERAGE(OFFSET($H$3,0,0,'Données projet'!$E$10+1,1))</f>
        <v>240.30073883588199</v>
      </c>
      <c r="AO52" s="59">
        <f t="shared" si="36"/>
        <v>263.20351282678843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4.7728298132052291</v>
      </c>
      <c r="AV52" s="21">
        <f>EXP(-LN(2)/25)*AV51+(1-EXP(-LN(2)/25))/(LN(2)/25)*Calculateur!AQ52*Calculateur!AS52*VLOOKUP('Données projet'!$B$10,Paramètres!$A$1:$I$89,3,0)*0.475*44/12</f>
        <v>12.275183667589474</v>
      </c>
      <c r="AW52" s="21">
        <f>EXP(-LN(2)/2)*AW51+(1-EXP(-LN(2)/2))/(LN(2)/2)*AQ52*AT52*VLOOKUP('Données projet'!$B$10,Paramètres!$A$1:$I$89,3,0)*0.475*44/12</f>
        <v>2.7884887813209819E-2</v>
      </c>
      <c r="AX52" s="21">
        <f t="shared" si="6"/>
        <v>17.075898368607909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23.5</v>
      </c>
      <c r="BD52" s="12">
        <f>IF('Données projet'!$A$88&gt;35,BD51+BC52-BL51,IF(A52&lt;'Données projet'!$A$88,$BA$205^A52,IF(A52='Données projet'!$A$88,'Données projet'!$B$88,BD51+BC52-BL51)))</f>
        <v>584.5</v>
      </c>
      <c r="BE52" s="13">
        <f>BD52*VLOOKUP('Données projet'!$B$11,Paramètres!$A$1:$I$89,3,0)*VLOOKUP('Données projet'!$B$11,Paramètres!$A$1:$I$89,5,0)</f>
        <v>281.14449999999999</v>
      </c>
      <c r="BF52" s="13">
        <f t="shared" si="37"/>
        <v>67.208817180872998</v>
      </c>
      <c r="BG52" s="20">
        <f t="shared" si="7"/>
        <v>606.71536075668712</v>
      </c>
      <c r="BH52" s="59">
        <f t="shared" si="8"/>
        <v>900.04869409002049</v>
      </c>
      <c r="BI52" s="59">
        <f ca="1">AVERAGE(OFFSET($BH$3,0,0,'Données projet'!$E$11+1,1))-AVERAGE(OFFSET($H$3,0,0,'Données projet'!$E$11+1,1))</f>
        <v>364.67510777943329</v>
      </c>
      <c r="BJ52" s="59">
        <f t="shared" si="38"/>
        <v>352.13878061387169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6.0704429186704045</v>
      </c>
      <c r="BQ52" s="21">
        <f>EXP(-LN(2)/25)*BQ51+(1-EXP(-LN(2)/25))/(LN(2)/25)*Calculateur!BL52*Calculateur!BN52*VLOOKUP('Données projet'!$B$11,Paramètres!$A$1:$I$89,3,0)*0.475*44/12</f>
        <v>10.637934464986412</v>
      </c>
      <c r="BR52" s="21">
        <f>EXP(-LN(2)/2)*BR51+(1-EXP(-LN(2)/2))/(LN(2)/2)*BL52*BO52*VLOOKUP('Données projet'!$B$11,Paramètres!$A$1:$I$89,3,0)*0.475*44/12</f>
        <v>3.7942847928831583E-2</v>
      </c>
      <c r="BS52" s="22">
        <f t="shared" si="9"/>
        <v>16.746320231585649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11.499999999999996</v>
      </c>
      <c r="BY52" s="12">
        <f>IF('Données projet'!$A$114&gt;35,BY51+BX52-CG51,IF(A52&lt;'Données projet'!$A$114,$BV$205^A52,IF(A52='Données projet'!$A$114,'Données projet'!$B$114,BY51+BX52-CG51)))</f>
        <v>311.69999999999987</v>
      </c>
      <c r="BZ52" s="13">
        <f>BY52*VLOOKUP('Données projet'!$B$12,Paramètres!$A$1:$I$89,3,0)*VLOOKUP('Données projet'!$B$12,Paramètres!$A$1:$I$89,5,0)</f>
        <v>145.87559999999993</v>
      </c>
      <c r="CA52" s="13">
        <f t="shared" si="39"/>
        <v>37.639785440563628</v>
      </c>
      <c r="CB52" s="20">
        <f t="shared" si="10"/>
        <v>319.62262964231485</v>
      </c>
      <c r="CC52" s="59">
        <f t="shared" si="11"/>
        <v>612.95596297564816</v>
      </c>
      <c r="CD52" s="59">
        <f ca="1">AVERAGE(OFFSET($CC$3,0,0,'Données projet'!$E$12+1,1))-AVERAGE(OFFSET($H$3,0,0,'Données projet'!$E$12+1,1))</f>
        <v>252.98248842635206</v>
      </c>
      <c r="CE52" s="59">
        <f t="shared" si="40"/>
        <v>207.11938580878308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2.1516087256136793</v>
      </c>
      <c r="CL52" s="21">
        <f>EXP(-LN(2)/25)*CL51+(1-EXP(-LN(2)/25))/(LN(2)/25)*Calculateur!CG52*Calculateur!CI52*VLOOKUP('Données projet'!$B$12,Paramètres!$A$1:$I$89,3,0)*0.475*44/12</f>
        <v>4.638622877093634</v>
      </c>
      <c r="CM52" s="21">
        <f>EXP(-LN(2)/2)*CM51+(1-EXP(-LN(2)/2))/(LN(2)/2)*CG52*CJ52*VLOOKUP('Données projet'!$B$12,Paramètres!$A$1:$I$89,3,0)*0.475*44/12</f>
        <v>1.3578903638750346E-2</v>
      </c>
      <c r="CN52" s="22">
        <f t="shared" si="12"/>
        <v>6.8038105063460641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19.2</v>
      </c>
      <c r="CT52" s="12">
        <f>IF('Données projet'!$A$140&gt;35,CT51+CS52-DB51,IF(A52&lt;'Données projet'!$A$140,$CQ$205^A52,IF(A52='Données projet'!$A$140,'Données projet'!$B$140,CT51+CS52-DB51)))</f>
        <v>489.79999999999978</v>
      </c>
      <c r="CU52" s="17">
        <f>CT52*VLOOKUP('Données projet'!$B$13,Paramètres!$A$1:$I$89,3,0)*VLOOKUP('Données projet'!$B$13,Paramètres!$A$1:$I$89,5,0)</f>
        <v>273.79819999999989</v>
      </c>
      <c r="CV52" s="13">
        <f t="shared" si="41"/>
        <v>65.654686665964775</v>
      </c>
      <c r="CW52" s="20">
        <f t="shared" si="13"/>
        <v>591.21377760988844</v>
      </c>
      <c r="CX52" s="59">
        <f t="shared" si="14"/>
        <v>884.5471109432217</v>
      </c>
      <c r="CY52" s="59">
        <f ca="1">AVERAGE(OFFSET($CX$3,0,0,'Données projet'!$E$13+1,1))-AVERAGE(OFFSET($H$3,0,0,'Données projet'!$E$13+1,1))</f>
        <v>356.67698551373468</v>
      </c>
      <c r="CZ52" s="59">
        <f t="shared" si="42"/>
        <v>353.21836615408171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3.135484030063993</v>
      </c>
      <c r="DG52" s="21">
        <f>EXP(-LN(2)/25)*DG51+(1-EXP(-LN(2)/25))/(LN(2)/25)*Calculateur!DB52*Calculateur!DD52*VLOOKUP('Données projet'!$B$13,Paramètres!$A$1:$I$89,3,0)*0.475*44/12</f>
        <v>17.817015239416765</v>
      </c>
      <c r="DH52" s="21">
        <f>EXP(-LN(2)/2)*DH51+(1-EXP(-LN(2)/2))/(LN(2)/2)*DB52*DE52*VLOOKUP('Données projet'!$B$13,Paramètres!$A$1:$I$89,3,0)*0.475*44/12</f>
        <v>4.4915213330240067E-2</v>
      </c>
      <c r="DI52" s="22">
        <f t="shared" si="15"/>
        <v>20.997414482810996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12.8</v>
      </c>
      <c r="DO52" s="12">
        <f>IF('Données projet'!$A$166&gt;35,DO51+DN52-DW51,IF(A52&lt;'Données projet'!$A$166,$DL$205^A52,IF(A52='Données projet'!$A$166,'Données projet'!$B$166,DO51+DN52-DW51)))</f>
        <v>330.2</v>
      </c>
      <c r="DP52" s="17">
        <f>DO52*VLOOKUP('Données projet'!$B$14,Paramètres!$A$1:$I$89,3,0)*VLOOKUP('Données projet'!$B$14,Paramètres!$A$1:$I$89,5,0)</f>
        <v>197.45959999999999</v>
      </c>
      <c r="DQ52" s="13">
        <f t="shared" si="43"/>
        <v>49.185450002435452</v>
      </c>
      <c r="DR52" s="20">
        <f t="shared" si="16"/>
        <v>429.57346208757502</v>
      </c>
      <c r="DS52" s="59">
        <f t="shared" si="17"/>
        <v>722.90679542090834</v>
      </c>
      <c r="DT52" s="59">
        <f ca="1">AVERAGE(OFFSET($DS$3,0,0,'Données projet'!$E$14+1,1))-AVERAGE(OFFSET($H$3,0,0,'Données projet'!$E$14+1,1))</f>
        <v>247.30892363953825</v>
      </c>
      <c r="DU52" s="59">
        <f t="shared" si="44"/>
        <v>248.38414731596578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7.5874429797545426</v>
      </c>
      <c r="EC52" s="21">
        <f>EXP(-LN(2)/2)*EC51+(1-EXP(-LN(2)/2))/(LN(2)/2)*DW52*DZ52*VLOOKUP('Données projet'!$B$14,Paramètres!$A$1:$I$89,3,0)*0.475*44/12</f>
        <v>3.2771857968737016E-2</v>
      </c>
      <c r="ED52" s="22">
        <f t="shared" si="18"/>
        <v>7.6202148377232799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12.8</v>
      </c>
      <c r="EJ52" s="12">
        <f>IF('Données projet'!$A$192&gt;35,EJ51+EI52-ER51,IF(A52&lt;'Données projet'!$A$192,$EG$205^A52,IF(A52='Données projet'!$A$192,'Données projet'!$B$192,EJ51+EI52-ER51)))</f>
        <v>330.2</v>
      </c>
      <c r="EK52" s="17">
        <f>EJ52*VLOOKUP('Données projet'!$B$15,Paramètres!$A$1:$I$89,3,0)*VLOOKUP('Données projet'!$B$15,Paramètres!$A$1:$I$89,5,0)</f>
        <v>197.45959999999999</v>
      </c>
      <c r="EL52" s="13">
        <f t="shared" si="45"/>
        <v>49.185450002435452</v>
      </c>
      <c r="EM52" s="20">
        <f t="shared" si="19"/>
        <v>429.57346208757502</v>
      </c>
      <c r="EN52" s="59">
        <f t="shared" si="20"/>
        <v>722.90679542090834</v>
      </c>
      <c r="EO52" s="59">
        <f ca="1">AVERAGE(OFFSET($EN$3,0,0,'Données projet'!$E$15+1,1))-AVERAGE(OFFSET($H$3,0,0,'Données projet'!$E$15+1,1))</f>
        <v>247.30892363953825</v>
      </c>
      <c r="EP52" s="59">
        <f t="shared" si="46"/>
        <v>248.38414731596578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7.5874429797545426</v>
      </c>
      <c r="EX52" s="21">
        <f>EXP(-LN(2)/2)*EX51+(1-EXP(-LN(2)/2))/(LN(2)/2)*ER52*EU52*VLOOKUP('Données projet'!$B$15,Paramètres!$A$1:$I$89,3,0)*0.475*44/12</f>
        <v>3.2771857968737016E-2</v>
      </c>
      <c r="EY52" s="22">
        <f t="shared" si="21"/>
        <v>7.6202148377232799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23.4</v>
      </c>
      <c r="FE52" s="12">
        <f>IF('Données projet'!$A$218&gt;35,FE51+FD52-FM51,IF(A52&lt;'Données projet'!$A$218,$FB$205^A52,IF(A52='Données projet'!$A$218,'Données projet'!$B$218,FE51+FD52-FM51)))</f>
        <v>526.6</v>
      </c>
      <c r="FF52" s="17">
        <f>FE52*VLOOKUP('Données projet'!$B$16,Paramètres!$A$1:$I$89,3,0)*VLOOKUP('Données projet'!$B$16,Paramètres!$A$1:$I$89,5,0)</f>
        <v>253.29460000000003</v>
      </c>
      <c r="FG52" s="13">
        <f t="shared" si="47"/>
        <v>61.290891393738576</v>
      </c>
      <c r="FH52" s="20">
        <f t="shared" si="22"/>
        <v>547.90306417742806</v>
      </c>
      <c r="FI52" s="59">
        <f t="shared" si="23"/>
        <v>841.23639751076144</v>
      </c>
      <c r="FJ52" s="59">
        <f ca="1">AVERAGE(OFFSET($FI$3,0,0,'Données projet'!$E$16+1,1))-AVERAGE(OFFSET($H$3,0,0,'Données projet'!$E$16+1,1))</f>
        <v>322.54393676667081</v>
      </c>
      <c r="FK52" s="59">
        <f t="shared" si="48"/>
        <v>296.73904998640018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4.6250993666060207</v>
      </c>
      <c r="FR52" s="21">
        <f>EXP(-LN(2)/25)*FR51+(1-EXP(-LN(2)/25))/(LN(2)/25)*Calculateur!FM52*Calculateur!FO52*VLOOKUP('Données projet'!$B$16,Paramètres!$A$1:$I$89,3,0)*0.475*44/12</f>
        <v>7.9263125209517664</v>
      </c>
      <c r="FS52" s="21">
        <f>EXP(-LN(2)/2)*FS51+(1-EXP(-LN(2)/2))/(LN(2)/2)*FM52*FP52*VLOOKUP('Données projet'!$B$16,Paramètres!$A$1:$I$89,3,0)*0.475*44/12</f>
        <v>2.8881974561697447E-2</v>
      </c>
      <c r="FT52" s="22">
        <f t="shared" si="24"/>
        <v>12.580293862119484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968.43631865971201</v>
      </c>
      <c r="S53" s="59">
        <f ca="1">AVERAGE(OFFSET($R$3,0,0,'Données projet'!$E$9+1,1))-AVERAGE(OFFSET($H$3,0,0,'Données projet'!$E$9+1,1))</f>
        <v>401.06118089678654</v>
      </c>
      <c r="T53" s="59">
        <f t="shared" si="34"/>
        <v>399.58193819355591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323.00000000000017</v>
      </c>
      <c r="AJ53" s="13">
        <f>AI53*VLOOKUP('Données projet'!$B$10,Paramètres!$A$1:$I$89,3,0)*VLOOKUP('Données projet'!$B$10,Paramètres!$A$1:$I$89,5,0)</f>
        <v>201.55200000000011</v>
      </c>
      <c r="AK53" s="13">
        <f t="shared" si="35"/>
        <v>50.08509675021061</v>
      </c>
      <c r="AL53" s="20">
        <f t="shared" si="4"/>
        <v>438.26794350661703</v>
      </c>
      <c r="AM53" s="59">
        <f t="shared" si="5"/>
        <v>731.60127683995029</v>
      </c>
      <c r="AN53" s="59">
        <f ca="1">AVERAGE(OFFSET($AM$3,0,0,'Données projet'!$E$10+1,1))-AVERAGE(OFFSET($H$3,0,0,'Données projet'!$E$10+1,1))</f>
        <v>240.30073883588199</v>
      </c>
      <c r="AO53" s="59">
        <f t="shared" si="36"/>
        <v>263.20351282678843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4.6792375317070096</v>
      </c>
      <c r="AV53" s="21">
        <f>EXP(-LN(2)/25)*AV52+(1-EXP(-LN(2)/25))/(LN(2)/25)*Calculateur!AQ53*Calculateur!AS53*VLOOKUP('Données projet'!$B$10,Paramètres!$A$1:$I$89,3,0)*0.475*44/12</f>
        <v>11.939518124675386</v>
      </c>
      <c r="AW53" s="21">
        <f>EXP(-LN(2)/2)*AW52+(1-EXP(-LN(2)/2))/(LN(2)/2)*AQ53*AT53*VLOOKUP('Données projet'!$B$10,Paramètres!$A$1:$I$89,3,0)*0.475*44/12</f>
        <v>1.9717593265346781E-2</v>
      </c>
      <c r="AX53" s="21">
        <f t="shared" si="6"/>
        <v>16.638473249647745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608</v>
      </c>
      <c r="BB53" s="12">
        <f>VLOOKUP(A53,'Données projet'!$A$87:$I$107,9,0)</f>
        <v>23.5</v>
      </c>
      <c r="BC53" s="12">
        <f t="array" ref="BC53">INDEX(BB:BB,MIN(IF(ISNUMBER(BB53:BB249),ROW(BB53:BB249),"")))</f>
        <v>23.5</v>
      </c>
      <c r="BD53" s="12">
        <f>IF('Données projet'!$A$88&gt;35,BD52+BC53-BL52,IF(A53&lt;'Données projet'!$A$88,$BA$205^A53,IF(A53='Données projet'!$A$88,'Données projet'!$B$88,BD52+BC53-BL52)))</f>
        <v>608</v>
      </c>
      <c r="BE53" s="13">
        <f>BD53*VLOOKUP('Données projet'!$B$11,Paramètres!$A$1:$I$89,3,0)*VLOOKUP('Données projet'!$B$11,Paramètres!$A$1:$I$89,5,0)</f>
        <v>292.44800000000004</v>
      </c>
      <c r="BF53" s="13">
        <f t="shared" si="37"/>
        <v>69.590932665722335</v>
      </c>
      <c r="BG53" s="20">
        <f t="shared" si="7"/>
        <v>630.55114105946643</v>
      </c>
      <c r="BH53" s="59">
        <f t="shared" si="8"/>
        <v>923.8844743927998</v>
      </c>
      <c r="BI53" s="59">
        <f ca="1">AVERAGE(OFFSET($BH$3,0,0,'Données projet'!$E$11+1,1))-AVERAGE(OFFSET($H$3,0,0,'Données projet'!$E$11+1,1))</f>
        <v>364.67510777943329</v>
      </c>
      <c r="BJ53" s="59">
        <f t="shared" si="38"/>
        <v>352.13878061387169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126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5.9514052356398564</v>
      </c>
      <c r="BQ53" s="21">
        <f>EXP(-LN(2)/25)*BQ52+(1-EXP(-LN(2)/25))/(LN(2)/25)*Calculateur!BL53*Calculateur!BN53*VLOOKUP('Données projet'!$B$11,Paramètres!$A$1:$I$89,3,0)*0.475*44/12</f>
        <v>10.347039587616697</v>
      </c>
      <c r="BR53" s="21">
        <f>EXP(-LN(2)/2)*BR52+(1-EXP(-LN(2)/2))/(LN(2)/2)*BL53*BO53*VLOOKUP('Données projet'!$B$11,Paramètres!$A$1:$I$89,3,0)*0.475*44/12</f>
        <v>2.6829645068006763E-2</v>
      </c>
      <c r="BS53" s="22">
        <f t="shared" si="9"/>
        <v>16.325274468324558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323.2</v>
      </c>
      <c r="BW53" s="12">
        <f>VLOOKUP(A53,'Données projet'!$A$113:$I$133,9,0)</f>
        <v>11.499999999999996</v>
      </c>
      <c r="BX53" s="12">
        <f t="array" ref="BX53">INDEX(BW:BW,MIN(IF(ISNUMBER(BW53:BW249),ROW(BW53:BW249),"")))</f>
        <v>11.499999999999996</v>
      </c>
      <c r="BY53" s="12">
        <f>IF('Données projet'!$A$114&gt;35,BY52+BX53-CG52,IF(A53&lt;'Données projet'!$A$114,$BV$205^A53,IF(A53='Données projet'!$A$114,'Données projet'!$B$114,BY52+BX53-CG52)))</f>
        <v>323.19999999999987</v>
      </c>
      <c r="BZ53" s="13">
        <f>BY53*VLOOKUP('Données projet'!$B$12,Paramètres!$A$1:$I$89,3,0)*VLOOKUP('Données projet'!$B$12,Paramètres!$A$1:$I$89,5,0)</f>
        <v>151.25759999999994</v>
      </c>
      <c r="CA53" s="13">
        <f t="shared" si="39"/>
        <v>38.864240713854024</v>
      </c>
      <c r="CB53" s="20">
        <f t="shared" si="10"/>
        <v>331.12887257662896</v>
      </c>
      <c r="CC53" s="59">
        <f t="shared" si="11"/>
        <v>624.46220590996222</v>
      </c>
      <c r="CD53" s="59">
        <f ca="1">AVERAGE(OFFSET($CC$3,0,0,'Données projet'!$E$12+1,1))-AVERAGE(OFFSET($H$3,0,0,'Données projet'!$E$12+1,1))</f>
        <v>252.98248842635206</v>
      </c>
      <c r="CE53" s="59">
        <f t="shared" si="40"/>
        <v>207.11938580878308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83.4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2.1094169908561335</v>
      </c>
      <c r="CL53" s="21">
        <f>EXP(-LN(2)/25)*CL52+(1-EXP(-LN(2)/25))/(LN(2)/25)*Calculateur!CG53*Calculateur!CI53*VLOOKUP('Données projet'!$B$12,Paramètres!$A$1:$I$89,3,0)*0.475*44/12</f>
        <v>4.5117794905849333</v>
      </c>
      <c r="CM53" s="21">
        <f>EXP(-LN(2)/2)*CM52+(1-EXP(-LN(2)/2))/(LN(2)/2)*CG53*CJ53*VLOOKUP('Données projet'!$B$12,Paramètres!$A$1:$I$89,3,0)*0.475*44/12</f>
        <v>9.6017348440390546E-3</v>
      </c>
      <c r="CN53" s="22">
        <f t="shared" si="12"/>
        <v>6.6307982162851058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509</v>
      </c>
      <c r="CR53" s="12">
        <f>VLOOKUP(A53,'Données projet'!$A$139:$I$159,9,0)</f>
        <v>19.2</v>
      </c>
      <c r="CS53" s="12">
        <f t="array" ref="CS53">INDEX(CR:CR,MIN(IF(ISNUMBER(CR53:CR249),ROW(CR53:CR249),"")))</f>
        <v>19.2</v>
      </c>
      <c r="CT53" s="12">
        <f>IF('Données projet'!$A$140&gt;35,CT52+CS53-DB52,IF(A53&lt;'Données projet'!$A$140,$CQ$205^A53,IF(A53='Données projet'!$A$140,'Données projet'!$B$140,CT52+CS53-DB52)))</f>
        <v>508.99999999999977</v>
      </c>
      <c r="CU53" s="17">
        <f>CT53*VLOOKUP('Données projet'!$B$13,Paramètres!$A$1:$I$89,3,0)*VLOOKUP('Données projet'!$B$13,Paramètres!$A$1:$I$89,5,0)</f>
        <v>284.53099999999989</v>
      </c>
      <c r="CV53" s="13">
        <f t="shared" si="41"/>
        <v>67.92364301353318</v>
      </c>
      <c r="CW53" s="20">
        <f t="shared" si="13"/>
        <v>613.85850324857017</v>
      </c>
      <c r="CX53" s="59">
        <f t="shared" si="14"/>
        <v>907.19183658190354</v>
      </c>
      <c r="CY53" s="59">
        <f ca="1">AVERAGE(OFFSET($CX$3,0,0,'Données projet'!$E$13+1,1))-AVERAGE(OFFSET($H$3,0,0,'Données projet'!$E$13+1,1))</f>
        <v>356.67698551373468</v>
      </c>
      <c r="CZ53" s="59">
        <f t="shared" si="42"/>
        <v>353.21836615408171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108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3.0739991006908571</v>
      </c>
      <c r="DG53" s="21">
        <f>EXP(-LN(2)/25)*DG52+(1-EXP(-LN(2)/25))/(LN(2)/25)*Calculateur!DB53*Calculateur!DD53*VLOOKUP('Données projet'!$B$13,Paramètres!$A$1:$I$89,3,0)*0.475*44/12</f>
        <v>17.329808020738803</v>
      </c>
      <c r="DH53" s="21">
        <f>EXP(-LN(2)/2)*DH52+(1-EXP(-LN(2)/2))/(LN(2)/2)*DB53*DE53*VLOOKUP('Données projet'!$B$13,Paramètres!$A$1:$I$89,3,0)*0.475*44/12</f>
        <v>3.1759851924253166E-2</v>
      </c>
      <c r="DI53" s="22">
        <f t="shared" si="15"/>
        <v>20.435566973353911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343</v>
      </c>
      <c r="DM53" s="12">
        <f>VLOOKUP(A53,'Données projet'!$A$165:$I$185,9,0)</f>
        <v>12.8</v>
      </c>
      <c r="DN53" s="12">
        <f t="array" ref="DN53">INDEX(DM:DM,MIN(IF(ISNUMBER(DM53:DM249),ROW(DM53:DM249),"")))</f>
        <v>12.8</v>
      </c>
      <c r="DO53" s="12">
        <f>IF('Données projet'!$A$166&gt;35,DO52+DN53-DW52,IF(A53&lt;'Données projet'!$A$166,$DL$205^A53,IF(A53='Données projet'!$A$166,'Données projet'!$B$166,DO52+DN53-DW52)))</f>
        <v>343</v>
      </c>
      <c r="DP53" s="17">
        <f>DO53*VLOOKUP('Données projet'!$B$14,Paramètres!$A$1:$I$89,3,0)*VLOOKUP('Données projet'!$B$14,Paramètres!$A$1:$I$89,5,0)</f>
        <v>205.114</v>
      </c>
      <c r="DQ53" s="13">
        <f t="shared" si="43"/>
        <v>50.86641328088507</v>
      </c>
      <c r="DR53" s="20">
        <f t="shared" si="16"/>
        <v>445.83255313087483</v>
      </c>
      <c r="DS53" s="59">
        <f t="shared" si="17"/>
        <v>739.16588646420814</v>
      </c>
      <c r="DT53" s="59">
        <f ca="1">AVERAGE(OFFSET($DS$3,0,0,'Données projet'!$E$14+1,1))-AVERAGE(OFFSET($H$3,0,0,'Données projet'!$E$14+1,1))</f>
        <v>247.30892363953825</v>
      </c>
      <c r="DU53" s="59">
        <f t="shared" si="44"/>
        <v>248.38414731596578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70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7.3799639524668699</v>
      </c>
      <c r="EC53" s="21">
        <f>EXP(-LN(2)/2)*EC52+(1-EXP(-LN(2)/2))/(LN(2)/2)*DW53*DZ53*VLOOKUP('Données projet'!$B$14,Paramètres!$A$1:$I$89,3,0)*0.475*44/12</f>
        <v>2.3173203001776339E-2</v>
      </c>
      <c r="ED53" s="22">
        <f t="shared" si="18"/>
        <v>7.403137155468646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343</v>
      </c>
      <c r="EH53" s="12">
        <f>VLOOKUP(A53,'Données projet'!$A$191:$I$211,9,0)</f>
        <v>12.8</v>
      </c>
      <c r="EI53" s="12">
        <f t="array" ref="EI53">INDEX(EH:EH,MIN(IF(ISNUMBER(EH53:EH249),ROW(EH53:EH249),"")))</f>
        <v>12.8</v>
      </c>
      <c r="EJ53" s="12">
        <f>IF('Données projet'!$A$192&gt;35,EJ52+EI53-ER52,IF(A53&lt;'Données projet'!$A$192,$EG$205^A53,IF(A53='Données projet'!$A$192,'Données projet'!$B$192,EJ52+EI53-ER52)))</f>
        <v>343</v>
      </c>
      <c r="EK53" s="17">
        <f>EJ53*VLOOKUP('Données projet'!$B$15,Paramètres!$A$1:$I$89,3,0)*VLOOKUP('Données projet'!$B$15,Paramètres!$A$1:$I$89,5,0)</f>
        <v>205.114</v>
      </c>
      <c r="EL53" s="13">
        <f t="shared" si="45"/>
        <v>50.86641328088507</v>
      </c>
      <c r="EM53" s="20">
        <f t="shared" si="19"/>
        <v>445.83255313087483</v>
      </c>
      <c r="EN53" s="59">
        <f t="shared" si="20"/>
        <v>739.16588646420814</v>
      </c>
      <c r="EO53" s="59">
        <f ca="1">AVERAGE(OFFSET($EN$3,0,0,'Données projet'!$E$15+1,1))-AVERAGE(OFFSET($H$3,0,0,'Données projet'!$E$15+1,1))</f>
        <v>247.30892363953825</v>
      </c>
      <c r="EP53" s="59">
        <f t="shared" si="46"/>
        <v>248.38414731596578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70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7.3799639524668699</v>
      </c>
      <c r="EX53" s="21">
        <f>EXP(-LN(2)/2)*EX52+(1-EXP(-LN(2)/2))/(LN(2)/2)*ER53*EU53*VLOOKUP('Données projet'!$B$15,Paramètres!$A$1:$I$89,3,0)*0.475*44/12</f>
        <v>2.3173203001776339E-2</v>
      </c>
      <c r="EY53" s="22">
        <f t="shared" si="21"/>
        <v>7.403137155468646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550</v>
      </c>
      <c r="FC53" s="12">
        <f>VLOOKUP(A53,'Données projet'!$A$217:$I$237,9,0)</f>
        <v>23.4</v>
      </c>
      <c r="FD53" s="12">
        <f t="array" ref="FD53">INDEX(FC:FC,MIN(IF(ISNUMBER(FC53:FC249),ROW(FC53:FC249),"")))</f>
        <v>23.4</v>
      </c>
      <c r="FE53" s="12">
        <f>IF('Données projet'!$A$218&gt;35,FE52+FD53-FM52,IF(A53&lt;'Données projet'!$A$218,$FB$205^A53,IF(A53='Données projet'!$A$218,'Données projet'!$B$218,FE52+FD53-FM52)))</f>
        <v>550</v>
      </c>
      <c r="FF53" s="17">
        <f>FE53*VLOOKUP('Données projet'!$B$16,Paramètres!$A$1:$I$89,3,0)*VLOOKUP('Données projet'!$B$16,Paramètres!$A$1:$I$89,5,0)</f>
        <v>264.55</v>
      </c>
      <c r="FG53" s="13">
        <f t="shared" si="47"/>
        <v>63.691272641742799</v>
      </c>
      <c r="FH53" s="20">
        <f t="shared" si="22"/>
        <v>571.68688318436864</v>
      </c>
      <c r="FI53" s="59">
        <f t="shared" si="23"/>
        <v>865.02021651770201</v>
      </c>
      <c r="FJ53" s="59">
        <f ca="1">AVERAGE(OFFSET($FI$3,0,0,'Données projet'!$E$16+1,1))-AVERAGE(OFFSET($H$3,0,0,'Données projet'!$E$16+1,1))</f>
        <v>322.54393676667081</v>
      </c>
      <c r="FK53" s="59">
        <f t="shared" si="48"/>
        <v>296.73904998640018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132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4.5344039890589363</v>
      </c>
      <c r="FR53" s="21">
        <f>EXP(-LN(2)/25)*FR52+(1-EXP(-LN(2)/25))/(LN(2)/25)*Calculateur!FM53*Calculateur!FO53*VLOOKUP('Données projet'!$B$16,Paramètres!$A$1:$I$89,3,0)*0.475*44/12</f>
        <v>7.7095670882396803</v>
      </c>
      <c r="FS53" s="21">
        <f>EXP(-LN(2)/2)*FS52+(1-EXP(-LN(2)/2))/(LN(2)/2)*FM53*FP53*VLOOKUP('Données projet'!$B$16,Paramètres!$A$1:$I$89,3,0)*0.475*44/12</f>
        <v>2.0422640066633628E-2</v>
      </c>
      <c r="FT53" s="22">
        <f t="shared" si="24"/>
        <v>12.264393717365252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849.36450894787254</v>
      </c>
      <c r="S54" s="59">
        <f ca="1">AVERAGE(OFFSET($R$3,0,0,'Données projet'!$E$9+1,1))-AVERAGE(OFFSET($H$3,0,0,'Données projet'!$E$9+1,1))</f>
        <v>401.06118089678654</v>
      </c>
      <c r="T54" s="59">
        <f t="shared" si="34"/>
        <v>399.58193819355591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8.8000000000000007</v>
      </c>
      <c r="AI54" s="13">
        <f>IF('Données projet'!$A$62&gt;35,AI53+AH54-AQ53,IF(A54&lt;'Données projet'!$A$62,$AF$205^A54,IF(A54='Données projet'!$A$62,'Données projet'!$B$62,AI53+AH54-AQ53)))</f>
        <v>271.80000000000018</v>
      </c>
      <c r="AJ54" s="13">
        <f>AI54*VLOOKUP('Données projet'!$B$10,Paramètres!$A$1:$I$89,3,0)*VLOOKUP('Données projet'!$B$10,Paramètres!$A$1:$I$89,5,0)</f>
        <v>169.60320000000013</v>
      </c>
      <c r="AK54" s="13">
        <f t="shared" si="35"/>
        <v>43.001141502019024</v>
      </c>
      <c r="AL54" s="20">
        <f t="shared" si="4"/>
        <v>370.28589478268333</v>
      </c>
      <c r="AM54" s="59">
        <f t="shared" si="5"/>
        <v>663.61922811601664</v>
      </c>
      <c r="AN54" s="59">
        <f ca="1">AVERAGE(OFFSET($AM$3,0,0,'Données projet'!$E$10+1,1))-AVERAGE(OFFSET($H$3,0,0,'Données projet'!$E$10+1,1))</f>
        <v>240.30073883588199</v>
      </c>
      <c r="AO54" s="59">
        <f t="shared" si="36"/>
        <v>263.20351282678843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4.587480537763315</v>
      </c>
      <c r="AV54" s="21">
        <f>EXP(-LN(2)/25)*AV53+(1-EXP(-LN(2)/25))/(LN(2)/25)*Calculateur!AQ54*Calculateur!AS54*VLOOKUP('Données projet'!$B$10,Paramètres!$A$1:$I$89,3,0)*0.475*44/12</f>
        <v>11.613031373684167</v>
      </c>
      <c r="AW54" s="21">
        <f>EXP(-LN(2)/2)*AW53+(1-EXP(-LN(2)/2))/(LN(2)/2)*AQ54*AT54*VLOOKUP('Données projet'!$B$10,Paramètres!$A$1:$I$89,3,0)*0.475*44/12</f>
        <v>1.394244390660491E-2</v>
      </c>
      <c r="AX54" s="21">
        <f t="shared" si="6"/>
        <v>16.214454355354086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</v>
      </c>
      <c r="BD54" s="12">
        <f>IF('Données projet'!$A$88&gt;35,BD53+BC54-BL53,IF(A54&lt;'Données projet'!$A$88,$BA$205^A54,IF(A54='Données projet'!$A$88,'Données projet'!$B$88,BD53+BC54-BL53)))</f>
        <v>502</v>
      </c>
      <c r="BE54" s="13">
        <f>BD54*VLOOKUP('Données projet'!$B$11,Paramètres!$A$1:$I$89,3,0)*VLOOKUP('Données projet'!$B$11,Paramètres!$A$1:$I$89,5,0)</f>
        <v>241.46200000000002</v>
      </c>
      <c r="BF54" s="13">
        <f t="shared" si="37"/>
        <v>58.753975634925723</v>
      </c>
      <c r="BG54" s="20">
        <f t="shared" si="7"/>
        <v>522.87615756416233</v>
      </c>
      <c r="BH54" s="59">
        <f t="shared" si="8"/>
        <v>816.2094908974957</v>
      </c>
      <c r="BI54" s="59">
        <f ca="1">AVERAGE(OFFSET($BH$3,0,0,'Données projet'!$E$11+1,1))-AVERAGE(OFFSET($H$3,0,0,'Données projet'!$E$11+1,1))</f>
        <v>364.67510777943329</v>
      </c>
      <c r="BJ54" s="59">
        <f t="shared" si="38"/>
        <v>352.13878061387169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5.8347018089677203</v>
      </c>
      <c r="BQ54" s="21">
        <f>EXP(-LN(2)/25)*BQ53+(1-EXP(-LN(2)/25))/(LN(2)/25)*Calculateur!BL54*Calculateur!BN54*VLOOKUP('Données projet'!$B$11,Paramètres!$A$1:$I$89,3,0)*0.475*44/12</f>
        <v>10.064099245966155</v>
      </c>
      <c r="BR54" s="21">
        <f>EXP(-LN(2)/2)*BR53+(1-EXP(-LN(2)/2))/(LN(2)/2)*BL54*BO54*VLOOKUP('Données projet'!$B$11,Paramètres!$A$1:$I$89,3,0)*0.475*44/12</f>
        <v>1.8971423964415791E-2</v>
      </c>
      <c r="BS54" s="22">
        <f t="shared" si="9"/>
        <v>15.917772478898291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13.499999999999996</v>
      </c>
      <c r="BY54" s="12">
        <f>IF('Données projet'!$A$114&gt;35,BY53+BX54-CG53,IF(A54&lt;'Données projet'!$A$114,$BV$205^A54,IF(A54='Données projet'!$A$114,'Données projet'!$B$114,BY53+BX54-CG53)))</f>
        <v>253.29999999999987</v>
      </c>
      <c r="BZ54" s="13">
        <f>BY54*VLOOKUP('Données projet'!$B$12,Paramètres!$A$1:$I$89,3,0)*VLOOKUP('Données projet'!$B$12,Paramètres!$A$1:$I$89,5,0)</f>
        <v>118.54439999999994</v>
      </c>
      <c r="CA54" s="13">
        <f t="shared" si="39"/>
        <v>31.3352637371359</v>
      </c>
      <c r="CB54" s="20">
        <f t="shared" si="10"/>
        <v>261.04041434217822</v>
      </c>
      <c r="CC54" s="59">
        <f t="shared" si="11"/>
        <v>554.37374767551159</v>
      </c>
      <c r="CD54" s="59">
        <f ca="1">AVERAGE(OFFSET($CC$3,0,0,'Données projet'!$E$12+1,1))-AVERAGE(OFFSET($H$3,0,0,'Données projet'!$E$12+1,1))</f>
        <v>252.98248842635206</v>
      </c>
      <c r="CE54" s="59">
        <f t="shared" si="40"/>
        <v>207.11938580878308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2.0680526102827663</v>
      </c>
      <c r="CL54" s="21">
        <f>EXP(-LN(2)/25)*CL53+(1-EXP(-LN(2)/25))/(LN(2)/25)*Calculateur!CG54*Calculateur!CI54*VLOOKUP('Données projet'!$B$12,Paramètres!$A$1:$I$89,3,0)*0.475*44/12</f>
        <v>4.3884046431507171</v>
      </c>
      <c r="CM54" s="21">
        <f>EXP(-LN(2)/2)*CM53+(1-EXP(-LN(2)/2))/(LN(2)/2)*CG54*CJ54*VLOOKUP('Données projet'!$B$12,Paramètres!$A$1:$I$89,3,0)*0.475*44/12</f>
        <v>6.7894518193751729E-3</v>
      </c>
      <c r="CN54" s="22">
        <f t="shared" si="12"/>
        <v>6.4632467052528586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16.2</v>
      </c>
      <c r="CT54" s="12">
        <f>IF('Données projet'!$A$140&gt;35,CT53+CS54-DB53,IF(A54&lt;'Données projet'!$A$140,$CQ$205^A54,IF(A54='Données projet'!$A$140,'Données projet'!$B$140,CT53+CS54-DB53)))</f>
        <v>417.19999999999982</v>
      </c>
      <c r="CU54" s="17">
        <f>CT54*VLOOKUP('Données projet'!$B$13,Paramètres!$A$1:$I$89,3,0)*VLOOKUP('Données projet'!$B$13,Paramètres!$A$1:$I$89,5,0)</f>
        <v>233.21479999999991</v>
      </c>
      <c r="CV54" s="13">
        <f t="shared" si="41"/>
        <v>56.977233907865298</v>
      </c>
      <c r="CW54" s="20">
        <f t="shared" si="13"/>
        <v>505.41779238953194</v>
      </c>
      <c r="CX54" s="59">
        <f t="shared" si="14"/>
        <v>798.75112572286525</v>
      </c>
      <c r="CY54" s="59">
        <f ca="1">AVERAGE(OFFSET($CX$3,0,0,'Données projet'!$E$13+1,1))-AVERAGE(OFFSET($H$3,0,0,'Données projet'!$E$13+1,1))</f>
        <v>356.67698551373468</v>
      </c>
      <c r="CZ54" s="59">
        <f t="shared" si="42"/>
        <v>353.21836615408171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3.0137198532806244</v>
      </c>
      <c r="DG54" s="21">
        <f>EXP(-LN(2)/25)*DG53+(1-EXP(-LN(2)/25))/(LN(2)/25)*Calculateur!DB54*Calculateur!DD54*VLOOKUP('Données projet'!$B$13,Paramètres!$A$1:$I$89,3,0)*0.475*44/12</f>
        <v>16.855923509076703</v>
      </c>
      <c r="DH54" s="21">
        <f>EXP(-LN(2)/2)*DH53+(1-EXP(-LN(2)/2))/(LN(2)/2)*DB54*DE54*VLOOKUP('Données projet'!$B$13,Paramètres!$A$1:$I$89,3,0)*0.475*44/12</f>
        <v>2.2457606665120033E-2</v>
      </c>
      <c r="DI54" s="22">
        <f t="shared" si="15"/>
        <v>19.892100969022447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11.4</v>
      </c>
      <c r="DO54" s="12">
        <f>IF('Données projet'!$A$166&gt;35,DO53+DN54-DW53,IF(A54&lt;'Données projet'!$A$166,$DL$205^A54,IF(A54='Données projet'!$A$166,'Données projet'!$B$166,DO53+DN54-DW53)))</f>
        <v>284.39999999999998</v>
      </c>
      <c r="DP54" s="17">
        <f>DO54*VLOOKUP('Données projet'!$B$14,Paramètres!$A$1:$I$89,3,0)*VLOOKUP('Données projet'!$B$14,Paramètres!$A$1:$I$89,5,0)</f>
        <v>170.07119999999998</v>
      </c>
      <c r="DQ54" s="13">
        <f t="shared" si="43"/>
        <v>43.105969628155904</v>
      </c>
      <c r="DR54" s="20">
        <f t="shared" si="16"/>
        <v>371.2835704357048</v>
      </c>
      <c r="DS54" s="59">
        <f t="shared" si="17"/>
        <v>664.61690376903812</v>
      </c>
      <c r="DT54" s="59">
        <f ca="1">AVERAGE(OFFSET($DS$3,0,0,'Données projet'!$E$14+1,1))-AVERAGE(OFFSET($H$3,0,0,'Données projet'!$E$14+1,1))</f>
        <v>247.30892363953825</v>
      </c>
      <c r="DU54" s="59">
        <f t="shared" si="44"/>
        <v>248.38414731596578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7.1781584500912263</v>
      </c>
      <c r="EC54" s="21">
        <f>EXP(-LN(2)/2)*EC53+(1-EXP(-LN(2)/2))/(LN(2)/2)*DW54*DZ54*VLOOKUP('Données projet'!$B$14,Paramètres!$A$1:$I$89,3,0)*0.475*44/12</f>
        <v>1.6385928984368508E-2</v>
      </c>
      <c r="ED54" s="22">
        <f t="shared" si="18"/>
        <v>7.1945443790755945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11.4</v>
      </c>
      <c r="EJ54" s="12">
        <f>IF('Données projet'!$A$192&gt;35,EJ53+EI54-ER53,IF(A54&lt;'Données projet'!$A$192,$EG$205^A54,IF(A54='Données projet'!$A$192,'Données projet'!$B$192,EJ53+EI54-ER53)))</f>
        <v>284.39999999999998</v>
      </c>
      <c r="EK54" s="17">
        <f>EJ54*VLOOKUP('Données projet'!$B$15,Paramètres!$A$1:$I$89,3,0)*VLOOKUP('Données projet'!$B$15,Paramètres!$A$1:$I$89,5,0)</f>
        <v>170.07119999999998</v>
      </c>
      <c r="EL54" s="13">
        <f t="shared" si="45"/>
        <v>43.105969628155904</v>
      </c>
      <c r="EM54" s="20">
        <f t="shared" si="19"/>
        <v>371.2835704357048</v>
      </c>
      <c r="EN54" s="59">
        <f t="shared" si="20"/>
        <v>664.61690376903812</v>
      </c>
      <c r="EO54" s="59">
        <f ca="1">AVERAGE(OFFSET($EN$3,0,0,'Données projet'!$E$15+1,1))-AVERAGE(OFFSET($H$3,0,0,'Données projet'!$E$15+1,1))</f>
        <v>247.30892363953825</v>
      </c>
      <c r="EP54" s="59">
        <f t="shared" si="46"/>
        <v>248.38414731596578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7.1781584500912263</v>
      </c>
      <c r="EX54" s="21">
        <f>EXP(-LN(2)/2)*EX53+(1-EXP(-LN(2)/2))/(LN(2)/2)*ER54*EU54*VLOOKUP('Données projet'!$B$15,Paramètres!$A$1:$I$89,3,0)*0.475*44/12</f>
        <v>1.6385928984368508E-2</v>
      </c>
      <c r="EY54" s="22">
        <f t="shared" si="21"/>
        <v>7.1945443790755945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21.2</v>
      </c>
      <c r="FE54" s="12">
        <f>IF('Données projet'!$A$218&gt;35,FE53+FD54-FM53,IF(A54&lt;'Données projet'!$A$218,$FB$205^A54,IF(A54='Données projet'!$A$218,'Données projet'!$B$218,FE53+FD54-FM53)))</f>
        <v>439.20000000000005</v>
      </c>
      <c r="FF54" s="17">
        <f>FE54*VLOOKUP('Données projet'!$B$16,Paramètres!$A$1:$I$89,3,0)*VLOOKUP('Données projet'!$B$16,Paramètres!$A$1:$I$89,5,0)</f>
        <v>211.25520000000003</v>
      </c>
      <c r="FG54" s="13">
        <f t="shared" si="47"/>
        <v>52.209783272091016</v>
      </c>
      <c r="FH54" s="20">
        <f t="shared" si="22"/>
        <v>458.86817919889182</v>
      </c>
      <c r="FI54" s="59">
        <f t="shared" si="23"/>
        <v>752.20151253222514</v>
      </c>
      <c r="FJ54" s="59">
        <f ca="1">AVERAGE(OFFSET($FI$3,0,0,'Données projet'!$E$16+1,1))-AVERAGE(OFFSET($H$3,0,0,'Données projet'!$E$16+1,1))</f>
        <v>322.54393676667081</v>
      </c>
      <c r="FK54" s="59">
        <f t="shared" si="48"/>
        <v>296.73904998640018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4.4454870925468324</v>
      </c>
      <c r="FR54" s="21">
        <f>EXP(-LN(2)/25)*FR53+(1-EXP(-LN(2)/25))/(LN(2)/25)*Calculateur!FM54*Calculateur!FO54*VLOOKUP('Données projet'!$B$16,Paramètres!$A$1:$I$89,3,0)*0.475*44/12</f>
        <v>7.4987485707832535</v>
      </c>
      <c r="FS54" s="21">
        <f>EXP(-LN(2)/2)*FS53+(1-EXP(-LN(2)/2))/(LN(2)/2)*FM54*FP54*VLOOKUP('Données projet'!$B$16,Paramètres!$A$1:$I$89,3,0)*0.475*44/12</f>
        <v>1.4440987280848723E-2</v>
      </c>
      <c r="FT54" s="22">
        <f t="shared" si="24"/>
        <v>11.958676650610936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870.62112200451429</v>
      </c>
      <c r="S55" s="59">
        <f ca="1">AVERAGE(OFFSET($R$3,0,0,'Données projet'!$E$9+1,1))-AVERAGE(OFFSET($H$3,0,0,'Données projet'!$E$9+1,1))</f>
        <v>401.06118089678654</v>
      </c>
      <c r="T55" s="59">
        <f t="shared" si="34"/>
        <v>399.58193819355591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8.8000000000000007</v>
      </c>
      <c r="AI55" s="13">
        <f>IF('Données projet'!$A$62&gt;35,AI54+AH55-AQ54,IF(A55&lt;'Données projet'!$A$62,$AF$205^A55,IF(A55='Données projet'!$A$62,'Données projet'!$B$62,AI54+AH55-AQ54)))</f>
        <v>280.60000000000019</v>
      </c>
      <c r="AJ55" s="13">
        <f>AI55*VLOOKUP('Données projet'!$B$10,Paramètres!$A$1:$I$89,3,0)*VLOOKUP('Données projet'!$B$10,Paramètres!$A$1:$I$89,5,0)</f>
        <v>175.09440000000015</v>
      </c>
      <c r="AK55" s="13">
        <f t="shared" si="35"/>
        <v>44.229031605991956</v>
      </c>
      <c r="AL55" s="20">
        <f t="shared" si="4"/>
        <v>381.98831004710291</v>
      </c>
      <c r="AM55" s="59">
        <f t="shared" si="5"/>
        <v>675.32164338043617</v>
      </c>
      <c r="AN55" s="59">
        <f ca="1">AVERAGE(OFFSET($AM$3,0,0,'Données projet'!$E$10+1,1))-AVERAGE(OFFSET($H$3,0,0,'Données projet'!$E$10+1,1))</f>
        <v>240.30073883588199</v>
      </c>
      <c r="AO55" s="59">
        <f t="shared" si="36"/>
        <v>263.20351282678843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4.4975228425046163</v>
      </c>
      <c r="AV55" s="21">
        <f>EXP(-LN(2)/25)*AV54+(1-EXP(-LN(2)/25))/(LN(2)/25)*Calculateur!AQ55*Calculateur!AS55*VLOOKUP('Données projet'!$B$10,Paramètres!$A$1:$I$89,3,0)*0.475*44/12</f>
        <v>11.295472420067997</v>
      </c>
      <c r="AW55" s="21">
        <f>EXP(-LN(2)/2)*AW54+(1-EXP(-LN(2)/2))/(LN(2)/2)*AQ55*AT55*VLOOKUP('Données projet'!$B$10,Paramètres!$A$1:$I$89,3,0)*0.475*44/12</f>
        <v>9.8587966326733906E-3</v>
      </c>
      <c r="AX55" s="21">
        <f t="shared" si="6"/>
        <v>15.802854059205288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</v>
      </c>
      <c r="BD55" s="12">
        <f>IF('Données projet'!$A$88&gt;35,BD54+BC55-BL54,IF(A55&lt;'Données projet'!$A$88,$BA$205^A55,IF(A55='Données projet'!$A$88,'Données projet'!$B$88,BD54+BC55-BL54)))</f>
        <v>522</v>
      </c>
      <c r="BE55" s="13">
        <f>BD55*VLOOKUP('Données projet'!$B$11,Paramètres!$A$1:$I$89,3,0)*VLOOKUP('Données projet'!$B$11,Paramètres!$A$1:$I$89,5,0)</f>
        <v>251.08199999999999</v>
      </c>
      <c r="BF55" s="13">
        <f t="shared" si="37"/>
        <v>60.817576600008699</v>
      </c>
      <c r="BG55" s="20">
        <f t="shared" si="7"/>
        <v>543.22509591168171</v>
      </c>
      <c r="BH55" s="59">
        <f t="shared" si="8"/>
        <v>836.55842924501508</v>
      </c>
      <c r="BI55" s="59">
        <f ca="1">AVERAGE(OFFSET($BH$3,0,0,'Données projet'!$E$11+1,1))-AVERAGE(OFFSET($H$3,0,0,'Données projet'!$E$11+1,1))</f>
        <v>364.67510777943329</v>
      </c>
      <c r="BJ55" s="59">
        <f t="shared" si="38"/>
        <v>352.13878061387169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5.7202868653105625</v>
      </c>
      <c r="BQ55" s="21">
        <f>EXP(-LN(2)/25)*BQ54+(1-EXP(-LN(2)/25))/(LN(2)/25)*Calculateur!BL55*Calculateur!BN55*VLOOKUP('Données projet'!$B$11,Paramètres!$A$1:$I$89,3,0)*0.475*44/12</f>
        <v>9.7888959228372325</v>
      </c>
      <c r="BR55" s="21">
        <f>EXP(-LN(2)/2)*BR54+(1-EXP(-LN(2)/2))/(LN(2)/2)*BL55*BO55*VLOOKUP('Données projet'!$B$11,Paramètres!$A$1:$I$89,3,0)*0.475*44/12</f>
        <v>1.3414822534003381E-2</v>
      </c>
      <c r="BS55" s="22">
        <f t="shared" si="9"/>
        <v>15.522597610681798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13.499999999999996</v>
      </c>
      <c r="BY55" s="12">
        <f>IF('Données projet'!$A$114&gt;35,BY54+BX55-CG54,IF(A55&lt;'Données projet'!$A$114,$BV$205^A55,IF(A55='Données projet'!$A$114,'Données projet'!$B$114,BY54+BX55-CG54)))</f>
        <v>266.79999999999984</v>
      </c>
      <c r="BZ55" s="13">
        <f>BY55*VLOOKUP('Données projet'!$B$12,Paramètres!$A$1:$I$89,3,0)*VLOOKUP('Données projet'!$B$12,Paramètres!$A$1:$I$89,5,0)</f>
        <v>124.86239999999994</v>
      </c>
      <c r="CA55" s="13">
        <f t="shared" si="39"/>
        <v>32.80643928056157</v>
      </c>
      <c r="CB55" s="20">
        <f t="shared" si="10"/>
        <v>274.60656174697795</v>
      </c>
      <c r="CC55" s="59">
        <f t="shared" si="11"/>
        <v>567.93989508031132</v>
      </c>
      <c r="CD55" s="59">
        <f ca="1">AVERAGE(OFFSET($CC$3,0,0,'Données projet'!$E$12+1,1))-AVERAGE(OFFSET($H$3,0,0,'Données projet'!$E$12+1,1))</f>
        <v>252.98248842635206</v>
      </c>
      <c r="CE55" s="59">
        <f t="shared" si="40"/>
        <v>207.11938580878308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2.0274993599826621</v>
      </c>
      <c r="CL55" s="21">
        <f>EXP(-LN(2)/25)*CL54+(1-EXP(-LN(2)/25))/(LN(2)/25)*Calculateur!CG55*Calculateur!CI55*VLOOKUP('Données projet'!$B$12,Paramètres!$A$1:$I$89,3,0)*0.475*44/12</f>
        <v>4.26840348740759</v>
      </c>
      <c r="CM55" s="21">
        <f>EXP(-LN(2)/2)*CM54+(1-EXP(-LN(2)/2))/(LN(2)/2)*CG55*CJ55*VLOOKUP('Données projet'!$B$12,Paramètres!$A$1:$I$89,3,0)*0.475*44/12</f>
        <v>4.8008674220195273E-3</v>
      </c>
      <c r="CN55" s="22">
        <f t="shared" si="12"/>
        <v>6.300703714812272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16.2</v>
      </c>
      <c r="CT55" s="12">
        <f>IF('Données projet'!$A$140&gt;35,CT54+CS55-DB54,IF(A55&lt;'Données projet'!$A$140,$CQ$205^A55,IF(A55='Données projet'!$A$140,'Données projet'!$B$140,CT54+CS55-DB54)))</f>
        <v>433.39999999999981</v>
      </c>
      <c r="CU55" s="17">
        <f>CT55*VLOOKUP('Données projet'!$B$13,Paramètres!$A$1:$I$89,3,0)*VLOOKUP('Données projet'!$B$13,Paramètres!$A$1:$I$89,5,0)</f>
        <v>242.27059999999989</v>
      </c>
      <c r="CV55" s="13">
        <f t="shared" si="41"/>
        <v>58.927793080541385</v>
      </c>
      <c r="CW55" s="20">
        <f t="shared" si="13"/>
        <v>524.58720128194273</v>
      </c>
      <c r="CX55" s="59">
        <f t="shared" si="14"/>
        <v>817.92053461527598</v>
      </c>
      <c r="CY55" s="59">
        <f ca="1">AVERAGE(OFFSET($CX$3,0,0,'Données projet'!$E$13+1,1))-AVERAGE(OFFSET($H$3,0,0,'Données projet'!$E$13+1,1))</f>
        <v>356.67698551373468</v>
      </c>
      <c r="CZ55" s="59">
        <f t="shared" si="42"/>
        <v>353.21836615408171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2.9546226451453959</v>
      </c>
      <c r="DG55" s="21">
        <f>EXP(-LN(2)/25)*DG54+(1-EXP(-LN(2)/25))/(LN(2)/25)*Calculateur!DB55*Calculateur!DD55*VLOOKUP('Données projet'!$B$13,Paramètres!$A$1:$I$89,3,0)*0.475*44/12</f>
        <v>16.394997394306507</v>
      </c>
      <c r="DH55" s="21">
        <f>EXP(-LN(2)/2)*DH54+(1-EXP(-LN(2)/2))/(LN(2)/2)*DB55*DE55*VLOOKUP('Données projet'!$B$13,Paramètres!$A$1:$I$89,3,0)*0.475*44/12</f>
        <v>1.5879925962126583E-2</v>
      </c>
      <c r="DI55" s="22">
        <f t="shared" si="15"/>
        <v>19.365499965414031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11.4</v>
      </c>
      <c r="DO55" s="12">
        <f>IF('Données projet'!$A$166&gt;35,DO54+DN55-DW54,IF(A55&lt;'Données projet'!$A$166,$DL$205^A55,IF(A55='Données projet'!$A$166,'Données projet'!$B$166,DO54+DN55-DW54)))</f>
        <v>295.79999999999995</v>
      </c>
      <c r="DP55" s="17">
        <f>DO55*VLOOKUP('Données projet'!$B$14,Paramètres!$A$1:$I$89,3,0)*VLOOKUP('Données projet'!$B$14,Paramètres!$A$1:$I$89,5,0)</f>
        <v>176.88839999999999</v>
      </c>
      <c r="DQ55" s="13">
        <f t="shared" si="43"/>
        <v>44.629211487047861</v>
      </c>
      <c r="DR55" s="20">
        <f t="shared" si="16"/>
        <v>385.80984000660828</v>
      </c>
      <c r="DS55" s="59">
        <f t="shared" si="17"/>
        <v>679.14317333994154</v>
      </c>
      <c r="DT55" s="59">
        <f ca="1">AVERAGE(OFFSET($DS$3,0,0,'Données projet'!$E$14+1,1))-AVERAGE(OFFSET($H$3,0,0,'Données projet'!$E$14+1,1))</f>
        <v>247.30892363953825</v>
      </c>
      <c r="DU55" s="59">
        <f t="shared" si="44"/>
        <v>248.38414731596578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6.9818713297905344</v>
      </c>
      <c r="EC55" s="21">
        <f>EXP(-LN(2)/2)*EC54+(1-EXP(-LN(2)/2))/(LN(2)/2)*DW55*DZ55*VLOOKUP('Données projet'!$B$14,Paramètres!$A$1:$I$89,3,0)*0.475*44/12</f>
        <v>1.158660150088817E-2</v>
      </c>
      <c r="ED55" s="22">
        <f t="shared" si="18"/>
        <v>6.9934579312914229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11.4</v>
      </c>
      <c r="EJ55" s="12">
        <f>IF('Données projet'!$A$192&gt;35,EJ54+EI55-ER54,IF(A55&lt;'Données projet'!$A$192,$EG$205^A55,IF(A55='Données projet'!$A$192,'Données projet'!$B$192,EJ54+EI55-ER54)))</f>
        <v>295.79999999999995</v>
      </c>
      <c r="EK55" s="17">
        <f>EJ55*VLOOKUP('Données projet'!$B$15,Paramètres!$A$1:$I$89,3,0)*VLOOKUP('Données projet'!$B$15,Paramètres!$A$1:$I$89,5,0)</f>
        <v>176.88839999999999</v>
      </c>
      <c r="EL55" s="13">
        <f t="shared" si="45"/>
        <v>44.629211487047861</v>
      </c>
      <c r="EM55" s="20">
        <f t="shared" si="19"/>
        <v>385.80984000660828</v>
      </c>
      <c r="EN55" s="59">
        <f t="shared" si="20"/>
        <v>679.14317333994154</v>
      </c>
      <c r="EO55" s="59">
        <f ca="1">AVERAGE(OFFSET($EN$3,0,0,'Données projet'!$E$15+1,1))-AVERAGE(OFFSET($H$3,0,0,'Données projet'!$E$15+1,1))</f>
        <v>247.30892363953825</v>
      </c>
      <c r="EP55" s="59">
        <f t="shared" si="46"/>
        <v>248.38414731596578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6.9818713297905344</v>
      </c>
      <c r="EX55" s="21">
        <f>EXP(-LN(2)/2)*EX54+(1-EXP(-LN(2)/2))/(LN(2)/2)*ER55*EU55*VLOOKUP('Données projet'!$B$15,Paramètres!$A$1:$I$89,3,0)*0.475*44/12</f>
        <v>1.158660150088817E-2</v>
      </c>
      <c r="EY55" s="22">
        <f t="shared" si="21"/>
        <v>6.9934579312914229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21.2</v>
      </c>
      <c r="FE55" s="12">
        <f>IF('Données projet'!$A$218&gt;35,FE54+FD55-FM54,IF(A55&lt;'Données projet'!$A$218,$FB$205^A55,IF(A55='Données projet'!$A$218,'Données projet'!$B$218,FE54+FD55-FM54)))</f>
        <v>460.40000000000003</v>
      </c>
      <c r="FF55" s="17">
        <f>FE55*VLOOKUP('Données projet'!$B$16,Paramètres!$A$1:$I$89,3,0)*VLOOKUP('Données projet'!$B$16,Paramètres!$A$1:$I$89,5,0)</f>
        <v>221.45240000000001</v>
      </c>
      <c r="FG55" s="13">
        <f t="shared" si="47"/>
        <v>54.430436692192742</v>
      </c>
      <c r="FH55" s="20">
        <f t="shared" si="22"/>
        <v>480.49594057223567</v>
      </c>
      <c r="FI55" s="59">
        <f t="shared" si="23"/>
        <v>773.82927390556893</v>
      </c>
      <c r="FJ55" s="59">
        <f ca="1">AVERAGE(OFFSET($FI$3,0,0,'Données projet'!$E$16+1,1))-AVERAGE(OFFSET($H$3,0,0,'Données projet'!$E$16+1,1))</f>
        <v>322.54393676667081</v>
      </c>
      <c r="FK55" s="59">
        <f t="shared" si="48"/>
        <v>296.73904998640018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4.358313802141379</v>
      </c>
      <c r="FR55" s="21">
        <f>EXP(-LN(2)/25)*FR54+(1-EXP(-LN(2)/25))/(LN(2)/25)*Calculateur!FM55*Calculateur!FO55*VLOOKUP('Données projet'!$B$16,Paramètres!$A$1:$I$89,3,0)*0.475*44/12</f>
        <v>7.293694896773137</v>
      </c>
      <c r="FS55" s="21">
        <f>EXP(-LN(2)/2)*FS54+(1-EXP(-LN(2)/2))/(LN(2)/2)*FM55*FP55*VLOOKUP('Données projet'!$B$16,Paramètres!$A$1:$I$89,3,0)*0.475*44/12</f>
        <v>1.0211320033316814E-2</v>
      </c>
      <c r="FT55" s="22">
        <f t="shared" si="24"/>
        <v>11.662220018947833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891.86140860648766</v>
      </c>
      <c r="S56" s="59">
        <f ca="1">AVERAGE(OFFSET($R$3,0,0,'Données projet'!$E$9+1,1))-AVERAGE(OFFSET($H$3,0,0,'Données projet'!$E$9+1,1))</f>
        <v>401.06118089678654</v>
      </c>
      <c r="T56" s="59">
        <f t="shared" si="34"/>
        <v>399.58193819355591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8.8000000000000007</v>
      </c>
      <c r="AI56" s="13">
        <f>IF('Données projet'!$A$62&gt;35,AI55+AH56-AQ55,IF(A56&lt;'Données projet'!$A$62,$AF$205^A56,IF(A56='Données projet'!$A$62,'Données projet'!$B$62,AI55+AH56-AQ55)))</f>
        <v>289.4000000000002</v>
      </c>
      <c r="AJ56" s="13">
        <f>AI56*VLOOKUP('Données projet'!$B$10,Paramètres!$A$1:$I$89,3,0)*VLOOKUP('Données projet'!$B$10,Paramètres!$A$1:$I$89,5,0)</f>
        <v>180.58560000000011</v>
      </c>
      <c r="AK56" s="13">
        <f t="shared" si="35"/>
        <v>45.452446738615699</v>
      </c>
      <c r="AL56" s="20">
        <f t="shared" si="4"/>
        <v>393.68293140308919</v>
      </c>
      <c r="AM56" s="59">
        <f t="shared" si="5"/>
        <v>687.0162647364225</v>
      </c>
      <c r="AN56" s="59">
        <f ca="1">AVERAGE(OFFSET($AM$3,0,0,'Données projet'!$E$10+1,1))-AVERAGE(OFFSET($H$3,0,0,'Données projet'!$E$10+1,1))</f>
        <v>240.30073883588199</v>
      </c>
      <c r="AO56" s="59">
        <f t="shared" si="36"/>
        <v>263.20351282678843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4.4093291627811642</v>
      </c>
      <c r="AV56" s="21">
        <f>EXP(-LN(2)/25)*AV55+(1-EXP(-LN(2)/25))/(LN(2)/25)*Calculateur!AQ56*Calculateur!AS56*VLOOKUP('Données projet'!$B$10,Paramètres!$A$1:$I$89,3,0)*0.475*44/12</f>
        <v>10.986597132738158</v>
      </c>
      <c r="AW56" s="21">
        <f>EXP(-LN(2)/2)*AW55+(1-EXP(-LN(2)/2))/(LN(2)/2)*AQ56*AT56*VLOOKUP('Données projet'!$B$10,Paramètres!$A$1:$I$89,3,0)*0.475*44/12</f>
        <v>6.9712219533024549E-3</v>
      </c>
      <c r="AX56" s="21">
        <f t="shared" si="6"/>
        <v>15.402897517472624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</v>
      </c>
      <c r="BD56" s="12">
        <f>IF('Données projet'!$A$88&gt;35,BD55+BC56-BL55,IF(A56&lt;'Données projet'!$A$88,$BA$205^A56,IF(A56='Données projet'!$A$88,'Données projet'!$B$88,BD55+BC56-BL55)))</f>
        <v>542</v>
      </c>
      <c r="BE56" s="13">
        <f>BD56*VLOOKUP('Données projet'!$B$11,Paramètres!$A$1:$I$89,3,0)*VLOOKUP('Données projet'!$B$11,Paramètres!$A$1:$I$89,5,0)</f>
        <v>260.702</v>
      </c>
      <c r="BF56" s="13">
        <f t="shared" si="37"/>
        <v>62.871992497172378</v>
      </c>
      <c r="BG56" s="20">
        <f t="shared" si="7"/>
        <v>563.55803693257519</v>
      </c>
      <c r="BH56" s="59">
        <f t="shared" si="8"/>
        <v>856.89137026590856</v>
      </c>
      <c r="BI56" s="59">
        <f ca="1">AVERAGE(OFFSET($BH$3,0,0,'Données projet'!$E$11+1,1))-AVERAGE(OFFSET($H$3,0,0,'Données projet'!$E$11+1,1))</f>
        <v>364.67510777943329</v>
      </c>
      <c r="BJ56" s="59">
        <f t="shared" si="38"/>
        <v>352.13878061387169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5.6081155289122968</v>
      </c>
      <c r="BQ56" s="21">
        <f>EXP(-LN(2)/25)*BQ55+(1-EXP(-LN(2)/25))/(LN(2)/25)*Calculateur!BL56*Calculateur!BN56*VLOOKUP('Données projet'!$B$11,Paramètres!$A$1:$I$89,3,0)*0.475*44/12</f>
        <v>9.5212180490515852</v>
      </c>
      <c r="BR56" s="21">
        <f>EXP(-LN(2)/2)*BR55+(1-EXP(-LN(2)/2))/(LN(2)/2)*BL56*BO56*VLOOKUP('Données projet'!$B$11,Paramètres!$A$1:$I$89,3,0)*0.475*44/12</f>
        <v>9.4857119822078957E-3</v>
      </c>
      <c r="BS56" s="22">
        <f t="shared" si="9"/>
        <v>15.13881928994609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13.499999999999996</v>
      </c>
      <c r="BY56" s="12">
        <f>IF('Données projet'!$A$114&gt;35,BY55+BX56-CG55,IF(A56&lt;'Données projet'!$A$114,$BV$205^A56,IF(A56='Données projet'!$A$114,'Données projet'!$B$114,BY55+BX56-CG55)))</f>
        <v>280.29999999999984</v>
      </c>
      <c r="BZ56" s="13">
        <f>BY56*VLOOKUP('Données projet'!$B$12,Paramètres!$A$1:$I$89,3,0)*VLOOKUP('Données projet'!$B$12,Paramètres!$A$1:$I$89,5,0)</f>
        <v>131.18039999999993</v>
      </c>
      <c r="CA56" s="13">
        <f t="shared" si="39"/>
        <v>34.268971460239172</v>
      </c>
      <c r="CB56" s="20">
        <f t="shared" si="10"/>
        <v>288.15765529324972</v>
      </c>
      <c r="CC56" s="59">
        <f t="shared" si="11"/>
        <v>581.49098862658298</v>
      </c>
      <c r="CD56" s="59">
        <f ca="1">AVERAGE(OFFSET($CC$3,0,0,'Données projet'!$E$12+1,1))-AVERAGE(OFFSET($H$3,0,0,'Données projet'!$E$12+1,1))</f>
        <v>252.98248842635206</v>
      </c>
      <c r="CE56" s="59">
        <f t="shared" si="40"/>
        <v>207.11938580878308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1.9877413341859023</v>
      </c>
      <c r="CL56" s="21">
        <f>EXP(-LN(2)/25)*CL55+(1-EXP(-LN(2)/25))/(LN(2)/25)*Calculateur!CG56*Calculateur!CI56*VLOOKUP('Données projet'!$B$12,Paramètres!$A$1:$I$89,3,0)*0.475*44/12</f>
        <v>4.1516837695788453</v>
      </c>
      <c r="CM56" s="21">
        <f>EXP(-LN(2)/2)*CM55+(1-EXP(-LN(2)/2))/(LN(2)/2)*CG56*CJ56*VLOOKUP('Données projet'!$B$12,Paramètres!$A$1:$I$89,3,0)*0.475*44/12</f>
        <v>3.3947259096875865E-3</v>
      </c>
      <c r="CN56" s="22">
        <f t="shared" si="12"/>
        <v>6.1428198296744343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16.2</v>
      </c>
      <c r="CT56" s="12">
        <f>IF('Données projet'!$A$140&gt;35,CT55+CS56-DB55,IF(A56&lt;'Données projet'!$A$140,$CQ$205^A56,IF(A56='Données projet'!$A$140,'Données projet'!$B$140,CT55+CS56-DB55)))</f>
        <v>449.5999999999998</v>
      </c>
      <c r="CU56" s="17">
        <f>CT56*VLOOKUP('Données projet'!$B$13,Paramètres!$A$1:$I$89,3,0)*VLOOKUP('Données projet'!$B$13,Paramètres!$A$1:$I$89,5,0)</f>
        <v>251.32639999999989</v>
      </c>
      <c r="CV56" s="13">
        <f t="shared" si="41"/>
        <v>60.869881917806573</v>
      </c>
      <c r="CW56" s="20">
        <f t="shared" si="13"/>
        <v>543.74185767351298</v>
      </c>
      <c r="CX56" s="59">
        <f t="shared" si="14"/>
        <v>837.07519100684635</v>
      </c>
      <c r="CY56" s="59">
        <f ca="1">AVERAGE(OFFSET($CX$3,0,0,'Données projet'!$E$13+1,1))-AVERAGE(OFFSET($H$3,0,0,'Données projet'!$E$13+1,1))</f>
        <v>356.67698551373468</v>
      </c>
      <c r="CZ56" s="59">
        <f t="shared" si="42"/>
        <v>353.21836615408171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2.8966842972159617</v>
      </c>
      <c r="DG56" s="21">
        <f>EXP(-LN(2)/25)*DG55+(1-EXP(-LN(2)/25))/(LN(2)/25)*Calculateur!DB56*Calculateur!DD56*VLOOKUP('Données projet'!$B$13,Paramètres!$A$1:$I$89,3,0)*0.475*44/12</f>
        <v>15.946675328383755</v>
      </c>
      <c r="DH56" s="21">
        <f>EXP(-LN(2)/2)*DH55+(1-EXP(-LN(2)/2))/(LN(2)/2)*DB56*DE56*VLOOKUP('Données projet'!$B$13,Paramètres!$A$1:$I$89,3,0)*0.475*44/12</f>
        <v>1.1228803332560017E-2</v>
      </c>
      <c r="DI56" s="22">
        <f t="shared" si="15"/>
        <v>18.854588428932278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11.4</v>
      </c>
      <c r="DO56" s="12">
        <f>IF('Données projet'!$A$166&gt;35,DO55+DN56-DW55,IF(A56&lt;'Données projet'!$A$166,$DL$205^A56,IF(A56='Données projet'!$A$166,'Données projet'!$B$166,DO55+DN56-DW55)))</f>
        <v>307.19999999999993</v>
      </c>
      <c r="DP56" s="17">
        <f>DO56*VLOOKUP('Données projet'!$B$14,Paramètres!$A$1:$I$89,3,0)*VLOOKUP('Données projet'!$B$14,Paramètres!$A$1:$I$89,5,0)</f>
        <v>183.70559999999998</v>
      </c>
      <c r="DQ56" s="13">
        <f t="shared" si="43"/>
        <v>46.145633597806309</v>
      </c>
      <c r="DR56" s="20">
        <f t="shared" si="16"/>
        <v>400.32423184951267</v>
      </c>
      <c r="DS56" s="59">
        <f t="shared" si="17"/>
        <v>693.65756518284593</v>
      </c>
      <c r="DT56" s="59">
        <f ca="1">AVERAGE(OFFSET($DS$3,0,0,'Données projet'!$E$14+1,1))-AVERAGE(OFFSET($H$3,0,0,'Données projet'!$E$14+1,1))</f>
        <v>247.30892363953825</v>
      </c>
      <c r="DU56" s="59">
        <f t="shared" si="44"/>
        <v>248.38414731596578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6.7909516911167565</v>
      </c>
      <c r="EC56" s="21">
        <f>EXP(-LN(2)/2)*EC55+(1-EXP(-LN(2)/2))/(LN(2)/2)*DW56*DZ56*VLOOKUP('Données projet'!$B$14,Paramètres!$A$1:$I$89,3,0)*0.475*44/12</f>
        <v>8.1929644921842539E-3</v>
      </c>
      <c r="ED56" s="22">
        <f t="shared" si="18"/>
        <v>6.7991446556089405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11.4</v>
      </c>
      <c r="EJ56" s="12">
        <f>IF('Données projet'!$A$192&gt;35,EJ55+EI56-ER55,IF(A56&lt;'Données projet'!$A$192,$EG$205^A56,IF(A56='Données projet'!$A$192,'Données projet'!$B$192,EJ55+EI56-ER55)))</f>
        <v>307.19999999999993</v>
      </c>
      <c r="EK56" s="17">
        <f>EJ56*VLOOKUP('Données projet'!$B$15,Paramètres!$A$1:$I$89,3,0)*VLOOKUP('Données projet'!$B$15,Paramètres!$A$1:$I$89,5,0)</f>
        <v>183.70559999999998</v>
      </c>
      <c r="EL56" s="13">
        <f t="shared" si="45"/>
        <v>46.145633597806309</v>
      </c>
      <c r="EM56" s="20">
        <f t="shared" si="19"/>
        <v>400.32423184951267</v>
      </c>
      <c r="EN56" s="59">
        <f t="shared" si="20"/>
        <v>693.65756518284593</v>
      </c>
      <c r="EO56" s="59">
        <f ca="1">AVERAGE(OFFSET($EN$3,0,0,'Données projet'!$E$15+1,1))-AVERAGE(OFFSET($H$3,0,0,'Données projet'!$E$15+1,1))</f>
        <v>247.30892363953825</v>
      </c>
      <c r="EP56" s="59">
        <f t="shared" si="46"/>
        <v>248.38414731596578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6.7909516911167565</v>
      </c>
      <c r="EX56" s="21">
        <f>EXP(-LN(2)/2)*EX55+(1-EXP(-LN(2)/2))/(LN(2)/2)*ER56*EU56*VLOOKUP('Données projet'!$B$15,Paramètres!$A$1:$I$89,3,0)*0.475*44/12</f>
        <v>8.1929644921842539E-3</v>
      </c>
      <c r="EY56" s="22">
        <f t="shared" si="21"/>
        <v>6.7991446556089405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21.2</v>
      </c>
      <c r="FE56" s="12">
        <f>IF('Données projet'!$A$218&gt;35,FE55+FD56-FM55,IF(A56&lt;'Données projet'!$A$218,$FB$205^A56,IF(A56='Données projet'!$A$218,'Données projet'!$B$218,FE55+FD56-FM55)))</f>
        <v>481.6</v>
      </c>
      <c r="FF56" s="17">
        <f>FE56*VLOOKUP('Données projet'!$B$16,Paramètres!$A$1:$I$89,3,0)*VLOOKUP('Données projet'!$B$16,Paramètres!$A$1:$I$89,5,0)</f>
        <v>231.64960000000002</v>
      </c>
      <c r="FG56" s="13">
        <f t="shared" si="47"/>
        <v>56.639215128249774</v>
      </c>
      <c r="FH56" s="20">
        <f t="shared" si="22"/>
        <v>502.10301968170171</v>
      </c>
      <c r="FI56" s="59">
        <f t="shared" si="23"/>
        <v>795.43635301503502</v>
      </c>
      <c r="FJ56" s="59">
        <f ca="1">AVERAGE(OFFSET($FI$3,0,0,'Données projet'!$E$16+1,1))-AVERAGE(OFFSET($H$3,0,0,'Données projet'!$E$16+1,1))</f>
        <v>322.54393676667081</v>
      </c>
      <c r="FK56" s="59">
        <f t="shared" si="48"/>
        <v>296.73904998640018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4.2728499267903199</v>
      </c>
      <c r="FR56" s="21">
        <f>EXP(-LN(2)/25)*FR55+(1-EXP(-LN(2)/25))/(LN(2)/25)*Calculateur!FM56*Calculateur!FO56*VLOOKUP('Données projet'!$B$16,Paramètres!$A$1:$I$89,3,0)*0.475*44/12</f>
        <v>7.0942484262621308</v>
      </c>
      <c r="FS56" s="21">
        <f>EXP(-LN(2)/2)*FS55+(1-EXP(-LN(2)/2))/(LN(2)/2)*FM56*FP56*VLOOKUP('Données projet'!$B$16,Paramètres!$A$1:$I$89,3,0)*0.475*44/12</f>
        <v>7.2204936404243617E-3</v>
      </c>
      <c r="FT56" s="22">
        <f t="shared" si="24"/>
        <v>11.374318846692876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913.08602911194248</v>
      </c>
      <c r="S57" s="59">
        <f ca="1">AVERAGE(OFFSET($R$3,0,0,'Données projet'!$E$9+1,1))-AVERAGE(OFFSET($H$3,0,0,'Données projet'!$E$9+1,1))</f>
        <v>401.06118089678654</v>
      </c>
      <c r="T57" s="59">
        <f t="shared" si="34"/>
        <v>399.58193819355591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8.8000000000000007</v>
      </c>
      <c r="AI57" s="13">
        <f>IF('Données projet'!$A$62&gt;35,AI56+AH57-AQ56,IF(A57&lt;'Données projet'!$A$62,$AF$205^A57,IF(A57='Données projet'!$A$62,'Données projet'!$B$62,AI56+AH57-AQ56)))</f>
        <v>298.20000000000022</v>
      </c>
      <c r="AJ57" s="13">
        <f>AI57*VLOOKUP('Données projet'!$B$10,Paramètres!$A$1:$I$89,3,0)*VLOOKUP('Données projet'!$B$10,Paramètres!$A$1:$I$89,5,0)</f>
        <v>186.07680000000016</v>
      </c>
      <c r="AK57" s="13">
        <f t="shared" si="35"/>
        <v>46.671538591528716</v>
      </c>
      <c r="AL57" s="20">
        <f t="shared" si="4"/>
        <v>405.37002304691276</v>
      </c>
      <c r="AM57" s="59">
        <f t="shared" si="5"/>
        <v>698.70335638024608</v>
      </c>
      <c r="AN57" s="59">
        <f ca="1">AVERAGE(OFFSET($AM$3,0,0,'Données projet'!$E$10+1,1))-AVERAGE(OFFSET($H$3,0,0,'Données projet'!$E$10+1,1))</f>
        <v>240.30073883588199</v>
      </c>
      <c r="AO57" s="59">
        <f t="shared" si="36"/>
        <v>263.20351282678843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4.3228649073242558</v>
      </c>
      <c r="AV57" s="21">
        <f>EXP(-LN(2)/25)*AV56+(1-EXP(-LN(2)/25))/(LN(2)/25)*Calculateur!AQ57*Calculateur!AS57*VLOOKUP('Données projet'!$B$10,Paramètres!$A$1:$I$89,3,0)*0.475*44/12</f>
        <v>10.6861680563834</v>
      </c>
      <c r="AW57" s="21">
        <f>EXP(-LN(2)/2)*AW56+(1-EXP(-LN(2)/2))/(LN(2)/2)*AQ57*AT57*VLOOKUP('Données projet'!$B$10,Paramètres!$A$1:$I$89,3,0)*0.475*44/12</f>
        <v>4.9293983163366953E-3</v>
      </c>
      <c r="AX57" s="21">
        <f t="shared" si="6"/>
        <v>15.013962362023992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20</v>
      </c>
      <c r="BD57" s="12">
        <f>IF('Données projet'!$A$88&gt;35,BD56+BC57-BL56,IF(A57&lt;'Données projet'!$A$88,$BA$205^A57,IF(A57='Données projet'!$A$88,'Données projet'!$B$88,BD56+BC57-BL56)))</f>
        <v>562</v>
      </c>
      <c r="BE57" s="13">
        <f>BD57*VLOOKUP('Données projet'!$B$11,Paramètres!$A$1:$I$89,3,0)*VLOOKUP('Données projet'!$B$11,Paramètres!$A$1:$I$89,5,0)</f>
        <v>270.322</v>
      </c>
      <c r="BF57" s="13">
        <f t="shared" si="37"/>
        <v>64.917601073514717</v>
      </c>
      <c r="BG57" s="20">
        <f t="shared" si="7"/>
        <v>583.87563853637141</v>
      </c>
      <c r="BH57" s="59">
        <f t="shared" si="8"/>
        <v>877.20897186970478</v>
      </c>
      <c r="BI57" s="59">
        <f ca="1">AVERAGE(OFFSET($BH$3,0,0,'Données projet'!$E$11+1,1))-AVERAGE(OFFSET($H$3,0,0,'Données projet'!$E$11+1,1))</f>
        <v>364.67510777943329</v>
      </c>
      <c r="BJ57" s="59">
        <f t="shared" si="38"/>
        <v>352.13878061387169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5.4981438040030417</v>
      </c>
      <c r="BQ57" s="21">
        <f>EXP(-LN(2)/25)*BQ56+(1-EXP(-LN(2)/25))/(LN(2)/25)*Calculateur!BL57*Calculateur!BN57*VLOOKUP('Données projet'!$B$11,Paramètres!$A$1:$I$89,3,0)*0.475*44/12</f>
        <v>9.2608598408011726</v>
      </c>
      <c r="BR57" s="21">
        <f>EXP(-LN(2)/2)*BR56+(1-EXP(-LN(2)/2))/(LN(2)/2)*BL57*BO57*VLOOKUP('Données projet'!$B$11,Paramètres!$A$1:$I$89,3,0)*0.475*44/12</f>
        <v>6.7074112670016907E-3</v>
      </c>
      <c r="BS57" s="22">
        <f t="shared" si="9"/>
        <v>14.765711056071215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13.499999999999996</v>
      </c>
      <c r="BY57" s="12">
        <f>IF('Données projet'!$A$114&gt;35,BY56+BX57-CG56,IF(A57&lt;'Données projet'!$A$114,$BV$205^A57,IF(A57='Données projet'!$A$114,'Données projet'!$B$114,BY56+BX57-CG56)))</f>
        <v>293.79999999999984</v>
      </c>
      <c r="BZ57" s="13">
        <f>BY57*VLOOKUP('Données projet'!$B$12,Paramètres!$A$1:$I$89,3,0)*VLOOKUP('Données projet'!$B$12,Paramètres!$A$1:$I$89,5,0)</f>
        <v>137.49839999999992</v>
      </c>
      <c r="CA57" s="13">
        <f t="shared" si="39"/>
        <v>35.723324086274197</v>
      </c>
      <c r="CB57" s="20">
        <f t="shared" si="10"/>
        <v>301.69450278359409</v>
      </c>
      <c r="CC57" s="59">
        <f t="shared" si="11"/>
        <v>595.02783611692735</v>
      </c>
      <c r="CD57" s="59">
        <f ca="1">AVERAGE(OFFSET($CC$3,0,0,'Données projet'!$E$12+1,1))-AVERAGE(OFFSET($H$3,0,0,'Données projet'!$E$12+1,1))</f>
        <v>252.98248842635206</v>
      </c>
      <c r="CE57" s="59">
        <f t="shared" si="40"/>
        <v>207.11938580878308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1.9487629390250159</v>
      </c>
      <c r="CL57" s="21">
        <f>EXP(-LN(2)/25)*CL56+(1-EXP(-LN(2)/25))/(LN(2)/25)*Calculateur!CG57*Calculateur!CI57*VLOOKUP('Données projet'!$B$12,Paramètres!$A$1:$I$89,3,0)*0.475*44/12</f>
        <v>4.0381557585721515</v>
      </c>
      <c r="CM57" s="21">
        <f>EXP(-LN(2)/2)*CM56+(1-EXP(-LN(2)/2))/(LN(2)/2)*CG57*CJ57*VLOOKUP('Données projet'!$B$12,Paramètres!$A$1:$I$89,3,0)*0.475*44/12</f>
        <v>2.4004337110097636E-3</v>
      </c>
      <c r="CN57" s="22">
        <f t="shared" si="12"/>
        <v>5.9893191313081768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16.2</v>
      </c>
      <c r="CT57" s="12">
        <f>IF('Données projet'!$A$140&gt;35,CT56+CS57-DB56,IF(A57&lt;'Données projet'!$A$140,$CQ$205^A57,IF(A57='Données projet'!$A$140,'Données projet'!$B$140,CT56+CS57-DB56)))</f>
        <v>465.79999999999978</v>
      </c>
      <c r="CU57" s="17">
        <f>CT57*VLOOKUP('Données projet'!$B$13,Paramètres!$A$1:$I$89,3,0)*VLOOKUP('Données projet'!$B$13,Paramètres!$A$1:$I$89,5,0)</f>
        <v>260.3821999999999</v>
      </c>
      <c r="CV57" s="13">
        <f t="shared" si="41"/>
        <v>62.803840584871082</v>
      </c>
      <c r="CW57" s="20">
        <f t="shared" si="13"/>
        <v>562.88235401865029</v>
      </c>
      <c r="CX57" s="59">
        <f t="shared" si="14"/>
        <v>856.21568735198366</v>
      </c>
      <c r="CY57" s="59">
        <f ca="1">AVERAGE(OFFSET($CX$3,0,0,'Données projet'!$E$13+1,1))-AVERAGE(OFFSET($H$3,0,0,'Données projet'!$E$13+1,1))</f>
        <v>356.67698551373468</v>
      </c>
      <c r="CZ57" s="59">
        <f t="shared" si="42"/>
        <v>353.21836615408171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2.8398820849505206</v>
      </c>
      <c r="DG57" s="21">
        <f>EXP(-LN(2)/25)*DG56+(1-EXP(-LN(2)/25))/(LN(2)/25)*Calculateur!DB57*Calculateur!DD57*VLOOKUP('Données projet'!$B$13,Paramètres!$A$1:$I$89,3,0)*0.475*44/12</f>
        <v>15.510612652929892</v>
      </c>
      <c r="DH57" s="21">
        <f>EXP(-LN(2)/2)*DH56+(1-EXP(-LN(2)/2))/(LN(2)/2)*DB57*DE57*VLOOKUP('Données projet'!$B$13,Paramètres!$A$1:$I$89,3,0)*0.475*44/12</f>
        <v>7.9399629810632914E-3</v>
      </c>
      <c r="DI57" s="22">
        <f t="shared" si="15"/>
        <v>18.358434700861473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11.4</v>
      </c>
      <c r="DO57" s="12">
        <f>IF('Données projet'!$A$166&gt;35,DO56+DN57-DW56,IF(A57&lt;'Données projet'!$A$166,$DL$205^A57,IF(A57='Données projet'!$A$166,'Données projet'!$B$166,DO56+DN57-DW56)))</f>
        <v>318.59999999999991</v>
      </c>
      <c r="DP57" s="17">
        <f>DO57*VLOOKUP('Données projet'!$B$14,Paramètres!$A$1:$I$89,3,0)*VLOOKUP('Données projet'!$B$14,Paramètres!$A$1:$I$89,5,0)</f>
        <v>190.52279999999996</v>
      </c>
      <c r="DQ57" s="13">
        <f t="shared" si="43"/>
        <v>47.655518017541539</v>
      </c>
      <c r="DR57" s="20">
        <f t="shared" si="16"/>
        <v>414.82723721388476</v>
      </c>
      <c r="DS57" s="59">
        <f t="shared" si="17"/>
        <v>708.16057054721807</v>
      </c>
      <c r="DT57" s="59">
        <f ca="1">AVERAGE(OFFSET($DS$3,0,0,'Données projet'!$E$14+1,1))-AVERAGE(OFFSET($H$3,0,0,'Données projet'!$E$14+1,1))</f>
        <v>247.30892363953825</v>
      </c>
      <c r="DU57" s="59">
        <f t="shared" si="44"/>
        <v>248.38414731596578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6.6052527600025401</v>
      </c>
      <c r="EC57" s="21">
        <f>EXP(-LN(2)/2)*EC56+(1-EXP(-LN(2)/2))/(LN(2)/2)*DW57*DZ57*VLOOKUP('Données projet'!$B$14,Paramètres!$A$1:$I$89,3,0)*0.475*44/12</f>
        <v>5.7933007504440848E-3</v>
      </c>
      <c r="ED57" s="22">
        <f t="shared" si="18"/>
        <v>6.611046060752984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11.4</v>
      </c>
      <c r="EJ57" s="12">
        <f>IF('Données projet'!$A$192&gt;35,EJ56+EI57-ER56,IF(A57&lt;'Données projet'!$A$192,$EG$205^A57,IF(A57='Données projet'!$A$192,'Données projet'!$B$192,EJ56+EI57-ER56)))</f>
        <v>318.59999999999991</v>
      </c>
      <c r="EK57" s="17">
        <f>EJ57*VLOOKUP('Données projet'!$B$15,Paramètres!$A$1:$I$89,3,0)*VLOOKUP('Données projet'!$B$15,Paramètres!$A$1:$I$89,5,0)</f>
        <v>190.52279999999996</v>
      </c>
      <c r="EL57" s="13">
        <f t="shared" si="45"/>
        <v>47.655518017541539</v>
      </c>
      <c r="EM57" s="20">
        <f t="shared" si="19"/>
        <v>414.82723721388476</v>
      </c>
      <c r="EN57" s="59">
        <f t="shared" si="20"/>
        <v>708.16057054721807</v>
      </c>
      <c r="EO57" s="59">
        <f ca="1">AVERAGE(OFFSET($EN$3,0,0,'Données projet'!$E$15+1,1))-AVERAGE(OFFSET($H$3,0,0,'Données projet'!$E$15+1,1))</f>
        <v>247.30892363953825</v>
      </c>
      <c r="EP57" s="59">
        <f t="shared" si="46"/>
        <v>248.38414731596578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6.6052527600025401</v>
      </c>
      <c r="EX57" s="21">
        <f>EXP(-LN(2)/2)*EX56+(1-EXP(-LN(2)/2))/(LN(2)/2)*ER57*EU57*VLOOKUP('Données projet'!$B$15,Paramètres!$A$1:$I$89,3,0)*0.475*44/12</f>
        <v>5.7933007504440848E-3</v>
      </c>
      <c r="EY57" s="22">
        <f t="shared" si="21"/>
        <v>6.611046060752984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21.2</v>
      </c>
      <c r="FE57" s="12">
        <f>IF('Données projet'!$A$218&gt;35,FE56+FD57-FM56,IF(A57&lt;'Données projet'!$A$218,$FB$205^A57,IF(A57='Données projet'!$A$218,'Données projet'!$B$218,FE56+FD57-FM56)))</f>
        <v>502.8</v>
      </c>
      <c r="FF57" s="17">
        <f>FE57*VLOOKUP('Données projet'!$B$16,Paramètres!$A$1:$I$89,3,0)*VLOOKUP('Données projet'!$B$16,Paramètres!$A$1:$I$89,5,0)</f>
        <v>241.8468</v>
      </c>
      <c r="FG57" s="13">
        <f t="shared" si="47"/>
        <v>58.83670105430172</v>
      </c>
      <c r="FH57" s="20">
        <f t="shared" si="22"/>
        <v>523.69043100290867</v>
      </c>
      <c r="FI57" s="59">
        <f t="shared" si="23"/>
        <v>817.02376433624204</v>
      </c>
      <c r="FJ57" s="59">
        <f ca="1">AVERAGE(OFFSET($FI$3,0,0,'Données projet'!$E$16+1,1))-AVERAGE(OFFSET($H$3,0,0,'Données projet'!$E$16+1,1))</f>
        <v>322.54393676667081</v>
      </c>
      <c r="FK57" s="59">
        <f t="shared" si="48"/>
        <v>296.73904998640018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4.1890619459070777</v>
      </c>
      <c r="FR57" s="21">
        <f>EXP(-LN(2)/25)*FR56+(1-EXP(-LN(2)/25))/(LN(2)/25)*Calculateur!FM57*Calculateur!FO57*VLOOKUP('Données projet'!$B$16,Paramètres!$A$1:$I$89,3,0)*0.475*44/12</f>
        <v>6.9002558299756824</v>
      </c>
      <c r="FS57" s="21">
        <f>EXP(-LN(2)/2)*FS56+(1-EXP(-LN(2)/2))/(LN(2)/2)*FM57*FP57*VLOOKUP('Données projet'!$B$16,Paramètres!$A$1:$I$89,3,0)*0.475*44/12</f>
        <v>5.105660016658407E-3</v>
      </c>
      <c r="FT57" s="22">
        <f t="shared" si="24"/>
        <v>11.094423435899419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934.29559500565529</v>
      </c>
      <c r="S58" s="59">
        <f ca="1">AVERAGE(OFFSET($R$3,0,0,'Données projet'!$E$9+1,1))-AVERAGE(OFFSET($H$3,0,0,'Données projet'!$E$9+1,1))</f>
        <v>401.06118089678654</v>
      </c>
      <c r="T58" s="59">
        <f t="shared" si="34"/>
        <v>399.58193819355591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8.8000000000000007</v>
      </c>
      <c r="AI58" s="13">
        <f>IF('Données projet'!$A$62&gt;35,AI57+AH58-AQ57,IF(A58&lt;'Données projet'!$A$62,$AF$205^A58,IF(A58='Données projet'!$A$62,'Données projet'!$B$62,AI57+AH58-AQ57)))</f>
        <v>307.00000000000023</v>
      </c>
      <c r="AJ58" s="13">
        <f>AI58*VLOOKUP('Données projet'!$B$10,Paramètres!$A$1:$I$89,3,0)*VLOOKUP('Données projet'!$B$10,Paramètres!$A$1:$I$89,5,0)</f>
        <v>191.56800000000013</v>
      </c>
      <c r="AK58" s="13">
        <f t="shared" si="35"/>
        <v>47.886449394440142</v>
      </c>
      <c r="AL58" s="20">
        <f t="shared" si="4"/>
        <v>417.04983269531681</v>
      </c>
      <c r="AM58" s="59">
        <f t="shared" si="5"/>
        <v>710.38316602865007</v>
      </c>
      <c r="AN58" s="59">
        <f ca="1">AVERAGE(OFFSET($AM$3,0,0,'Données projet'!$E$10+1,1))-AVERAGE(OFFSET($H$3,0,0,'Données projet'!$E$10+1,1))</f>
        <v>240.30073883588199</v>
      </c>
      <c r="AO58" s="59">
        <f t="shared" si="36"/>
        <v>263.20351282678843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4.2380961631788692</v>
      </c>
      <c r="AV58" s="21">
        <f>EXP(-LN(2)/25)*AV57+(1-EXP(-LN(2)/25))/(LN(2)/25)*Calculateur!AQ58*Calculateur!AS58*VLOOKUP('Données projet'!$B$10,Paramètres!$A$1:$I$89,3,0)*0.475*44/12</f>
        <v>10.393954228920441</v>
      </c>
      <c r="AW58" s="21">
        <f>EXP(-LN(2)/2)*AW57+(1-EXP(-LN(2)/2))/(LN(2)/2)*AQ58*AT58*VLOOKUP('Données projet'!$B$10,Paramètres!$A$1:$I$89,3,0)*0.475*44/12</f>
        <v>3.4856109766512274E-3</v>
      </c>
      <c r="AX58" s="21">
        <f t="shared" si="6"/>
        <v>14.635536003075961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20</v>
      </c>
      <c r="BD58" s="12">
        <f>IF('Données projet'!$A$88&gt;35,BD57+BC58-BL57,IF(A58&lt;'Données projet'!$A$88,$BA$205^A58,IF(A58='Données projet'!$A$88,'Données projet'!$B$88,BD57+BC58-BL57)))</f>
        <v>582</v>
      </c>
      <c r="BE58" s="13">
        <f>BD58*VLOOKUP('Données projet'!$B$11,Paramètres!$A$1:$I$89,3,0)*VLOOKUP('Données projet'!$B$11,Paramètres!$A$1:$I$89,5,0)</f>
        <v>279.94200000000001</v>
      </c>
      <c r="BF58" s="13">
        <f t="shared" si="37"/>
        <v>66.954751666026226</v>
      </c>
      <c r="BG58" s="20">
        <f t="shared" si="7"/>
        <v>604.1785091516623</v>
      </c>
      <c r="BH58" s="59">
        <f t="shared" si="8"/>
        <v>897.51184248499567</v>
      </c>
      <c r="BI58" s="59">
        <f ca="1">AVERAGE(OFFSET($BH$3,0,0,'Données projet'!$E$11+1,1))-AVERAGE(OFFSET($H$3,0,0,'Données projet'!$E$11+1,1))</f>
        <v>364.67510777943329</v>
      </c>
      <c r="BJ58" s="59">
        <f t="shared" si="38"/>
        <v>352.13878061387169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5.3903285575431283</v>
      </c>
      <c r="BQ58" s="21">
        <f>EXP(-LN(2)/25)*BQ57+(1-EXP(-LN(2)/25))/(LN(2)/25)*Calculateur!BL58*Calculateur!BN58*VLOOKUP('Données projet'!$B$11,Paramètres!$A$1:$I$89,3,0)*0.475*44/12</f>
        <v>9.0076211414470109</v>
      </c>
      <c r="BR58" s="21">
        <f>EXP(-LN(2)/2)*BR57+(1-EXP(-LN(2)/2))/(LN(2)/2)*BL58*BO58*VLOOKUP('Données projet'!$B$11,Paramètres!$A$1:$I$89,3,0)*0.475*44/12</f>
        <v>4.7428559911039479E-3</v>
      </c>
      <c r="BS58" s="22">
        <f t="shared" si="9"/>
        <v>14.402692554981243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13.499999999999996</v>
      </c>
      <c r="BY58" s="12">
        <f>IF('Données projet'!$A$114&gt;35,BY57+BX58-CG57,IF(A58&lt;'Données projet'!$A$114,$BV$205^A58,IF(A58='Données projet'!$A$114,'Données projet'!$B$114,BY57+BX58-CG57)))</f>
        <v>307.29999999999984</v>
      </c>
      <c r="BZ58" s="13">
        <f>BY58*VLOOKUP('Données projet'!$B$12,Paramètres!$A$1:$I$89,3,0)*VLOOKUP('Données projet'!$B$12,Paramètres!$A$1:$I$89,5,0)</f>
        <v>143.81639999999993</v>
      </c>
      <c r="CA58" s="13">
        <f t="shared" si="39"/>
        <v>37.169915935828818</v>
      </c>
      <c r="CB58" s="20">
        <f t="shared" si="10"/>
        <v>315.21783358823507</v>
      </c>
      <c r="CC58" s="59">
        <f t="shared" si="11"/>
        <v>608.55116692156844</v>
      </c>
      <c r="CD58" s="59">
        <f ca="1">AVERAGE(OFFSET($CC$3,0,0,'Données projet'!$E$12+1,1))-AVERAGE(OFFSET($H$3,0,0,'Données projet'!$E$12+1,1))</f>
        <v>252.98248842635206</v>
      </c>
      <c r="CE58" s="59">
        <f t="shared" si="40"/>
        <v>207.11938580878308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1.9105488864187608</v>
      </c>
      <c r="CL58" s="21">
        <f>EXP(-LN(2)/25)*CL57+(1-EXP(-LN(2)/25))/(LN(2)/25)*Calculateur!CG58*Calculateur!CI58*VLOOKUP('Données projet'!$B$12,Paramètres!$A$1:$I$89,3,0)*0.475*44/12</f>
        <v>3.927732176996614</v>
      </c>
      <c r="CM58" s="21">
        <f>EXP(-LN(2)/2)*CM57+(1-EXP(-LN(2)/2))/(LN(2)/2)*CG58*CJ58*VLOOKUP('Données projet'!$B$12,Paramètres!$A$1:$I$89,3,0)*0.475*44/12</f>
        <v>1.6973629548437932E-3</v>
      </c>
      <c r="CN58" s="22">
        <f t="shared" si="12"/>
        <v>5.8399784263702186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16.2</v>
      </c>
      <c r="CT58" s="12">
        <f>IF('Données projet'!$A$140&gt;35,CT57+CS58-DB57,IF(A58&lt;'Données projet'!$A$140,$CQ$205^A58,IF(A58='Données projet'!$A$140,'Données projet'!$B$140,CT57+CS58-DB57)))</f>
        <v>481.99999999999977</v>
      </c>
      <c r="CU58" s="17">
        <f>CT58*VLOOKUP('Données projet'!$B$13,Paramètres!$A$1:$I$89,3,0)*VLOOKUP('Données projet'!$B$13,Paramètres!$A$1:$I$89,5,0)</f>
        <v>269.43799999999987</v>
      </c>
      <c r="CV58" s="13">
        <f t="shared" si="41"/>
        <v>64.729984244002736</v>
      </c>
      <c r="CW58" s="20">
        <f t="shared" si="13"/>
        <v>582.00923922497111</v>
      </c>
      <c r="CX58" s="59">
        <f t="shared" si="14"/>
        <v>875.34257255830448</v>
      </c>
      <c r="CY58" s="59">
        <f ca="1">AVERAGE(OFFSET($CX$3,0,0,'Données projet'!$E$13+1,1))-AVERAGE(OFFSET($H$3,0,0,'Données projet'!$E$13+1,1))</f>
        <v>356.67698551373468</v>
      </c>
      <c r="CZ58" s="59">
        <f t="shared" si="42"/>
        <v>353.21836615408171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2.7841937294216765</v>
      </c>
      <c r="DG58" s="21">
        <f>EXP(-LN(2)/25)*DG57+(1-EXP(-LN(2)/25))/(LN(2)/25)*Calculateur!DB58*Calculateur!DD58*VLOOKUP('Données projet'!$B$13,Paramètres!$A$1:$I$89,3,0)*0.475*44/12</f>
        <v>15.086474134267855</v>
      </c>
      <c r="DH58" s="21">
        <f>EXP(-LN(2)/2)*DH57+(1-EXP(-LN(2)/2))/(LN(2)/2)*DB58*DE58*VLOOKUP('Données projet'!$B$13,Paramètres!$A$1:$I$89,3,0)*0.475*44/12</f>
        <v>5.6144016662800084E-3</v>
      </c>
      <c r="DI58" s="22">
        <f t="shared" si="15"/>
        <v>17.876282265355808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11.4</v>
      </c>
      <c r="DO58" s="12">
        <f>IF('Données projet'!$A$166&gt;35,DO57+DN58-DW57,IF(A58&lt;'Données projet'!$A$166,$DL$205^A58,IF(A58='Données projet'!$A$166,'Données projet'!$B$166,DO57+DN58-DW57)))</f>
        <v>329.99999999999989</v>
      </c>
      <c r="DP58" s="17">
        <f>DO58*VLOOKUP('Données projet'!$B$14,Paramètres!$A$1:$I$89,3,0)*VLOOKUP('Données projet'!$B$14,Paramètres!$A$1:$I$89,5,0)</f>
        <v>197.33999999999995</v>
      </c>
      <c r="DQ58" s="13">
        <f t="shared" si="43"/>
        <v>49.159125474269977</v>
      </c>
      <c r="DR58" s="20">
        <f t="shared" si="16"/>
        <v>429.31931020102019</v>
      </c>
      <c r="DS58" s="59">
        <f t="shared" si="17"/>
        <v>722.6526435343535</v>
      </c>
      <c r="DT58" s="59">
        <f ca="1">AVERAGE(OFFSET($DS$3,0,0,'Données projet'!$E$14+1,1))-AVERAGE(OFFSET($H$3,0,0,'Données projet'!$E$14+1,1))</f>
        <v>247.30892363953825</v>
      </c>
      <c r="DU58" s="59">
        <f t="shared" si="44"/>
        <v>248.38414731596578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6.4246317759251248</v>
      </c>
      <c r="EC58" s="21">
        <f>EXP(-LN(2)/2)*EC57+(1-EXP(-LN(2)/2))/(LN(2)/2)*DW58*DZ58*VLOOKUP('Données projet'!$B$14,Paramètres!$A$1:$I$89,3,0)*0.475*44/12</f>
        <v>4.096482246092127E-3</v>
      </c>
      <c r="ED58" s="22">
        <f t="shared" si="18"/>
        <v>6.4287282581712173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11.4</v>
      </c>
      <c r="EJ58" s="12">
        <f>IF('Données projet'!$A$192&gt;35,EJ57+EI58-ER57,IF(A58&lt;'Données projet'!$A$192,$EG$205^A58,IF(A58='Données projet'!$A$192,'Données projet'!$B$192,EJ57+EI58-ER57)))</f>
        <v>329.99999999999989</v>
      </c>
      <c r="EK58" s="17">
        <f>EJ58*VLOOKUP('Données projet'!$B$15,Paramètres!$A$1:$I$89,3,0)*VLOOKUP('Données projet'!$B$15,Paramètres!$A$1:$I$89,5,0)</f>
        <v>197.33999999999995</v>
      </c>
      <c r="EL58" s="13">
        <f t="shared" si="45"/>
        <v>49.159125474269977</v>
      </c>
      <c r="EM58" s="20">
        <f t="shared" si="19"/>
        <v>429.31931020102019</v>
      </c>
      <c r="EN58" s="59">
        <f t="shared" si="20"/>
        <v>722.6526435343535</v>
      </c>
      <c r="EO58" s="59">
        <f ca="1">AVERAGE(OFFSET($EN$3,0,0,'Données projet'!$E$15+1,1))-AVERAGE(OFFSET($H$3,0,0,'Données projet'!$E$15+1,1))</f>
        <v>247.30892363953825</v>
      </c>
      <c r="EP58" s="59">
        <f t="shared" si="46"/>
        <v>248.38414731596578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6.4246317759251248</v>
      </c>
      <c r="EX58" s="21">
        <f>EXP(-LN(2)/2)*EX57+(1-EXP(-LN(2)/2))/(LN(2)/2)*ER58*EU58*VLOOKUP('Données projet'!$B$15,Paramètres!$A$1:$I$89,3,0)*0.475*44/12</f>
        <v>4.096482246092127E-3</v>
      </c>
      <c r="EY58" s="22">
        <f t="shared" si="21"/>
        <v>6.4287282581712173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21.2</v>
      </c>
      <c r="FE58" s="12">
        <f>IF('Données projet'!$A$218&gt;35,FE57+FD58-FM57,IF(A58&lt;'Données projet'!$A$218,$FB$205^A58,IF(A58='Données projet'!$A$218,'Données projet'!$B$218,FE57+FD58-FM57)))</f>
        <v>524</v>
      </c>
      <c r="FF58" s="17">
        <f>FE58*VLOOKUP('Données projet'!$B$16,Paramètres!$A$1:$I$89,3,0)*VLOOKUP('Données projet'!$B$16,Paramètres!$A$1:$I$89,5,0)</f>
        <v>252.04400000000001</v>
      </c>
      <c r="FG58" s="13">
        <f t="shared" si="47"/>
        <v>61.023425047084295</v>
      </c>
      <c r="FH58" s="20">
        <f t="shared" si="22"/>
        <v>545.25909862367178</v>
      </c>
      <c r="FI58" s="59">
        <f t="shared" si="23"/>
        <v>838.59243195700515</v>
      </c>
      <c r="FJ58" s="59">
        <f ca="1">AVERAGE(OFFSET($FI$3,0,0,'Données projet'!$E$16+1,1))-AVERAGE(OFFSET($H$3,0,0,'Données projet'!$E$16+1,1))</f>
        <v>322.54393676667081</v>
      </c>
      <c r="FK58" s="59">
        <f t="shared" si="48"/>
        <v>296.73904998640018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4.1069169962233341</v>
      </c>
      <c r="FR58" s="21">
        <f>EXP(-LN(2)/25)*FR57+(1-EXP(-LN(2)/25))/(LN(2)/25)*Calculateur!FM58*Calculateur!FO58*VLOOKUP('Données projet'!$B$16,Paramètres!$A$1:$I$89,3,0)*0.475*44/12</f>
        <v>6.7115679714363141</v>
      </c>
      <c r="FS58" s="21">
        <f>EXP(-LN(2)/2)*FS57+(1-EXP(-LN(2)/2))/(LN(2)/2)*FM58*FP58*VLOOKUP('Données projet'!$B$16,Paramètres!$A$1:$I$89,3,0)*0.475*44/12</f>
        <v>3.6102468202121808E-3</v>
      </c>
      <c r="FT58" s="22">
        <f t="shared" si="24"/>
        <v>10.822095214479861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955.4906740462236</v>
      </c>
      <c r="S59" s="59">
        <f ca="1">AVERAGE(OFFSET($R$3,0,0,'Données projet'!$E$9+1,1))-AVERAGE(OFFSET($H$3,0,0,'Données projet'!$E$9+1,1))</f>
        <v>401.06118089678654</v>
      </c>
      <c r="T59" s="59">
        <f t="shared" si="34"/>
        <v>399.58193819355591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8.8000000000000007</v>
      </c>
      <c r="AI59" s="13">
        <f>IF('Données projet'!$A$62&gt;35,AI58+AH59-AQ58,IF(A59&lt;'Données projet'!$A$62,$AF$205^A59,IF(A59='Données projet'!$A$62,'Données projet'!$B$62,AI58+AH59-AQ58)))</f>
        <v>315.80000000000024</v>
      </c>
      <c r="AJ59" s="13">
        <f>AI59*VLOOKUP('Données projet'!$B$10,Paramètres!$A$1:$I$89,3,0)*VLOOKUP('Données projet'!$B$10,Paramètres!$A$1:$I$89,5,0)</f>
        <v>197.05920000000015</v>
      </c>
      <c r="AK59" s="13">
        <f t="shared" si="35"/>
        <v>49.097312759424973</v>
      </c>
      <c r="AL59" s="20">
        <f t="shared" si="4"/>
        <v>428.72259305599874</v>
      </c>
      <c r="AM59" s="59">
        <f t="shared" si="5"/>
        <v>722.05592638933206</v>
      </c>
      <c r="AN59" s="59">
        <f ca="1">AVERAGE(OFFSET($AM$3,0,0,'Données projet'!$E$10+1,1))-AVERAGE(OFFSET($H$3,0,0,'Données projet'!$E$10+1,1))</f>
        <v>240.30073883588199</v>
      </c>
      <c r="AO59" s="59">
        <f t="shared" si="36"/>
        <v>263.20351282678843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4.1549896824023449</v>
      </c>
      <c r="AV59" s="21">
        <f>EXP(-LN(2)/25)*AV58+(1-EXP(-LN(2)/25))/(LN(2)/25)*Calculateur!AQ59*Calculateur!AS59*VLOOKUP('Données projet'!$B$10,Paramètres!$A$1:$I$89,3,0)*0.475*44/12</f>
        <v>10.109731003936314</v>
      </c>
      <c r="AW59" s="21">
        <f>EXP(-LN(2)/2)*AW58+(1-EXP(-LN(2)/2))/(LN(2)/2)*AQ59*AT59*VLOOKUP('Données projet'!$B$10,Paramètres!$A$1:$I$89,3,0)*0.475*44/12</f>
        <v>2.4646991581683477E-3</v>
      </c>
      <c r="AX59" s="21">
        <f t="shared" si="6"/>
        <v>14.267185385496827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20</v>
      </c>
      <c r="BD59" s="12">
        <f>IF('Données projet'!$A$88&gt;35,BD58+BC59-BL58,IF(A59&lt;'Données projet'!$A$88,$BA$205^A59,IF(A59='Données projet'!$A$88,'Données projet'!$B$88,BD58+BC59-BL58)))</f>
        <v>602</v>
      </c>
      <c r="BE59" s="13">
        <f>BD59*VLOOKUP('Données projet'!$B$11,Paramètres!$A$1:$I$89,3,0)*VLOOKUP('Données projet'!$B$11,Paramètres!$A$1:$I$89,5,0)</f>
        <v>289.56200000000001</v>
      </c>
      <c r="BF59" s="13">
        <f t="shared" si="37"/>
        <v>68.983768240479478</v>
      </c>
      <c r="BG59" s="20">
        <f t="shared" si="7"/>
        <v>624.46721301883508</v>
      </c>
      <c r="BH59" s="59">
        <f t="shared" si="8"/>
        <v>917.80054635216834</v>
      </c>
      <c r="BI59" s="59">
        <f ca="1">AVERAGE(OFFSET($BH$3,0,0,'Données projet'!$E$11+1,1))-AVERAGE(OFFSET($H$3,0,0,'Données projet'!$E$11+1,1))</f>
        <v>364.67510777943329</v>
      </c>
      <c r="BJ59" s="59">
        <f t="shared" si="38"/>
        <v>352.13878061387169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5.2846275023054865</v>
      </c>
      <c r="BQ59" s="21">
        <f>EXP(-LN(2)/25)*BQ58+(1-EXP(-LN(2)/25))/(LN(2)/25)*Calculateur!BL59*Calculateur!BN59*VLOOKUP('Données projet'!$B$11,Paramètres!$A$1:$I$89,3,0)*0.475*44/12</f>
        <v>8.7613072676439341</v>
      </c>
      <c r="BR59" s="21">
        <f>EXP(-LN(2)/2)*BR58+(1-EXP(-LN(2)/2))/(LN(2)/2)*BL59*BO59*VLOOKUP('Données projet'!$B$11,Paramètres!$A$1:$I$89,3,0)*0.475*44/12</f>
        <v>3.3537056335008453E-3</v>
      </c>
      <c r="BS59" s="22">
        <f t="shared" si="9"/>
        <v>14.049288475582921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13.499999999999996</v>
      </c>
      <c r="BY59" s="12">
        <f>IF('Données projet'!$A$114&gt;35,BY58+BX59-CG58,IF(A59&lt;'Données projet'!$A$114,$BV$205^A59,IF(A59='Données projet'!$A$114,'Données projet'!$B$114,BY58+BX59-CG58)))</f>
        <v>320.79999999999984</v>
      </c>
      <c r="BZ59" s="13">
        <f>BY59*VLOOKUP('Données projet'!$B$12,Paramètres!$A$1:$I$89,3,0)*VLOOKUP('Données projet'!$B$12,Paramètres!$A$1:$I$89,5,0)</f>
        <v>150.13439999999994</v>
      </c>
      <c r="CA59" s="13">
        <f t="shared" si="39"/>
        <v>38.609126910934812</v>
      </c>
      <c r="CB59" s="20">
        <f t="shared" si="10"/>
        <v>328.72830936987799</v>
      </c>
      <c r="CC59" s="59">
        <f t="shared" si="11"/>
        <v>622.06164270321131</v>
      </c>
      <c r="CD59" s="59">
        <f ca="1">AVERAGE(OFFSET($CC$3,0,0,'Données projet'!$E$12+1,1))-AVERAGE(OFFSET($H$3,0,0,'Données projet'!$E$12+1,1))</f>
        <v>252.98248842635206</v>
      </c>
      <c r="CE59" s="59">
        <f t="shared" si="40"/>
        <v>207.11938580878308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1.8730841880758438</v>
      </c>
      <c r="CL59" s="21">
        <f>EXP(-LN(2)/25)*CL58+(1-EXP(-LN(2)/25))/(LN(2)/25)*Calculateur!CG59*Calculateur!CI59*VLOOKUP('Données projet'!$B$12,Paramètres!$A$1:$I$89,3,0)*0.475*44/12</f>
        <v>3.8203281340661834</v>
      </c>
      <c r="CM59" s="21">
        <f>EXP(-LN(2)/2)*CM58+(1-EXP(-LN(2)/2))/(LN(2)/2)*CG59*CJ59*VLOOKUP('Données projet'!$B$12,Paramètres!$A$1:$I$89,3,0)*0.475*44/12</f>
        <v>1.2002168555048818E-3</v>
      </c>
      <c r="CN59" s="22">
        <f t="shared" si="12"/>
        <v>5.6946125389975322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16.2</v>
      </c>
      <c r="CT59" s="12">
        <f>IF('Données projet'!$A$140&gt;35,CT58+CS59-DB58,IF(A59&lt;'Données projet'!$A$140,$CQ$205^A59,IF(A59='Données projet'!$A$140,'Données projet'!$B$140,CT58+CS59-DB58)))</f>
        <v>498.19999999999976</v>
      </c>
      <c r="CU59" s="17">
        <f>CT59*VLOOKUP('Données projet'!$B$13,Paramètres!$A$1:$I$89,3,0)*VLOOKUP('Données projet'!$B$13,Paramètres!$A$1:$I$89,5,0)</f>
        <v>278.49379999999985</v>
      </c>
      <c r="CV59" s="13">
        <f t="shared" si="41"/>
        <v>66.648605670285122</v>
      </c>
      <c r="CW59" s="20">
        <f t="shared" si="13"/>
        <v>601.12302320907963</v>
      </c>
      <c r="CX59" s="59">
        <f t="shared" si="14"/>
        <v>894.456356542413</v>
      </c>
      <c r="CY59" s="59">
        <f ca="1">AVERAGE(OFFSET($CX$3,0,0,'Données projet'!$E$13+1,1))-AVERAGE(OFFSET($H$3,0,0,'Données projet'!$E$13+1,1))</f>
        <v>356.67698551373468</v>
      </c>
      <c r="CZ59" s="59">
        <f t="shared" si="42"/>
        <v>353.21836615408171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2.7295973885782101</v>
      </c>
      <c r="DG59" s="21">
        <f>EXP(-LN(2)/25)*DG58+(1-EXP(-LN(2)/25))/(LN(2)/25)*Calculateur!DB59*Calculateur!DD59*VLOOKUP('Données projet'!$B$13,Paramètres!$A$1:$I$89,3,0)*0.475*44/12</f>
        <v>14.673933705703107</v>
      </c>
      <c r="DH59" s="21">
        <f>EXP(-LN(2)/2)*DH58+(1-EXP(-LN(2)/2))/(LN(2)/2)*DB59*DE59*VLOOKUP('Données projet'!$B$13,Paramètres!$A$1:$I$89,3,0)*0.475*44/12</f>
        <v>3.9699814905316457E-3</v>
      </c>
      <c r="DI59" s="22">
        <f t="shared" si="15"/>
        <v>17.407501075771847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11.4</v>
      </c>
      <c r="DO59" s="12">
        <f>IF('Données projet'!$A$166&gt;35,DO58+DN59-DW58,IF(A59&lt;'Données projet'!$A$166,$DL$205^A59,IF(A59='Données projet'!$A$166,'Données projet'!$B$166,DO58+DN59-DW58)))</f>
        <v>341.39999999999986</v>
      </c>
      <c r="DP59" s="17">
        <f>DO59*VLOOKUP('Données projet'!$B$14,Paramètres!$A$1:$I$89,3,0)*VLOOKUP('Données projet'!$B$14,Paramètres!$A$1:$I$89,5,0)</f>
        <v>204.15719999999996</v>
      </c>
      <c r="DQ59" s="13">
        <f t="shared" si="43"/>
        <v>50.656697660408256</v>
      </c>
      <c r="DR59" s="20">
        <f t="shared" si="16"/>
        <v>443.80087175854425</v>
      </c>
      <c r="DS59" s="59">
        <f t="shared" si="17"/>
        <v>737.13420509187756</v>
      </c>
      <c r="DT59" s="59">
        <f ca="1">AVERAGE(OFFSET($DS$3,0,0,'Données projet'!$E$14+1,1))-AVERAGE(OFFSET($H$3,0,0,'Données projet'!$E$14+1,1))</f>
        <v>247.30892363953825</v>
      </c>
      <c r="DU59" s="59">
        <f t="shared" si="44"/>
        <v>248.38414731596578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6.2489498821557508</v>
      </c>
      <c r="EC59" s="21">
        <f>EXP(-LN(2)/2)*EC58+(1-EXP(-LN(2)/2))/(LN(2)/2)*DW59*DZ59*VLOOKUP('Données projet'!$B$14,Paramètres!$A$1:$I$89,3,0)*0.475*44/12</f>
        <v>2.8966503752220424E-3</v>
      </c>
      <c r="ED59" s="22">
        <f t="shared" si="18"/>
        <v>6.2518465325309727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11.4</v>
      </c>
      <c r="EJ59" s="12">
        <f>IF('Données projet'!$A$192&gt;35,EJ58+EI59-ER58,IF(A59&lt;'Données projet'!$A$192,$EG$205^A59,IF(A59='Données projet'!$A$192,'Données projet'!$B$192,EJ58+EI59-ER58)))</f>
        <v>341.39999999999986</v>
      </c>
      <c r="EK59" s="17">
        <f>EJ59*VLOOKUP('Données projet'!$B$15,Paramètres!$A$1:$I$89,3,0)*VLOOKUP('Données projet'!$B$15,Paramètres!$A$1:$I$89,5,0)</f>
        <v>204.15719999999996</v>
      </c>
      <c r="EL59" s="13">
        <f t="shared" si="45"/>
        <v>50.656697660408256</v>
      </c>
      <c r="EM59" s="20">
        <f t="shared" si="19"/>
        <v>443.80087175854425</v>
      </c>
      <c r="EN59" s="59">
        <f t="shared" si="20"/>
        <v>737.13420509187756</v>
      </c>
      <c r="EO59" s="59">
        <f ca="1">AVERAGE(OFFSET($EN$3,0,0,'Données projet'!$E$15+1,1))-AVERAGE(OFFSET($H$3,0,0,'Données projet'!$E$15+1,1))</f>
        <v>247.30892363953825</v>
      </c>
      <c r="EP59" s="59">
        <f t="shared" si="46"/>
        <v>248.38414731596578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6.2489498821557508</v>
      </c>
      <c r="EX59" s="21">
        <f>EXP(-LN(2)/2)*EX58+(1-EXP(-LN(2)/2))/(LN(2)/2)*ER59*EU59*VLOOKUP('Données projet'!$B$15,Paramètres!$A$1:$I$89,3,0)*0.475*44/12</f>
        <v>2.8966503752220424E-3</v>
      </c>
      <c r="EY59" s="22">
        <f t="shared" si="21"/>
        <v>6.2518465325309727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21.2</v>
      </c>
      <c r="FE59" s="12">
        <f>IF('Données projet'!$A$218&gt;35,FE58+FD59-FM58,IF(A59&lt;'Données projet'!$A$218,$FB$205^A59,IF(A59='Données projet'!$A$218,'Données projet'!$B$218,FE58+FD59-FM58)))</f>
        <v>545.20000000000005</v>
      </c>
      <c r="FF59" s="17">
        <f>FE59*VLOOKUP('Données projet'!$B$16,Paramètres!$A$1:$I$89,3,0)*VLOOKUP('Données projet'!$B$16,Paramètres!$A$1:$I$89,5,0)</f>
        <v>262.24120000000005</v>
      </c>
      <c r="FG59" s="13">
        <f t="shared" si="47"/>
        <v>63.199872321408172</v>
      </c>
      <c r="FH59" s="20">
        <f t="shared" si="22"/>
        <v>566.80986762645261</v>
      </c>
      <c r="FI59" s="59">
        <f t="shared" si="23"/>
        <v>860.14320095978587</v>
      </c>
      <c r="FJ59" s="59">
        <f ca="1">AVERAGE(OFFSET($FI$3,0,0,'Données projet'!$E$16+1,1))-AVERAGE(OFFSET($H$3,0,0,'Données projet'!$E$16+1,1))</f>
        <v>322.54393676667081</v>
      </c>
      <c r="FK59" s="59">
        <f t="shared" si="48"/>
        <v>296.73904998640018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4.0263828588994164</v>
      </c>
      <c r="FR59" s="21">
        <f>EXP(-LN(2)/25)*FR58+(1-EXP(-LN(2)/25))/(LN(2)/25)*Calculateur!FM59*Calculateur!FO59*VLOOKUP('Données projet'!$B$16,Paramètres!$A$1:$I$89,3,0)*0.475*44/12</f>
        <v>6.5280397923113682</v>
      </c>
      <c r="FS59" s="21">
        <f>EXP(-LN(2)/2)*FS58+(1-EXP(-LN(2)/2))/(LN(2)/2)*FM59*FP59*VLOOKUP('Données projet'!$B$16,Paramètres!$A$1:$I$89,3,0)*0.475*44/12</f>
        <v>2.5528300083292035E-3</v>
      </c>
      <c r="FT59" s="22">
        <f t="shared" si="24"/>
        <v>10.556975481219114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976.67179472051816</v>
      </c>
      <c r="S60" s="59">
        <f ca="1">AVERAGE(OFFSET($R$3,0,0,'Données projet'!$E$9+1,1))-AVERAGE(OFFSET($H$3,0,0,'Données projet'!$E$9+1,1))</f>
        <v>401.06118089678654</v>
      </c>
      <c r="T60" s="59">
        <f t="shared" si="34"/>
        <v>399.58193819355591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8.8000000000000007</v>
      </c>
      <c r="AI60" s="13">
        <f>IF('Données projet'!$A$62&gt;35,AI59+AH60-AQ59,IF(A60&lt;'Données projet'!$A$62,$AF$205^A60,IF(A60='Données projet'!$A$62,'Données projet'!$B$62,AI59+AH60-AQ59)))</f>
        <v>324.60000000000025</v>
      </c>
      <c r="AJ60" s="13">
        <f>AI60*VLOOKUP('Données projet'!$B$10,Paramètres!$A$1:$I$89,3,0)*VLOOKUP('Données projet'!$B$10,Paramètres!$A$1:$I$89,5,0)</f>
        <v>202.55040000000014</v>
      </c>
      <c r="AK60" s="13">
        <f t="shared" si="35"/>
        <v>50.304254428465725</v>
      </c>
      <c r="AL60" s="20">
        <f t="shared" si="4"/>
        <v>440.38852312957806</v>
      </c>
      <c r="AM60" s="59">
        <f t="shared" si="5"/>
        <v>733.72185646291132</v>
      </c>
      <c r="AN60" s="59">
        <f ca="1">AVERAGE(OFFSET($AM$3,0,0,'Données projet'!$E$10+1,1))-AVERAGE(OFFSET($H$3,0,0,'Données projet'!$E$10+1,1))</f>
        <v>240.30073883588199</v>
      </c>
      <c r="AO60" s="59">
        <f t="shared" si="36"/>
        <v>263.20351282678843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4.0735128690239009</v>
      </c>
      <c r="AV60" s="21">
        <f>EXP(-LN(2)/25)*AV59+(1-EXP(-LN(2)/25))/(LN(2)/25)*Calculateur!AQ60*Calculateur!AS60*VLOOKUP('Données projet'!$B$10,Paramètres!$A$1:$I$89,3,0)*0.475*44/12</f>
        <v>9.833279877986028</v>
      </c>
      <c r="AW60" s="21">
        <f>EXP(-LN(2)/2)*AW59+(1-EXP(-LN(2)/2))/(LN(2)/2)*AQ60*AT60*VLOOKUP('Données projet'!$B$10,Paramètres!$A$1:$I$89,3,0)*0.475*44/12</f>
        <v>1.7428054883256137E-3</v>
      </c>
      <c r="AX60" s="21">
        <f t="shared" si="6"/>
        <v>13.908535552498254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20</v>
      </c>
      <c r="BD60" s="12">
        <f>IF('Données projet'!$A$88&gt;35,BD59+BC60-BL59,IF(A60&lt;'Données projet'!$A$88,$BA$205^A60,IF(A60='Données projet'!$A$88,'Données projet'!$B$88,BD59+BC60-BL59)))</f>
        <v>622</v>
      </c>
      <c r="BE60" s="13">
        <f>BD60*VLOOKUP('Données projet'!$B$11,Paramètres!$A$1:$I$89,3,0)*VLOOKUP('Données projet'!$B$11,Paramètres!$A$1:$I$89,5,0)</f>
        <v>299.18200000000002</v>
      </c>
      <c r="BF60" s="13">
        <f t="shared" si="37"/>
        <v>71.004952015135231</v>
      </c>
      <c r="BG60" s="20">
        <f t="shared" si="7"/>
        <v>644.74227475969394</v>
      </c>
      <c r="BH60" s="59">
        <f t="shared" si="8"/>
        <v>938.07560809302731</v>
      </c>
      <c r="BI60" s="59">
        <f ca="1">AVERAGE(OFFSET($BH$3,0,0,'Données projet'!$E$11+1,1))-AVERAGE(OFFSET($H$3,0,0,'Données projet'!$E$11+1,1))</f>
        <v>364.67510777943329</v>
      </c>
      <c r="BJ60" s="59">
        <f t="shared" si="38"/>
        <v>352.13878061387169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5.1809991802897777</v>
      </c>
      <c r="BQ60" s="21">
        <f>EXP(-LN(2)/25)*BQ59+(1-EXP(-LN(2)/25))/(LN(2)/25)*Calculateur!BL60*Calculateur!BN60*VLOOKUP('Données projet'!$B$11,Paramètres!$A$1:$I$89,3,0)*0.475*44/12</f>
        <v>8.521728859673086</v>
      </c>
      <c r="BR60" s="21">
        <f>EXP(-LN(2)/2)*BR59+(1-EXP(-LN(2)/2))/(LN(2)/2)*BL60*BO60*VLOOKUP('Données projet'!$B$11,Paramètres!$A$1:$I$89,3,0)*0.475*44/12</f>
        <v>2.3714279955519739E-3</v>
      </c>
      <c r="BS60" s="22">
        <f t="shared" si="9"/>
        <v>13.705099467958416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13.499999999999996</v>
      </c>
      <c r="BY60" s="12">
        <f>IF('Données projet'!$A$114&gt;35,BY59+BX60-CG59,IF(A60&lt;'Données projet'!$A$114,$BV$205^A60,IF(A60='Données projet'!$A$114,'Données projet'!$B$114,BY59+BX60-CG59)))</f>
        <v>334.29999999999984</v>
      </c>
      <c r="BZ60" s="13">
        <f>BY60*VLOOKUP('Données projet'!$B$12,Paramètres!$A$1:$I$89,3,0)*VLOOKUP('Données projet'!$B$12,Paramètres!$A$1:$I$89,5,0)</f>
        <v>156.45239999999993</v>
      </c>
      <c r="CA60" s="13">
        <f t="shared" si="39"/>
        <v>40.041303130551007</v>
      </c>
      <c r="CB60" s="20">
        <f t="shared" si="10"/>
        <v>342.2265329523762</v>
      </c>
      <c r="CC60" s="59">
        <f t="shared" si="11"/>
        <v>635.55986628570952</v>
      </c>
      <c r="CD60" s="59">
        <f ca="1">AVERAGE(OFFSET($CC$3,0,0,'Données projet'!$E$12+1,1))-AVERAGE(OFFSET($H$3,0,0,'Données projet'!$E$12+1,1))</f>
        <v>252.98248842635206</v>
      </c>
      <c r="CE60" s="59">
        <f t="shared" si="40"/>
        <v>207.11938580878308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1.8363541496162219</v>
      </c>
      <c r="CL60" s="21">
        <f>EXP(-LN(2)/25)*CL59+(1-EXP(-LN(2)/25))/(LN(2)/25)*Calculateur!CG60*Calculateur!CI60*VLOOKUP('Données projet'!$B$12,Paramètres!$A$1:$I$89,3,0)*0.475*44/12</f>
        <v>3.7158610603378186</v>
      </c>
      <c r="CM60" s="21">
        <f>EXP(-LN(2)/2)*CM59+(1-EXP(-LN(2)/2))/(LN(2)/2)*CG60*CJ60*VLOOKUP('Données projet'!$B$12,Paramètres!$A$1:$I$89,3,0)*0.475*44/12</f>
        <v>8.4868147742189661E-4</v>
      </c>
      <c r="CN60" s="22">
        <f t="shared" si="12"/>
        <v>5.5530638914314618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16.2</v>
      </c>
      <c r="CT60" s="12">
        <f>IF('Données projet'!$A$140&gt;35,CT59+CS60-DB59,IF(A60&lt;'Données projet'!$A$140,$CQ$205^A60,IF(A60='Données projet'!$A$140,'Données projet'!$B$140,CT59+CS60-DB59)))</f>
        <v>514.39999999999975</v>
      </c>
      <c r="CU60" s="17">
        <f>CT60*VLOOKUP('Données projet'!$B$13,Paramètres!$A$1:$I$89,3,0)*VLOOKUP('Données projet'!$B$13,Paramètres!$A$1:$I$89,5,0)</f>
        <v>287.54959999999988</v>
      </c>
      <c r="CV60" s="13">
        <f t="shared" si="41"/>
        <v>68.559977517591122</v>
      </c>
      <c r="CW60" s="20">
        <f t="shared" si="13"/>
        <v>620.22418084313767</v>
      </c>
      <c r="CX60" s="59">
        <f t="shared" si="14"/>
        <v>913.55751417647093</v>
      </c>
      <c r="CY60" s="59">
        <f ca="1">AVERAGE(OFFSET($CX$3,0,0,'Données projet'!$E$13+1,1))-AVERAGE(OFFSET($H$3,0,0,'Données projet'!$E$13+1,1))</f>
        <v>356.67698551373468</v>
      </c>
      <c r="CZ60" s="59">
        <f t="shared" si="42"/>
        <v>353.21836615408171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2.6760716486782044</v>
      </c>
      <c r="DG60" s="21">
        <f>EXP(-LN(2)/25)*DG59+(1-EXP(-LN(2)/25))/(LN(2)/25)*Calculateur!DB60*Calculateur!DD60*VLOOKUP('Données projet'!$B$13,Paramètres!$A$1:$I$89,3,0)*0.475*44/12</f>
        <v>14.272674216852019</v>
      </c>
      <c r="DH60" s="21">
        <f>EXP(-LN(2)/2)*DH59+(1-EXP(-LN(2)/2))/(LN(2)/2)*DB60*DE60*VLOOKUP('Données projet'!$B$13,Paramètres!$A$1:$I$89,3,0)*0.475*44/12</f>
        <v>2.8072008331400042E-3</v>
      </c>
      <c r="DI60" s="22">
        <f t="shared" si="15"/>
        <v>16.951553066363363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11.4</v>
      </c>
      <c r="DO60" s="12">
        <f>IF('Données projet'!$A$166&gt;35,DO59+DN60-DW59,IF(A60&lt;'Données projet'!$A$166,$DL$205^A60,IF(A60='Données projet'!$A$166,'Données projet'!$B$166,DO59+DN60-DW59)))</f>
        <v>352.79999999999984</v>
      </c>
      <c r="DP60" s="17">
        <f>DO60*VLOOKUP('Données projet'!$B$14,Paramètres!$A$1:$I$89,3,0)*VLOOKUP('Données projet'!$B$14,Paramètres!$A$1:$I$89,5,0)</f>
        <v>210.97439999999992</v>
      </c>
      <c r="DQ60" s="13">
        <f t="shared" si="43"/>
        <v>52.148459211324706</v>
      </c>
      <c r="DR60" s="20">
        <f t="shared" si="16"/>
        <v>458.27231312639037</v>
      </c>
      <c r="DS60" s="59">
        <f t="shared" si="17"/>
        <v>751.60564645972363</v>
      </c>
      <c r="DT60" s="59">
        <f ca="1">AVERAGE(OFFSET($DS$3,0,0,'Données projet'!$E$14+1,1))-AVERAGE(OFFSET($H$3,0,0,'Données projet'!$E$14+1,1))</f>
        <v>247.30892363953825</v>
      </c>
      <c r="DU60" s="59">
        <f t="shared" si="44"/>
        <v>248.38414731596578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6.07807201901021</v>
      </c>
      <c r="EC60" s="21">
        <f>EXP(-LN(2)/2)*EC59+(1-EXP(-LN(2)/2))/(LN(2)/2)*DW60*DZ60*VLOOKUP('Données projet'!$B$14,Paramètres!$A$1:$I$89,3,0)*0.475*44/12</f>
        <v>2.0482411230460635E-3</v>
      </c>
      <c r="ED60" s="22">
        <f t="shared" si="18"/>
        <v>6.0801202601332562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11.4</v>
      </c>
      <c r="EJ60" s="12">
        <f>IF('Données projet'!$A$192&gt;35,EJ59+EI60-ER59,IF(A60&lt;'Données projet'!$A$192,$EG$205^A60,IF(A60='Données projet'!$A$192,'Données projet'!$B$192,EJ59+EI60-ER59)))</f>
        <v>352.79999999999984</v>
      </c>
      <c r="EK60" s="17">
        <f>EJ60*VLOOKUP('Données projet'!$B$15,Paramètres!$A$1:$I$89,3,0)*VLOOKUP('Données projet'!$B$15,Paramètres!$A$1:$I$89,5,0)</f>
        <v>210.97439999999992</v>
      </c>
      <c r="EL60" s="13">
        <f t="shared" si="45"/>
        <v>52.148459211324706</v>
      </c>
      <c r="EM60" s="20">
        <f t="shared" si="19"/>
        <v>458.27231312639037</v>
      </c>
      <c r="EN60" s="59">
        <f t="shared" si="20"/>
        <v>751.60564645972363</v>
      </c>
      <c r="EO60" s="59">
        <f ca="1">AVERAGE(OFFSET($EN$3,0,0,'Données projet'!$E$15+1,1))-AVERAGE(OFFSET($H$3,0,0,'Données projet'!$E$15+1,1))</f>
        <v>247.30892363953825</v>
      </c>
      <c r="EP60" s="59">
        <f t="shared" si="46"/>
        <v>248.38414731596578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6.07807201901021</v>
      </c>
      <c r="EX60" s="21">
        <f>EXP(-LN(2)/2)*EX59+(1-EXP(-LN(2)/2))/(LN(2)/2)*ER60*EU60*VLOOKUP('Données projet'!$B$15,Paramètres!$A$1:$I$89,3,0)*0.475*44/12</f>
        <v>2.0482411230460635E-3</v>
      </c>
      <c r="EY60" s="22">
        <f t="shared" si="21"/>
        <v>6.0801202601332562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21.2</v>
      </c>
      <c r="FE60" s="12">
        <f>IF('Données projet'!$A$218&gt;35,FE59+FD60-FM59,IF(A60&lt;'Données projet'!$A$218,$FB$205^A60,IF(A60='Données projet'!$A$218,'Données projet'!$B$218,FE59+FD60-FM59)))</f>
        <v>566.40000000000009</v>
      </c>
      <c r="FF60" s="17">
        <f>FE60*VLOOKUP('Données projet'!$B$16,Paramètres!$A$1:$I$89,3,0)*VLOOKUP('Données projet'!$B$16,Paramètres!$A$1:$I$89,5,0)</f>
        <v>272.43840000000006</v>
      </c>
      <c r="FG60" s="13">
        <f t="shared" si="47"/>
        <v>65.366488220432217</v>
      </c>
      <c r="FH60" s="20">
        <f t="shared" si="22"/>
        <v>588.34351365058626</v>
      </c>
      <c r="FI60" s="59">
        <f t="shared" si="23"/>
        <v>881.67684698391963</v>
      </c>
      <c r="FJ60" s="59">
        <f ca="1">AVERAGE(OFFSET($FI$3,0,0,'Données projet'!$E$16+1,1))-AVERAGE(OFFSET($H$3,0,0,'Données projet'!$E$16+1,1))</f>
        <v>322.54393676667081</v>
      </c>
      <c r="FK60" s="59">
        <f t="shared" si="48"/>
        <v>296.73904998640018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3.9474279468874478</v>
      </c>
      <c r="FR60" s="21">
        <f>EXP(-LN(2)/25)*FR59+(1-EXP(-LN(2)/25))/(LN(2)/25)*Calculateur!FM60*Calculateur!FO60*VLOOKUP('Données projet'!$B$16,Paramètres!$A$1:$I$89,3,0)*0.475*44/12</f>
        <v>6.3495302008959209</v>
      </c>
      <c r="FS60" s="21">
        <f>EXP(-LN(2)/2)*FS59+(1-EXP(-LN(2)/2))/(LN(2)/2)*FM60*FP60*VLOOKUP('Données projet'!$B$16,Paramètres!$A$1:$I$89,3,0)*0.475*44/12</f>
        <v>1.8051234101060904E-3</v>
      </c>
      <c r="FT60" s="22">
        <f t="shared" si="24"/>
        <v>10.298763271193474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997.83945011762512</v>
      </c>
      <c r="S61" s="59">
        <f ca="1">AVERAGE(OFFSET($R$3,0,0,'Données projet'!$E$9+1,1))-AVERAGE(OFFSET($H$3,0,0,'Données projet'!$E$9+1,1))</f>
        <v>401.06118089678654</v>
      </c>
      <c r="T61" s="59">
        <f t="shared" si="34"/>
        <v>399.58193819355591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8.8000000000000007</v>
      </c>
      <c r="AI61" s="13">
        <f>IF('Données projet'!$A$62&gt;35,AI60+AH61-AQ60,IF(A61&lt;'Données projet'!$A$62,$AF$205^A61,IF(A61='Données projet'!$A$62,'Données projet'!$B$62,AI60+AH61-AQ60)))</f>
        <v>333.40000000000026</v>
      </c>
      <c r="AJ61" s="13">
        <f>AI61*VLOOKUP('Données projet'!$B$10,Paramètres!$A$1:$I$89,3,0)*VLOOKUP('Données projet'!$B$10,Paramètres!$A$1:$I$89,5,0)</f>
        <v>208.04160000000016</v>
      </c>
      <c r="AK61" s="13">
        <f t="shared" si="35"/>
        <v>51.507392937650074</v>
      </c>
      <c r="AL61" s="20">
        <f t="shared" si="4"/>
        <v>452.04782936640748</v>
      </c>
      <c r="AM61" s="59">
        <f t="shared" si="5"/>
        <v>745.3811626997408</v>
      </c>
      <c r="AN61" s="59">
        <f ca="1">AVERAGE(OFFSET($AM$3,0,0,'Données projet'!$E$10+1,1))-AVERAGE(OFFSET($H$3,0,0,'Données projet'!$E$10+1,1))</f>
        <v>240.30073883588199</v>
      </c>
      <c r="AO61" s="59">
        <f t="shared" si="36"/>
        <v>263.20351282678843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3.9936337662598587</v>
      </c>
      <c r="AV61" s="21">
        <f>EXP(-LN(2)/25)*AV60+(1-EXP(-LN(2)/25))/(LN(2)/25)*Calculateur!AQ61*Calculateur!AS61*VLOOKUP('Données projet'!$B$10,Paramètres!$A$1:$I$89,3,0)*0.475*44/12</f>
        <v>9.5643883226127855</v>
      </c>
      <c r="AW61" s="21">
        <f>EXP(-LN(2)/2)*AW60+(1-EXP(-LN(2)/2))/(LN(2)/2)*AQ61*AT61*VLOOKUP('Données projet'!$B$10,Paramètres!$A$1:$I$89,3,0)*0.475*44/12</f>
        <v>1.2323495790841738E-3</v>
      </c>
      <c r="AX61" s="21">
        <f t="shared" si="6"/>
        <v>13.559254438451728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20</v>
      </c>
      <c r="BD61" s="12">
        <f>IF('Données projet'!$A$88&gt;35,BD60+BC61-BL60,IF(A61&lt;'Données projet'!$A$88,$BA$205^A61,IF(A61='Données projet'!$A$88,'Données projet'!$B$88,BD60+BC61-BL60)))</f>
        <v>642</v>
      </c>
      <c r="BE61" s="13">
        <f>BD61*VLOOKUP('Données projet'!$B$11,Paramètres!$A$1:$I$89,3,0)*VLOOKUP('Données projet'!$B$11,Paramètres!$A$1:$I$89,5,0)</f>
        <v>308.80200000000002</v>
      </c>
      <c r="BF61" s="13">
        <f t="shared" si="37"/>
        <v>73.018583737515101</v>
      </c>
      <c r="BG61" s="20">
        <f t="shared" si="7"/>
        <v>665.00418334283881</v>
      </c>
      <c r="BH61" s="59">
        <f t="shared" si="8"/>
        <v>958.33751667617207</v>
      </c>
      <c r="BI61" s="59">
        <f ca="1">AVERAGE(OFFSET($BH$3,0,0,'Données projet'!$E$11+1,1))-AVERAGE(OFFSET($H$3,0,0,'Données projet'!$E$11+1,1))</f>
        <v>364.67510777943329</v>
      </c>
      <c r="BJ61" s="59">
        <f t="shared" si="38"/>
        <v>352.13878061387169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5.0794029464617614</v>
      </c>
      <c r="BQ61" s="21">
        <f>EXP(-LN(2)/25)*BQ60+(1-EXP(-LN(2)/25))/(LN(2)/25)*Calculateur!BL61*Calculateur!BN61*VLOOKUP('Données projet'!$B$11,Paramètres!$A$1:$I$89,3,0)*0.475*44/12</f>
        <v>8.2887017358670807</v>
      </c>
      <c r="BR61" s="21">
        <f>EXP(-LN(2)/2)*BR60+(1-EXP(-LN(2)/2))/(LN(2)/2)*BL61*BO61*VLOOKUP('Données projet'!$B$11,Paramètres!$A$1:$I$89,3,0)*0.475*44/12</f>
        <v>1.6768528167504227E-3</v>
      </c>
      <c r="BS61" s="22">
        <f t="shared" si="9"/>
        <v>13.369781535145592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13.499999999999996</v>
      </c>
      <c r="BY61" s="12">
        <f>IF('Données projet'!$A$114&gt;35,BY60+BX61-CG60,IF(A61&lt;'Données projet'!$A$114,$BV$205^A61,IF(A61='Données projet'!$A$114,'Données projet'!$B$114,BY60+BX61-CG60)))</f>
        <v>347.79999999999984</v>
      </c>
      <c r="BZ61" s="13">
        <f>BY61*VLOOKUP('Données projet'!$B$12,Paramètres!$A$1:$I$89,3,0)*VLOOKUP('Données projet'!$B$12,Paramètres!$A$1:$I$89,5,0)</f>
        <v>162.77039999999994</v>
      </c>
      <c r="CA61" s="13">
        <f t="shared" si="39"/>
        <v>41.466761176934256</v>
      </c>
      <c r="CB61" s="20">
        <f t="shared" si="10"/>
        <v>355.71305571649367</v>
      </c>
      <c r="CC61" s="59">
        <f t="shared" si="11"/>
        <v>649.04638904982698</v>
      </c>
      <c r="CD61" s="59">
        <f ca="1">AVERAGE(OFFSET($CC$3,0,0,'Données projet'!$E$12+1,1))-AVERAGE(OFFSET($H$3,0,0,'Données projet'!$E$12+1,1))</f>
        <v>252.98248842635206</v>
      </c>
      <c r="CE61" s="59">
        <f t="shared" si="40"/>
        <v>207.11938580878308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1.8003443648076818</v>
      </c>
      <c r="CL61" s="21">
        <f>EXP(-LN(2)/25)*CL60+(1-EXP(-LN(2)/25))/(LN(2)/25)*Calculateur!CG61*Calculateur!CI61*VLOOKUP('Données projet'!$B$12,Paramètres!$A$1:$I$89,3,0)*0.475*44/12</f>
        <v>3.6142506442342404</v>
      </c>
      <c r="CM61" s="21">
        <f>EXP(-LN(2)/2)*CM60+(1-EXP(-LN(2)/2))/(LN(2)/2)*CG61*CJ61*VLOOKUP('Données projet'!$B$12,Paramètres!$A$1:$I$89,3,0)*0.475*44/12</f>
        <v>6.0010842775244091E-4</v>
      </c>
      <c r="CN61" s="22">
        <f t="shared" si="12"/>
        <v>5.4151951174696746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16.2</v>
      </c>
      <c r="CT61" s="12">
        <f>IF('Données projet'!$A$140&gt;35,CT60+CS61-DB60,IF(A61&lt;'Données projet'!$A$140,$CQ$205^A61,IF(A61='Données projet'!$A$140,'Données projet'!$B$140,CT60+CS61-DB60)))</f>
        <v>530.5999999999998</v>
      </c>
      <c r="CU61" s="17">
        <f>CT61*VLOOKUP('Données projet'!$B$13,Paramètres!$A$1:$I$89,3,0)*VLOOKUP('Données projet'!$B$13,Paramètres!$A$1:$I$89,5,0)</f>
        <v>296.60539999999986</v>
      </c>
      <c r="CV61" s="13">
        <f t="shared" si="41"/>
        <v>70.464354291088782</v>
      </c>
      <c r="CW61" s="20">
        <f t="shared" si="13"/>
        <v>639.31315539031277</v>
      </c>
      <c r="CX61" s="59">
        <f t="shared" si="14"/>
        <v>932.64648872364614</v>
      </c>
      <c r="CY61" s="59">
        <f ca="1">AVERAGE(OFFSET($CX$3,0,0,'Données projet'!$E$13+1,1))-AVERAGE(OFFSET($H$3,0,0,'Données projet'!$E$13+1,1))</f>
        <v>356.67698551373468</v>
      </c>
      <c r="CZ61" s="59">
        <f t="shared" si="42"/>
        <v>353.21836615408171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2.6235955158901598</v>
      </c>
      <c r="DG61" s="21">
        <f>EXP(-LN(2)/25)*DG60+(1-EXP(-LN(2)/25))/(LN(2)/25)*Calculateur!DB61*Calculateur!DD61*VLOOKUP('Données projet'!$B$13,Paramètres!$A$1:$I$89,3,0)*0.475*44/12</f>
        <v>13.882387189824884</v>
      </c>
      <c r="DH61" s="21">
        <f>EXP(-LN(2)/2)*DH60+(1-EXP(-LN(2)/2))/(LN(2)/2)*DB61*DE61*VLOOKUP('Données projet'!$B$13,Paramètres!$A$1:$I$89,3,0)*0.475*44/12</f>
        <v>1.9849907452658229E-3</v>
      </c>
      <c r="DI61" s="22">
        <f t="shared" si="15"/>
        <v>16.507967696460312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11.4</v>
      </c>
      <c r="DO61" s="12">
        <f>IF('Données projet'!$A$166&gt;35,DO60+DN61-DW60,IF(A61&lt;'Données projet'!$A$166,$DL$205^A61,IF(A61='Données projet'!$A$166,'Données projet'!$B$166,DO60+DN61-DW60)))</f>
        <v>364.19999999999982</v>
      </c>
      <c r="DP61" s="17">
        <f>DO61*VLOOKUP('Données projet'!$B$14,Paramètres!$A$1:$I$89,3,0)*VLOOKUP('Données projet'!$B$14,Paramètres!$A$1:$I$89,5,0)</f>
        <v>217.7915999999999</v>
      </c>
      <c r="DQ61" s="13">
        <f t="shared" si="43"/>
        <v>53.634619420976641</v>
      </c>
      <c r="DR61" s="20">
        <f t="shared" si="16"/>
        <v>472.73399882486751</v>
      </c>
      <c r="DS61" s="59">
        <f t="shared" si="17"/>
        <v>766.06733215820077</v>
      </c>
      <c r="DT61" s="59">
        <f ca="1">AVERAGE(OFFSET($DS$3,0,0,'Données projet'!$E$14+1,1))-AVERAGE(OFFSET($H$3,0,0,'Données projet'!$E$14+1,1))</f>
        <v>247.30892363953825</v>
      </c>
      <c r="DU61" s="59">
        <f t="shared" si="44"/>
        <v>248.38414731596578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5.9118668200184601</v>
      </c>
      <c r="EC61" s="21">
        <f>EXP(-LN(2)/2)*EC60+(1-EXP(-LN(2)/2))/(LN(2)/2)*DW61*DZ61*VLOOKUP('Données projet'!$B$14,Paramètres!$A$1:$I$89,3,0)*0.475*44/12</f>
        <v>1.4483251876110212E-3</v>
      </c>
      <c r="ED61" s="22">
        <f t="shared" si="18"/>
        <v>5.913315145206071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11.4</v>
      </c>
      <c r="EJ61" s="12">
        <f>IF('Données projet'!$A$192&gt;35,EJ60+EI61-ER60,IF(A61&lt;'Données projet'!$A$192,$EG$205^A61,IF(A61='Données projet'!$A$192,'Données projet'!$B$192,EJ60+EI61-ER60)))</f>
        <v>364.19999999999982</v>
      </c>
      <c r="EK61" s="17">
        <f>EJ61*VLOOKUP('Données projet'!$B$15,Paramètres!$A$1:$I$89,3,0)*VLOOKUP('Données projet'!$B$15,Paramètres!$A$1:$I$89,5,0)</f>
        <v>217.7915999999999</v>
      </c>
      <c r="EL61" s="13">
        <f t="shared" si="45"/>
        <v>53.634619420976641</v>
      </c>
      <c r="EM61" s="20">
        <f t="shared" si="19"/>
        <v>472.73399882486751</v>
      </c>
      <c r="EN61" s="59">
        <f t="shared" si="20"/>
        <v>766.06733215820077</v>
      </c>
      <c r="EO61" s="59">
        <f ca="1">AVERAGE(OFFSET($EN$3,0,0,'Données projet'!$E$15+1,1))-AVERAGE(OFFSET($H$3,0,0,'Données projet'!$E$15+1,1))</f>
        <v>247.30892363953825</v>
      </c>
      <c r="EP61" s="59">
        <f t="shared" si="46"/>
        <v>248.38414731596578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5.9118668200184601</v>
      </c>
      <c r="EX61" s="21">
        <f>EXP(-LN(2)/2)*EX60+(1-EXP(-LN(2)/2))/(LN(2)/2)*ER61*EU61*VLOOKUP('Données projet'!$B$15,Paramètres!$A$1:$I$89,3,0)*0.475*44/12</f>
        <v>1.4483251876110212E-3</v>
      </c>
      <c r="EY61" s="22">
        <f t="shared" si="21"/>
        <v>5.913315145206071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21.2</v>
      </c>
      <c r="FE61" s="12">
        <f>IF('Données projet'!$A$218&gt;35,FE60+FD61-FM60,IF(A61&lt;'Données projet'!$A$218,$FB$205^A61,IF(A61='Données projet'!$A$218,'Données projet'!$B$218,FE60+FD61-FM60)))</f>
        <v>587.60000000000014</v>
      </c>
      <c r="FF61" s="17">
        <f>FE61*VLOOKUP('Données projet'!$B$16,Paramètres!$A$1:$I$89,3,0)*VLOOKUP('Données projet'!$B$16,Paramètres!$A$1:$I$89,5,0)</f>
        <v>282.63560000000007</v>
      </c>
      <c r="FG61" s="13">
        <f t="shared" si="47"/>
        <v>67.52368286083653</v>
      </c>
      <c r="FH61" s="20">
        <f t="shared" si="22"/>
        <v>609.8607509826237</v>
      </c>
      <c r="FI61" s="59">
        <f t="shared" si="23"/>
        <v>903.19408431595707</v>
      </c>
      <c r="FJ61" s="59">
        <f ca="1">AVERAGE(OFFSET($FI$3,0,0,'Données projet'!$E$16+1,1))-AVERAGE(OFFSET($H$3,0,0,'Données projet'!$E$16+1,1))</f>
        <v>322.54393676667081</v>
      </c>
      <c r="FK61" s="59">
        <f t="shared" si="48"/>
        <v>296.73904998640018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3.8700212925422925</v>
      </c>
      <c r="FR61" s="21">
        <f>EXP(-LN(2)/25)*FR60+(1-EXP(-LN(2)/25))/(LN(2)/25)*Calculateur!FM61*Calculateur!FO61*VLOOKUP('Données projet'!$B$16,Paramètres!$A$1:$I$89,3,0)*0.475*44/12</f>
        <v>6.1759019636451411</v>
      </c>
      <c r="FS61" s="21">
        <f>EXP(-LN(2)/2)*FS60+(1-EXP(-LN(2)/2))/(LN(2)/2)*FM61*FP61*VLOOKUP('Données projet'!$B$16,Paramètres!$A$1:$I$89,3,0)*0.475*44/12</f>
        <v>1.2764150041646018E-3</v>
      </c>
      <c r="FT61" s="22">
        <f t="shared" si="24"/>
        <v>10.047199671191599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1018.9941013134346</v>
      </c>
      <c r="S62" s="59">
        <f ca="1">AVERAGE(OFFSET($R$3,0,0,'Données projet'!$E$9+1,1))-AVERAGE(OFFSET($H$3,0,0,'Données projet'!$E$9+1,1))</f>
        <v>401.06118089678654</v>
      </c>
      <c r="T62" s="59">
        <f t="shared" si="34"/>
        <v>399.58193819355591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8.8000000000000007</v>
      </c>
      <c r="AI62" s="13">
        <f>IF('Données projet'!$A$62&gt;35,AI61+AH62-AQ61,IF(A62&lt;'Données projet'!$A$62,$AF$205^A62,IF(A62='Données projet'!$A$62,'Données projet'!$B$62,AI61+AH62-AQ61)))</f>
        <v>342.20000000000027</v>
      </c>
      <c r="AJ62" s="13">
        <f>AI62*VLOOKUP('Données projet'!$B$10,Paramètres!$A$1:$I$89,3,0)*VLOOKUP('Données projet'!$B$10,Paramètres!$A$1:$I$89,5,0)</f>
        <v>213.53280000000015</v>
      </c>
      <c r="AK62" s="13">
        <f t="shared" si="35"/>
        <v>52.706840209271277</v>
      </c>
      <c r="AL62" s="20">
        <f t="shared" si="4"/>
        <v>463.70070669781438</v>
      </c>
      <c r="AM62" s="59">
        <f t="shared" si="5"/>
        <v>757.0340400311477</v>
      </c>
      <c r="AN62" s="59">
        <f ca="1">AVERAGE(OFFSET($AM$3,0,0,'Données projet'!$E$10+1,1))-AVERAGE(OFFSET($H$3,0,0,'Données projet'!$E$10+1,1))</f>
        <v>240.30073883588199</v>
      </c>
      <c r="AO62" s="59">
        <f t="shared" si="36"/>
        <v>263.20351282678843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3.9153210439795774</v>
      </c>
      <c r="AV62" s="21">
        <f>EXP(-LN(2)/25)*AV61+(1-EXP(-LN(2)/25))/(LN(2)/25)*Calculateur!AQ62*Calculateur!AS62*VLOOKUP('Données projet'!$B$10,Paramètres!$A$1:$I$89,3,0)*0.475*44/12</f>
        <v>9.3028496209616165</v>
      </c>
      <c r="AW62" s="21">
        <f>EXP(-LN(2)/2)*AW61+(1-EXP(-LN(2)/2))/(LN(2)/2)*AQ62*AT62*VLOOKUP('Données projet'!$B$10,Paramètres!$A$1:$I$89,3,0)*0.475*44/12</f>
        <v>8.7140274416280686E-4</v>
      </c>
      <c r="AX62" s="21">
        <f t="shared" si="6"/>
        <v>13.219042067685358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20</v>
      </c>
      <c r="BD62" s="12">
        <f>IF('Données projet'!$A$88&gt;35,BD61+BC62-BL61,IF(A62&lt;'Données projet'!$A$88,$BA$205^A62,IF(A62='Données projet'!$A$88,'Données projet'!$B$88,BD61+BC62-BL61)))</f>
        <v>662</v>
      </c>
      <c r="BE62" s="13">
        <f>BD62*VLOOKUP('Données projet'!$B$11,Paramètres!$A$1:$I$89,3,0)*VLOOKUP('Données projet'!$B$11,Paramètres!$A$1:$I$89,5,0)</f>
        <v>318.42200000000003</v>
      </c>
      <c r="BF62" s="13">
        <f t="shared" si="37"/>
        <v>75.024925669494053</v>
      </c>
      <c r="BG62" s="20">
        <f t="shared" si="7"/>
        <v>685.2533955410355</v>
      </c>
      <c r="BH62" s="59">
        <f t="shared" si="8"/>
        <v>978.58672887436887</v>
      </c>
      <c r="BI62" s="59">
        <f ca="1">AVERAGE(OFFSET($BH$3,0,0,'Données projet'!$E$11+1,1))-AVERAGE(OFFSET($H$3,0,0,'Données projet'!$E$11+1,1))</f>
        <v>364.67510777943329</v>
      </c>
      <c r="BJ62" s="59">
        <f t="shared" si="38"/>
        <v>352.13878061387169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4.979798952811529</v>
      </c>
      <c r="BQ62" s="21">
        <f>EXP(-LN(2)/25)*BQ61+(1-EXP(-LN(2)/25))/(LN(2)/25)*Calculateur!BL62*Calculateur!BN62*VLOOKUP('Données projet'!$B$11,Paramètres!$A$1:$I$89,3,0)*0.475*44/12</f>
        <v>8.0620467510159148</v>
      </c>
      <c r="BR62" s="21">
        <f>EXP(-LN(2)/2)*BR61+(1-EXP(-LN(2)/2))/(LN(2)/2)*BL62*BO62*VLOOKUP('Données projet'!$B$11,Paramètres!$A$1:$I$89,3,0)*0.475*44/12</f>
        <v>1.185713997775987E-3</v>
      </c>
      <c r="BS62" s="22">
        <f t="shared" si="9"/>
        <v>13.043031417825221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13.499999999999996</v>
      </c>
      <c r="BY62" s="12">
        <f>IF('Données projet'!$A$114&gt;35,BY61+BX62-CG61,IF(A62&lt;'Données projet'!$A$114,$BV$205^A62,IF(A62='Données projet'!$A$114,'Données projet'!$B$114,BY61+BX62-CG61)))</f>
        <v>361.29999999999984</v>
      </c>
      <c r="BZ62" s="13">
        <f>BY62*VLOOKUP('Données projet'!$B$12,Paramètres!$A$1:$I$89,3,0)*VLOOKUP('Données projet'!$B$12,Paramètres!$A$1:$I$89,5,0)</f>
        <v>169.08839999999992</v>
      </c>
      <c r="CA62" s="13">
        <f t="shared" si="39"/>
        <v>42.885791664164614</v>
      </c>
      <c r="CB62" s="20">
        <f t="shared" si="10"/>
        <v>369.18838381508658</v>
      </c>
      <c r="CC62" s="59">
        <f t="shared" si="11"/>
        <v>662.52171714841984</v>
      </c>
      <c r="CD62" s="59">
        <f ca="1">AVERAGE(OFFSET($CC$3,0,0,'Données projet'!$E$12+1,1))-AVERAGE(OFFSET($H$3,0,0,'Données projet'!$E$12+1,1))</f>
        <v>252.98248842635206</v>
      </c>
      <c r="CE62" s="59">
        <f t="shared" si="40"/>
        <v>207.11938580878308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1.765040709915437</v>
      </c>
      <c r="CL62" s="21">
        <f>EXP(-LN(2)/25)*CL61+(1-EXP(-LN(2)/25))/(LN(2)/25)*Calculateur!CG62*Calculateur!CI62*VLOOKUP('Données projet'!$B$12,Paramètres!$A$1:$I$89,3,0)*0.475*44/12</f>
        <v>3.5154187703024742</v>
      </c>
      <c r="CM62" s="21">
        <f>EXP(-LN(2)/2)*CM61+(1-EXP(-LN(2)/2))/(LN(2)/2)*CG62*CJ62*VLOOKUP('Données projet'!$B$12,Paramètres!$A$1:$I$89,3,0)*0.475*44/12</f>
        <v>4.2434073871094831E-4</v>
      </c>
      <c r="CN62" s="22">
        <f t="shared" si="12"/>
        <v>5.280883820956622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16.2</v>
      </c>
      <c r="CT62" s="12">
        <f>IF('Données projet'!$A$140&gt;35,CT61+CS62-DB61,IF(A62&lt;'Données projet'!$A$140,$CQ$205^A62,IF(A62='Données projet'!$A$140,'Données projet'!$B$140,CT61+CS62-DB61)))</f>
        <v>546.79999999999984</v>
      </c>
      <c r="CU62" s="17">
        <f>CT62*VLOOKUP('Données projet'!$B$13,Paramètres!$A$1:$I$89,3,0)*VLOOKUP('Données projet'!$B$13,Paramètres!$A$1:$I$89,5,0)</f>
        <v>305.66119999999995</v>
      </c>
      <c r="CV62" s="13">
        <f t="shared" si="41"/>
        <v>72.361974072085076</v>
      </c>
      <c r="CW62" s="20">
        <f t="shared" si="13"/>
        <v>658.39036150888137</v>
      </c>
      <c r="CX62" s="59">
        <f t="shared" si="14"/>
        <v>951.72369484221463</v>
      </c>
      <c r="CY62" s="59">
        <f ca="1">AVERAGE(OFFSET($CX$3,0,0,'Données projet'!$E$13+1,1))-AVERAGE(OFFSET($H$3,0,0,'Données projet'!$E$13+1,1))</f>
        <v>356.67698551373468</v>
      </c>
      <c r="CZ62" s="59">
        <f t="shared" si="42"/>
        <v>353.21836615408171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2.5721484080588084</v>
      </c>
      <c r="DG62" s="21">
        <f>EXP(-LN(2)/25)*DG61+(1-EXP(-LN(2)/25))/(LN(2)/25)*Calculateur!DB62*Calculateur!DD62*VLOOKUP('Données projet'!$B$13,Paramètres!$A$1:$I$89,3,0)*0.475*44/12</f>
        <v>13.502772582076108</v>
      </c>
      <c r="DH62" s="21">
        <f>EXP(-LN(2)/2)*DH61+(1-EXP(-LN(2)/2))/(LN(2)/2)*DB62*DE62*VLOOKUP('Données projet'!$B$13,Paramètres!$A$1:$I$89,3,0)*0.475*44/12</f>
        <v>1.4036004165700021E-3</v>
      </c>
      <c r="DI62" s="22">
        <f t="shared" si="15"/>
        <v>16.076324590551486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11.4</v>
      </c>
      <c r="DO62" s="12">
        <f>IF('Données projet'!$A$166&gt;35,DO61+DN62-DW61,IF(A62&lt;'Données projet'!$A$166,$DL$205^A62,IF(A62='Données projet'!$A$166,'Données projet'!$B$166,DO61+DN62-DW61)))</f>
        <v>375.5999999999998</v>
      </c>
      <c r="DP62" s="17">
        <f>DO62*VLOOKUP('Données projet'!$B$14,Paramètres!$A$1:$I$89,3,0)*VLOOKUP('Données projet'!$B$14,Paramètres!$A$1:$I$89,5,0)</f>
        <v>224.60879999999992</v>
      </c>
      <c r="DQ62" s="13">
        <f t="shared" si="43"/>
        <v>55.11537373670501</v>
      </c>
      <c r="DR62" s="20">
        <f t="shared" si="16"/>
        <v>487.1862692580944</v>
      </c>
      <c r="DS62" s="59">
        <f t="shared" si="17"/>
        <v>780.51960259142766</v>
      </c>
      <c r="DT62" s="59">
        <f ca="1">AVERAGE(OFFSET($DS$3,0,0,'Données projet'!$E$14+1,1))-AVERAGE(OFFSET($H$3,0,0,'Données projet'!$E$14+1,1))</f>
        <v>247.30892363953825</v>
      </c>
      <c r="DU62" s="59">
        <f t="shared" si="44"/>
        <v>248.38414731596578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5.7502065109334906</v>
      </c>
      <c r="EC62" s="21">
        <f>EXP(-LN(2)/2)*EC61+(1-EXP(-LN(2)/2))/(LN(2)/2)*DW62*DZ62*VLOOKUP('Données projet'!$B$14,Paramètres!$A$1:$I$89,3,0)*0.475*44/12</f>
        <v>1.0241205615230317E-3</v>
      </c>
      <c r="ED62" s="22">
        <f t="shared" si="18"/>
        <v>5.7512306314950132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11.4</v>
      </c>
      <c r="EJ62" s="12">
        <f>IF('Données projet'!$A$192&gt;35,EJ61+EI62-ER61,IF(A62&lt;'Données projet'!$A$192,$EG$205^A62,IF(A62='Données projet'!$A$192,'Données projet'!$B$192,EJ61+EI62-ER61)))</f>
        <v>375.5999999999998</v>
      </c>
      <c r="EK62" s="17">
        <f>EJ62*VLOOKUP('Données projet'!$B$15,Paramètres!$A$1:$I$89,3,0)*VLOOKUP('Données projet'!$B$15,Paramètres!$A$1:$I$89,5,0)</f>
        <v>224.60879999999992</v>
      </c>
      <c r="EL62" s="13">
        <f t="shared" si="45"/>
        <v>55.11537373670501</v>
      </c>
      <c r="EM62" s="20">
        <f t="shared" si="19"/>
        <v>487.1862692580944</v>
      </c>
      <c r="EN62" s="59">
        <f t="shared" si="20"/>
        <v>780.51960259142766</v>
      </c>
      <c r="EO62" s="59">
        <f ca="1">AVERAGE(OFFSET($EN$3,0,0,'Données projet'!$E$15+1,1))-AVERAGE(OFFSET($H$3,0,0,'Données projet'!$E$15+1,1))</f>
        <v>247.30892363953825</v>
      </c>
      <c r="EP62" s="59">
        <f t="shared" si="46"/>
        <v>248.38414731596578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5.7502065109334906</v>
      </c>
      <c r="EX62" s="21">
        <f>EXP(-LN(2)/2)*EX61+(1-EXP(-LN(2)/2))/(LN(2)/2)*ER62*EU62*VLOOKUP('Données projet'!$B$15,Paramètres!$A$1:$I$89,3,0)*0.475*44/12</f>
        <v>1.0241205615230317E-3</v>
      </c>
      <c r="EY62" s="22">
        <f t="shared" si="21"/>
        <v>5.7512306314950132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21.2</v>
      </c>
      <c r="FE62" s="12">
        <f>IF('Données projet'!$A$218&gt;35,FE61+FD62-FM61,IF(A62&lt;'Données projet'!$A$218,$FB$205^A62,IF(A62='Données projet'!$A$218,'Données projet'!$B$218,FE61+FD62-FM61)))</f>
        <v>608.80000000000018</v>
      </c>
      <c r="FF62" s="17">
        <f>FE62*VLOOKUP('Données projet'!$B$16,Paramètres!$A$1:$I$89,3,0)*VLOOKUP('Données projet'!$B$16,Paramètres!$A$1:$I$89,5,0)</f>
        <v>292.83280000000008</v>
      </c>
      <c r="FG62" s="13">
        <f t="shared" si="47"/>
        <v>69.67183508878297</v>
      </c>
      <c r="FH62" s="20">
        <f t="shared" si="22"/>
        <v>631.36223944629717</v>
      </c>
      <c r="FI62" s="59">
        <f t="shared" si="23"/>
        <v>924.69557277963054</v>
      </c>
      <c r="FJ62" s="59">
        <f ca="1">AVERAGE(OFFSET($FI$3,0,0,'Données projet'!$E$16+1,1))-AVERAGE(OFFSET($H$3,0,0,'Données projet'!$E$16+1,1))</f>
        <v>322.54393676667081</v>
      </c>
      <c r="FK62" s="59">
        <f t="shared" si="48"/>
        <v>296.73904998640018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3.7941325354754487</v>
      </c>
      <c r="FR62" s="21">
        <f>EXP(-LN(2)/25)*FR61+(1-EXP(-LN(2)/25))/(LN(2)/25)*Calculateur!FM62*Calculateur!FO62*VLOOKUP('Données projet'!$B$16,Paramètres!$A$1:$I$89,3,0)*0.475*44/12</f>
        <v>6.0070215996726954</v>
      </c>
      <c r="FS62" s="21">
        <f>EXP(-LN(2)/2)*FS61+(1-EXP(-LN(2)/2))/(LN(2)/2)*FM62*FP62*VLOOKUP('Données projet'!$B$16,Paramètres!$A$1:$I$89,3,0)*0.475*44/12</f>
        <v>9.0256170505304521E-4</v>
      </c>
      <c r="FT62" s="22">
        <f t="shared" si="24"/>
        <v>9.8020566968531959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1040.1361803404354</v>
      </c>
      <c r="S63" s="59">
        <f ca="1">AVERAGE(OFFSET($R$3,0,0,'Données projet'!$E$9+1,1))-AVERAGE(OFFSET($H$3,0,0,'Données projet'!$E$9+1,1))</f>
        <v>401.06118089678654</v>
      </c>
      <c r="T63" s="59">
        <f t="shared" si="34"/>
        <v>399.58193819355591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351</v>
      </c>
      <c r="AG63" s="12">
        <f>VLOOKUP(A63,'Données projet'!$A$61:$I$81,9,0)</f>
        <v>8.8000000000000007</v>
      </c>
      <c r="AH63" s="12">
        <f t="array" ref="AH63">INDEX(AG:AG,MIN(IF(ISNUMBER(AG63:AG259),ROW(AG63:AG259),"")))</f>
        <v>8.8000000000000007</v>
      </c>
      <c r="AI63" s="13">
        <f>IF('Données projet'!$A$62&gt;35,AI62+AH63-AQ62,IF(A63&lt;'Données projet'!$A$62,$AF$205^A63,IF(A63='Données projet'!$A$62,'Données projet'!$B$62,AI62+AH63-AQ62)))</f>
        <v>351.00000000000028</v>
      </c>
      <c r="AJ63" s="13">
        <f>AI63*VLOOKUP('Données projet'!$B$10,Paramètres!$A$1:$I$89,3,0)*VLOOKUP('Données projet'!$B$10,Paramètres!$A$1:$I$89,5,0)</f>
        <v>219.02400000000017</v>
      </c>
      <c r="AK63" s="13">
        <f t="shared" si="35"/>
        <v>53.902702081308355</v>
      </c>
      <c r="AL63" s="20">
        <f t="shared" si="4"/>
        <v>475.34733945827901</v>
      </c>
      <c r="AM63" s="59">
        <f t="shared" si="5"/>
        <v>768.68067279161232</v>
      </c>
      <c r="AN63" s="59">
        <f ca="1">AVERAGE(OFFSET($AM$3,0,0,'Données projet'!$E$10+1,1))-AVERAGE(OFFSET($H$3,0,0,'Données projet'!$E$10+1,1))</f>
        <v>240.30073883588199</v>
      </c>
      <c r="AO63" s="59">
        <f t="shared" si="36"/>
        <v>263.20351282678843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3.8385439864171684</v>
      </c>
      <c r="AV63" s="21">
        <f>EXP(-LN(2)/25)*AV62+(1-EXP(-LN(2)/25))/(LN(2)/25)*Calculateur!AQ63*Calculateur!AS63*VLOOKUP('Données projet'!$B$10,Paramètres!$A$1:$I$89,3,0)*0.475*44/12</f>
        <v>9.0484627088608214</v>
      </c>
      <c r="AW63" s="21">
        <f>EXP(-LN(2)/2)*AW62+(1-EXP(-LN(2)/2))/(LN(2)/2)*AQ63*AT63*VLOOKUP('Données projet'!$B$10,Paramètres!$A$1:$I$89,3,0)*0.475*44/12</f>
        <v>6.1617478954208691E-4</v>
      </c>
      <c r="AX63" s="21">
        <f t="shared" si="6"/>
        <v>12.887622870067531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682</v>
      </c>
      <c r="BB63" s="12">
        <f>VLOOKUP(A63,'Données projet'!$A$87:$I$107,9,0)</f>
        <v>20</v>
      </c>
      <c r="BC63" s="12">
        <f t="array" ref="BC63">INDEX(BB:BB,MIN(IF(ISNUMBER(BB63:BB259),ROW(BB63:BB259),"")))</f>
        <v>20</v>
      </c>
      <c r="BD63" s="12">
        <f>IF('Données projet'!$A$88&gt;35,BD62+BC63-BL62,IF(A63&lt;'Données projet'!$A$88,$BA$205^A63,IF(A63='Données projet'!$A$88,'Données projet'!$B$88,BD62+BC63-BL62)))</f>
        <v>682</v>
      </c>
      <c r="BE63" s="13">
        <f>BD63*VLOOKUP('Données projet'!$B$11,Paramètres!$A$1:$I$89,3,0)*VLOOKUP('Données projet'!$B$11,Paramètres!$A$1:$I$89,5,0)</f>
        <v>328.04200000000003</v>
      </c>
      <c r="BF63" s="13">
        <f t="shared" si="37"/>
        <v>77.024223325762577</v>
      </c>
      <c r="BG63" s="20">
        <f t="shared" si="7"/>
        <v>705.49033895903665</v>
      </c>
      <c r="BH63" s="59">
        <f t="shared" si="8"/>
        <v>998.82367229237002</v>
      </c>
      <c r="BI63" s="59">
        <f ca="1">AVERAGE(OFFSET($BH$3,0,0,'Données projet'!$E$11+1,1))-AVERAGE(OFFSET($H$3,0,0,'Données projet'!$E$11+1,1))</f>
        <v>364.67510777943329</v>
      </c>
      <c r="BJ63" s="59">
        <f t="shared" si="38"/>
        <v>352.13878061387169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107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4.8821481327243399</v>
      </c>
      <c r="BQ63" s="21">
        <f>EXP(-LN(2)/25)*BQ62+(1-EXP(-LN(2)/25))/(LN(2)/25)*Calculateur!BL63*Calculateur!BN63*VLOOKUP('Données projet'!$B$11,Paramètres!$A$1:$I$89,3,0)*0.475*44/12</f>
        <v>7.8415896586447724</v>
      </c>
      <c r="BR63" s="21">
        <f>EXP(-LN(2)/2)*BR62+(1-EXP(-LN(2)/2))/(LN(2)/2)*BL63*BO63*VLOOKUP('Données projet'!$B$11,Paramètres!$A$1:$I$89,3,0)*0.475*44/12</f>
        <v>8.3842640837521133E-4</v>
      </c>
      <c r="BS63" s="22">
        <f t="shared" si="9"/>
        <v>12.724576217777487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374.79999999999995</v>
      </c>
      <c r="BW63" s="12">
        <f>VLOOKUP(A63,'Données projet'!$A$113:$I$133,9,0)</f>
        <v>13.499999999999996</v>
      </c>
      <c r="BX63" s="12">
        <f t="array" ref="BX63">INDEX(BW:BW,MIN(IF(ISNUMBER(BW63:BW259),ROW(BW63:BW259),"")))</f>
        <v>13.499999999999996</v>
      </c>
      <c r="BY63" s="12">
        <f>IF('Données projet'!$A$114&gt;35,BY62+BX63-CG62,IF(A63&lt;'Données projet'!$A$114,$BV$205^A63,IF(A63='Données projet'!$A$114,'Données projet'!$B$114,BY62+BX63-CG62)))</f>
        <v>374.79999999999984</v>
      </c>
      <c r="BZ63" s="13">
        <f>BY63*VLOOKUP('Données projet'!$B$12,Paramètres!$A$1:$I$89,3,0)*VLOOKUP('Données projet'!$B$12,Paramètres!$A$1:$I$89,5,0)</f>
        <v>175.40639999999993</v>
      </c>
      <c r="CA63" s="13">
        <f t="shared" si="39"/>
        <v>44.298662258322672</v>
      </c>
      <c r="CB63" s="20">
        <f t="shared" si="10"/>
        <v>382.65298343324525</v>
      </c>
      <c r="CC63" s="59">
        <f t="shared" si="11"/>
        <v>675.98631676657851</v>
      </c>
      <c r="CD63" s="59">
        <f ca="1">AVERAGE(OFFSET($CC$3,0,0,'Données projet'!$E$12+1,1))-AVERAGE(OFFSET($H$3,0,0,'Données projet'!$E$12+1,1))</f>
        <v>252.98248842635206</v>
      </c>
      <c r="CE63" s="59">
        <f t="shared" si="40"/>
        <v>207.11938580878308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83.4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1.730429338162526</v>
      </c>
      <c r="CL63" s="21">
        <f>EXP(-LN(2)/25)*CL62+(1-EXP(-LN(2)/25))/(LN(2)/25)*Calculateur!CG63*Calculateur!CI63*VLOOKUP('Données projet'!$B$12,Paramètres!$A$1:$I$89,3,0)*0.475*44/12</f>
        <v>3.4192894591607144</v>
      </c>
      <c r="CM63" s="21">
        <f>EXP(-LN(2)/2)*CM62+(1-EXP(-LN(2)/2))/(LN(2)/2)*CG63*CJ63*VLOOKUP('Données projet'!$B$12,Paramètres!$A$1:$I$89,3,0)*0.475*44/12</f>
        <v>3.0005421387622046E-4</v>
      </c>
      <c r="CN63" s="22">
        <f t="shared" si="12"/>
        <v>5.1500188515371166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563</v>
      </c>
      <c r="CR63" s="12">
        <f>VLOOKUP(A63,'Données projet'!$A$139:$I$159,9,0)</f>
        <v>16.2</v>
      </c>
      <c r="CS63" s="12">
        <f t="array" ref="CS63">INDEX(CR:CR,MIN(IF(ISNUMBER(CR63:CR259),ROW(CR63:CR259),"")))</f>
        <v>16.2</v>
      </c>
      <c r="CT63" s="12">
        <f>IF('Données projet'!$A$140&gt;35,CT62+CS63-DB62,IF(A63&lt;'Données projet'!$A$140,$CQ$205^A63,IF(A63='Données projet'!$A$140,'Données projet'!$B$140,CT62+CS63-DB62)))</f>
        <v>562.99999999999989</v>
      </c>
      <c r="CU63" s="17">
        <f>CT63*VLOOKUP('Données projet'!$B$13,Paramètres!$A$1:$I$89,3,0)*VLOOKUP('Données projet'!$B$13,Paramètres!$A$1:$I$89,5,0)</f>
        <v>314.71699999999993</v>
      </c>
      <c r="CV63" s="13">
        <f t="shared" si="41"/>
        <v>74.253060032718466</v>
      </c>
      <c r="CW63" s="20">
        <f t="shared" si="13"/>
        <v>677.45618789031789</v>
      </c>
      <c r="CX63" s="59">
        <f t="shared" si="14"/>
        <v>970.78952122365126</v>
      </c>
      <c r="CY63" s="59">
        <f ca="1">AVERAGE(OFFSET($CX$3,0,0,'Données projet'!$E$13+1,1))-AVERAGE(OFFSET($H$3,0,0,'Données projet'!$E$13+1,1))</f>
        <v>356.67698551373468</v>
      </c>
      <c r="CZ63" s="59">
        <f t="shared" si="42"/>
        <v>353.21836615408171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83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2.5217101466323926</v>
      </c>
      <c r="DG63" s="21">
        <f>EXP(-LN(2)/25)*DG62+(1-EXP(-LN(2)/25))/(LN(2)/25)*Calculateur!DB63*Calculateur!DD63*VLOOKUP('Données projet'!$B$13,Paramètres!$A$1:$I$89,3,0)*0.475*44/12</f>
        <v>13.133538555739289</v>
      </c>
      <c r="DH63" s="21">
        <f>EXP(-LN(2)/2)*DH62+(1-EXP(-LN(2)/2))/(LN(2)/2)*DB63*DE63*VLOOKUP('Données projet'!$B$13,Paramètres!$A$1:$I$89,3,0)*0.475*44/12</f>
        <v>9.9249537263291143E-4</v>
      </c>
      <c r="DI63" s="22">
        <f t="shared" si="15"/>
        <v>15.656241197744315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387</v>
      </c>
      <c r="DM63" s="12">
        <f>VLOOKUP(A63,'Données projet'!$A$165:$I$185,9,0)</f>
        <v>11.4</v>
      </c>
      <c r="DN63" s="12">
        <f t="array" ref="DN63">INDEX(DM:DM,MIN(IF(ISNUMBER(DM63:DM259),ROW(DM63:DM259),"")))</f>
        <v>11.4</v>
      </c>
      <c r="DO63" s="12">
        <f>IF('Données projet'!$A$166&gt;35,DO62+DN63-DW62,IF(A63&lt;'Données projet'!$A$166,$DL$205^A63,IF(A63='Données projet'!$A$166,'Données projet'!$B$166,DO62+DN63-DW62)))</f>
        <v>386.99999999999977</v>
      </c>
      <c r="DP63" s="17">
        <f>DO63*VLOOKUP('Données projet'!$B$14,Paramètres!$A$1:$I$89,3,0)*VLOOKUP('Données projet'!$B$14,Paramètres!$A$1:$I$89,5,0)</f>
        <v>231.42599999999987</v>
      </c>
      <c r="DQ63" s="13">
        <f t="shared" si="43"/>
        <v>56.590905067453171</v>
      </c>
      <c r="DR63" s="20">
        <f t="shared" si="16"/>
        <v>501.62944299248062</v>
      </c>
      <c r="DS63" s="59">
        <f t="shared" si="17"/>
        <v>794.96277632581393</v>
      </c>
      <c r="DT63" s="59">
        <f ca="1">AVERAGE(OFFSET($DS$3,0,0,'Données projet'!$E$14+1,1))-AVERAGE(OFFSET($H$3,0,0,'Données projet'!$E$14+1,1))</f>
        <v>247.30892363953825</v>
      </c>
      <c r="DU63" s="59">
        <f t="shared" si="44"/>
        <v>248.38414731596578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57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5.5929668115017961</v>
      </c>
      <c r="EC63" s="21">
        <f>EXP(-LN(2)/2)*EC62+(1-EXP(-LN(2)/2))/(LN(2)/2)*DW63*DZ63*VLOOKUP('Données projet'!$B$14,Paramètres!$A$1:$I$89,3,0)*0.475*44/12</f>
        <v>7.241625938055106E-4</v>
      </c>
      <c r="ED63" s="22">
        <f t="shared" si="18"/>
        <v>5.593690974095602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387</v>
      </c>
      <c r="EH63" s="12">
        <f>VLOOKUP(A63,'Données projet'!$A$191:$I$211,9,0)</f>
        <v>11.4</v>
      </c>
      <c r="EI63" s="12">
        <f t="array" ref="EI63">INDEX(EH:EH,MIN(IF(ISNUMBER(EH63:EH259),ROW(EH63:EH259),"")))</f>
        <v>11.4</v>
      </c>
      <c r="EJ63" s="12">
        <f>IF('Données projet'!$A$192&gt;35,EJ62+EI63-ER62,IF(A63&lt;'Données projet'!$A$192,$EG$205^A63,IF(A63='Données projet'!$A$192,'Données projet'!$B$192,EJ62+EI63-ER62)))</f>
        <v>386.99999999999977</v>
      </c>
      <c r="EK63" s="17">
        <f>EJ63*VLOOKUP('Données projet'!$B$15,Paramètres!$A$1:$I$89,3,0)*VLOOKUP('Données projet'!$B$15,Paramètres!$A$1:$I$89,5,0)</f>
        <v>231.42599999999987</v>
      </c>
      <c r="EL63" s="13">
        <f t="shared" si="45"/>
        <v>56.590905067453171</v>
      </c>
      <c r="EM63" s="20">
        <f t="shared" si="19"/>
        <v>501.62944299248062</v>
      </c>
      <c r="EN63" s="59">
        <f t="shared" si="20"/>
        <v>794.96277632581393</v>
      </c>
      <c r="EO63" s="59">
        <f ca="1">AVERAGE(OFFSET($EN$3,0,0,'Données projet'!$E$15+1,1))-AVERAGE(OFFSET($H$3,0,0,'Données projet'!$E$15+1,1))</f>
        <v>247.30892363953825</v>
      </c>
      <c r="EP63" s="59">
        <f t="shared" si="46"/>
        <v>248.38414731596578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57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5.5929668115017961</v>
      </c>
      <c r="EX63" s="21">
        <f>EXP(-LN(2)/2)*EX62+(1-EXP(-LN(2)/2))/(LN(2)/2)*ER63*EU63*VLOOKUP('Données projet'!$B$15,Paramètres!$A$1:$I$89,3,0)*0.475*44/12</f>
        <v>7.241625938055106E-4</v>
      </c>
      <c r="EY63" s="22">
        <f t="shared" si="21"/>
        <v>5.593690974095602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630</v>
      </c>
      <c r="FC63" s="12">
        <f>VLOOKUP(A63,'Données projet'!$A$217:$I$237,9,0)</f>
        <v>21.2</v>
      </c>
      <c r="FD63" s="12">
        <f t="array" ref="FD63">INDEX(FC:FC,MIN(IF(ISNUMBER(FC63:FC259),ROW(FC63:FC259),"")))</f>
        <v>21.2</v>
      </c>
      <c r="FE63" s="12">
        <f>IF('Données projet'!$A$218&gt;35,FE62+FD63-FM62,IF(A63&lt;'Données projet'!$A$218,$FB$205^A63,IF(A63='Données projet'!$A$218,'Données projet'!$B$218,FE62+FD63-FM62)))</f>
        <v>630.00000000000023</v>
      </c>
      <c r="FF63" s="17">
        <f>FE63*VLOOKUP('Données projet'!$B$16,Paramètres!$A$1:$I$89,3,0)*VLOOKUP('Données projet'!$B$16,Paramètres!$A$1:$I$89,5,0)</f>
        <v>303.03000000000009</v>
      </c>
      <c r="FG63" s="13">
        <f t="shared" si="47"/>
        <v>71.811295869366887</v>
      </c>
      <c r="FH63" s="20">
        <f t="shared" si="22"/>
        <v>652.84859030581401</v>
      </c>
      <c r="FI63" s="59">
        <f t="shared" si="23"/>
        <v>946.18192363914727</v>
      </c>
      <c r="FJ63" s="59">
        <f ca="1">AVERAGE(OFFSET($FI$3,0,0,'Données projet'!$E$16+1,1))-AVERAGE(OFFSET($H$3,0,0,'Données projet'!$E$16+1,1))</f>
        <v>322.54393676667081</v>
      </c>
      <c r="FK63" s="59">
        <f t="shared" si="48"/>
        <v>296.73904998640018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106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3.7197319106471145</v>
      </c>
      <c r="FR63" s="21">
        <f>EXP(-LN(2)/25)*FR62+(1-EXP(-LN(2)/25))/(LN(2)/25)*Calculateur!FM63*Calculateur!FO63*VLOOKUP('Données projet'!$B$16,Paramètres!$A$1:$I$89,3,0)*0.475*44/12</f>
        <v>5.8427592781341087</v>
      </c>
      <c r="FS63" s="21">
        <f>EXP(-LN(2)/2)*FS62+(1-EXP(-LN(2)/2))/(LN(2)/2)*FM63*FP63*VLOOKUP('Données projet'!$B$16,Paramètres!$A$1:$I$89,3,0)*0.475*44/12</f>
        <v>6.3820750208230088E-4</v>
      </c>
      <c r="FT63" s="22">
        <f t="shared" si="24"/>
        <v>9.5631293962833048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951.3705178258781</v>
      </c>
      <c r="S64" s="59">
        <f ca="1">AVERAGE(OFFSET($R$3,0,0,'Données projet'!$E$9+1,1))-AVERAGE(OFFSET($H$3,0,0,'Données projet'!$E$9+1,1))</f>
        <v>401.06118089678654</v>
      </c>
      <c r="T64" s="59">
        <f t="shared" si="34"/>
        <v>399.58193819355591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</v>
      </c>
      <c r="AI64" s="13">
        <f>IF('Données projet'!$A$62&gt;35,AI63+AH64-AQ63,IF(A64&lt;'Données projet'!$A$62,$AF$205^A64,IF(A64='Données projet'!$A$62,'Données projet'!$B$62,AI63+AH64-AQ63)))</f>
        <v>310.8000000000003</v>
      </c>
      <c r="AJ64" s="13">
        <f>AI64*VLOOKUP('Données projet'!$B$10,Paramètres!$A$1:$I$89,3,0)*VLOOKUP('Données projet'!$B$10,Paramètres!$A$1:$I$89,5,0)</f>
        <v>193.9392000000002</v>
      </c>
      <c r="AK64" s="13">
        <f t="shared" si="35"/>
        <v>48.409811198069427</v>
      </c>
      <c r="AL64" s="20">
        <f t="shared" si="4"/>
        <v>422.09119450330462</v>
      </c>
      <c r="AM64" s="59">
        <f t="shared" si="5"/>
        <v>715.42452783663794</v>
      </c>
      <c r="AN64" s="59">
        <f ca="1">AVERAGE(OFFSET($AM$3,0,0,'Données projet'!$E$10+1,1))-AVERAGE(OFFSET($H$3,0,0,'Données projet'!$E$10+1,1))</f>
        <v>240.30073883588199</v>
      </c>
      <c r="AO64" s="59">
        <f t="shared" si="36"/>
        <v>263.20351282678843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3.763272480124177</v>
      </c>
      <c r="AV64" s="21">
        <f>EXP(-LN(2)/25)*AV63+(1-EXP(-LN(2)/25))/(LN(2)/25)*Calculateur!AQ64*Calculateur!AS64*VLOOKUP('Données projet'!$B$10,Paramètres!$A$1:$I$89,3,0)*0.475*44/12</f>
        <v>8.8010320202490497</v>
      </c>
      <c r="AW64" s="21">
        <f>EXP(-LN(2)/2)*AW63+(1-EXP(-LN(2)/2))/(LN(2)/2)*AQ64*AT64*VLOOKUP('Données projet'!$B$10,Paramètres!$A$1:$I$89,3,0)*0.475*44/12</f>
        <v>4.3570137208140343E-4</v>
      </c>
      <c r="AX64" s="21">
        <f t="shared" si="6"/>
        <v>12.564740201745309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18.600000000000001</v>
      </c>
      <c r="BD64" s="12">
        <f>IF('Données projet'!$A$88&gt;35,BD63+BC64-BL63,IF(A64&lt;'Données projet'!$A$88,$BA$205^A64,IF(A64='Données projet'!$A$88,'Données projet'!$B$88,BD63+BC64-BL63)))</f>
        <v>593.6</v>
      </c>
      <c r="BE64" s="13">
        <f>BD64*VLOOKUP('Données projet'!$B$11,Paramètres!$A$1:$I$89,3,0)*VLOOKUP('Données projet'!$B$11,Paramètres!$A$1:$I$89,5,0)</f>
        <v>285.52160000000003</v>
      </c>
      <c r="BF64" s="13">
        <f t="shared" si="37"/>
        <v>68.132552190293055</v>
      </c>
      <c r="BG64" s="20">
        <f t="shared" si="7"/>
        <v>615.94764839809375</v>
      </c>
      <c r="BH64" s="59">
        <f t="shared" si="8"/>
        <v>909.28098173142712</v>
      </c>
      <c r="BI64" s="59">
        <f ca="1">AVERAGE(OFFSET($BH$3,0,0,'Données projet'!$E$11+1,1))-AVERAGE(OFFSET($H$3,0,0,'Données projet'!$E$11+1,1))</f>
        <v>364.67510777943329</v>
      </c>
      <c r="BJ64" s="59">
        <f t="shared" si="38"/>
        <v>352.13878061387169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4.7864121856579418</v>
      </c>
      <c r="BQ64" s="21">
        <f>EXP(-LN(2)/25)*BQ63+(1-EXP(-LN(2)/25))/(LN(2)/25)*Calculateur!BL64*Calculateur!BN64*VLOOKUP('Données projet'!$B$11,Paramètres!$A$1:$I$89,3,0)*0.475*44/12</f>
        <v>7.6271609770578532</v>
      </c>
      <c r="BR64" s="21">
        <f>EXP(-LN(2)/2)*BR63+(1-EXP(-LN(2)/2))/(LN(2)/2)*BL64*BO64*VLOOKUP('Données projet'!$B$11,Paramètres!$A$1:$I$89,3,0)*0.475*44/12</f>
        <v>5.9285699888799348E-4</v>
      </c>
      <c r="BS64" s="22">
        <f t="shared" si="9"/>
        <v>12.414166019714683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306.89999999999986</v>
      </c>
      <c r="BZ64" s="13">
        <f>BY64*VLOOKUP('Données projet'!$B$12,Paramètres!$A$1:$I$89,3,0)*VLOOKUP('Données projet'!$B$12,Paramètres!$A$1:$I$89,5,0)</f>
        <v>143.62919999999994</v>
      </c>
      <c r="CA64" s="13">
        <f t="shared" si="39"/>
        <v>37.127161849234348</v>
      </c>
      <c r="CB64" s="20">
        <f t="shared" si="10"/>
        <v>314.81733022074968</v>
      </c>
      <c r="CC64" s="59">
        <f t="shared" si="11"/>
        <v>608.15066355408294</v>
      </c>
      <c r="CD64" s="59">
        <f ca="1">AVERAGE(OFFSET($CC$3,0,0,'Données projet'!$E$12+1,1))-AVERAGE(OFFSET($H$3,0,0,'Données projet'!$E$12+1,1))</f>
        <v>252.98248842635206</v>
      </c>
      <c r="CE64" s="59">
        <f t="shared" si="40"/>
        <v>207.11938580878308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1.6964966742988374</v>
      </c>
      <c r="CL64" s="21">
        <f>EXP(-LN(2)/25)*CL63+(1-EXP(-LN(2)/25))/(LN(2)/25)*Calculateur!CG64*Calculateur!CI64*VLOOKUP('Données projet'!$B$12,Paramètres!$A$1:$I$89,3,0)*0.475*44/12</f>
        <v>3.3257888090873466</v>
      </c>
      <c r="CM64" s="21">
        <f>EXP(-LN(2)/2)*CM63+(1-EXP(-LN(2)/2))/(LN(2)/2)*CG64*CJ64*VLOOKUP('Données projet'!$B$12,Paramètres!$A$1:$I$89,3,0)*0.475*44/12</f>
        <v>2.1217036935547415E-4</v>
      </c>
      <c r="CN64" s="22">
        <f t="shared" si="12"/>
        <v>5.0224976537555399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13.4</v>
      </c>
      <c r="CT64" s="12">
        <f>IF('Données projet'!$A$140&gt;35,CT63+CS64-DB63,IF(A64&lt;'Données projet'!$A$140,$CQ$205^A64,IF(A64='Données projet'!$A$140,'Données projet'!$B$140,CT63+CS64-DB63)))</f>
        <v>493.39999999999986</v>
      </c>
      <c r="CU64" s="17">
        <f>CT64*VLOOKUP('Données projet'!$B$13,Paramètres!$A$1:$I$89,3,0)*VLOOKUP('Données projet'!$B$13,Paramètres!$A$1:$I$89,5,0)</f>
        <v>275.81059999999997</v>
      </c>
      <c r="CV64" s="13">
        <f t="shared" si="41"/>
        <v>66.080892951487996</v>
      </c>
      <c r="CW64" s="20">
        <f t="shared" si="13"/>
        <v>595.46101689050818</v>
      </c>
      <c r="CX64" s="59">
        <f t="shared" si="14"/>
        <v>888.79435022384155</v>
      </c>
      <c r="CY64" s="59">
        <f ca="1">AVERAGE(OFFSET($CX$3,0,0,'Données projet'!$E$13+1,1))-AVERAGE(OFFSET($H$3,0,0,'Données projet'!$E$13+1,1))</f>
        <v>356.67698551373468</v>
      </c>
      <c r="CZ64" s="59">
        <f t="shared" si="42"/>
        <v>353.21836615408171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2.472260948748247</v>
      </c>
      <c r="DG64" s="21">
        <f>EXP(-LN(2)/25)*DG63+(1-EXP(-LN(2)/25))/(LN(2)/25)*Calculateur!DB64*Calculateur!DD64*VLOOKUP('Données projet'!$B$13,Paramètres!$A$1:$I$89,3,0)*0.475*44/12</f>
        <v>12.774401253269822</v>
      </c>
      <c r="DH64" s="21">
        <f>EXP(-LN(2)/2)*DH63+(1-EXP(-LN(2)/2))/(LN(2)/2)*DB64*DE64*VLOOKUP('Données projet'!$B$13,Paramètres!$A$1:$I$89,3,0)*0.475*44/12</f>
        <v>7.0180020828500105E-4</v>
      </c>
      <c r="DI64" s="22">
        <f t="shared" si="15"/>
        <v>15.247364002226353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9.1999999999999993</v>
      </c>
      <c r="DO64" s="12">
        <f>IF('Données projet'!$A$166&gt;35,DO63+DN64-DW63,IF(A64&lt;'Données projet'!$A$166,$DL$205^A64,IF(A64='Données projet'!$A$166,'Données projet'!$B$166,DO63+DN64-DW63)))</f>
        <v>339.19999999999976</v>
      </c>
      <c r="DP64" s="17">
        <f>DO64*VLOOKUP('Données projet'!$B$14,Paramètres!$A$1:$I$89,3,0)*VLOOKUP('Données projet'!$B$14,Paramètres!$A$1:$I$89,5,0)</f>
        <v>202.84159999999989</v>
      </c>
      <c r="DQ64" s="13">
        <f t="shared" si="43"/>
        <v>50.368151708087709</v>
      </c>
      <c r="DR64" s="20">
        <f t="shared" si="16"/>
        <v>441.00698422491922</v>
      </c>
      <c r="DS64" s="59">
        <f t="shared" si="17"/>
        <v>734.34031755825254</v>
      </c>
      <c r="DT64" s="59">
        <f ca="1">AVERAGE(OFFSET($DS$3,0,0,'Données projet'!$E$14+1,1))-AVERAGE(OFFSET($H$3,0,0,'Données projet'!$E$14+1,1))</f>
        <v>247.30892363953825</v>
      </c>
      <c r="DU64" s="59">
        <f t="shared" si="44"/>
        <v>248.38414731596578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5.4400268399199376</v>
      </c>
      <c r="EC64" s="21">
        <f>EXP(-LN(2)/2)*EC63+(1-EXP(-LN(2)/2))/(LN(2)/2)*DW64*DZ64*VLOOKUP('Données projet'!$B$14,Paramètres!$A$1:$I$89,3,0)*0.475*44/12</f>
        <v>5.1206028076151587E-4</v>
      </c>
      <c r="ED64" s="22">
        <f t="shared" si="18"/>
        <v>5.440538900200699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9.1999999999999993</v>
      </c>
      <c r="EJ64" s="12">
        <f>IF('Données projet'!$A$192&gt;35,EJ63+EI64-ER63,IF(A64&lt;'Données projet'!$A$192,$EG$205^A64,IF(A64='Données projet'!$A$192,'Données projet'!$B$192,EJ63+EI64-ER63)))</f>
        <v>339.19999999999976</v>
      </c>
      <c r="EK64" s="17">
        <f>EJ64*VLOOKUP('Données projet'!$B$15,Paramètres!$A$1:$I$89,3,0)*VLOOKUP('Données projet'!$B$15,Paramètres!$A$1:$I$89,5,0)</f>
        <v>202.84159999999989</v>
      </c>
      <c r="EL64" s="13">
        <f t="shared" si="45"/>
        <v>50.368151708087709</v>
      </c>
      <c r="EM64" s="20">
        <f t="shared" si="19"/>
        <v>441.00698422491922</v>
      </c>
      <c r="EN64" s="59">
        <f t="shared" si="20"/>
        <v>734.34031755825254</v>
      </c>
      <c r="EO64" s="59">
        <f ca="1">AVERAGE(OFFSET($EN$3,0,0,'Données projet'!$E$15+1,1))-AVERAGE(OFFSET($H$3,0,0,'Données projet'!$E$15+1,1))</f>
        <v>247.30892363953825</v>
      </c>
      <c r="EP64" s="59">
        <f t="shared" si="46"/>
        <v>248.38414731596578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5.4400268399199376</v>
      </c>
      <c r="EX64" s="21">
        <f>EXP(-LN(2)/2)*EX63+(1-EXP(-LN(2)/2))/(LN(2)/2)*ER64*EU64*VLOOKUP('Données projet'!$B$15,Paramètres!$A$1:$I$89,3,0)*0.475*44/12</f>
        <v>5.1206028076151587E-4</v>
      </c>
      <c r="EY64" s="22">
        <f t="shared" si="21"/>
        <v>5.440538900200699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17</v>
      </c>
      <c r="FE64" s="12">
        <f>IF('Données projet'!$A$218&gt;35,FE63+FD64-FM63,IF(A64&lt;'Données projet'!$A$218,$FB$205^A64,IF(A64='Données projet'!$A$218,'Données projet'!$B$218,FE63+FD64-FM63)))</f>
        <v>541.00000000000023</v>
      </c>
      <c r="FF64" s="17">
        <f>FE64*VLOOKUP('Données projet'!$B$16,Paramètres!$A$1:$I$89,3,0)*VLOOKUP('Données projet'!$B$16,Paramètres!$A$1:$I$89,5,0)</f>
        <v>260.22100000000012</v>
      </c>
      <c r="FG64" s="13">
        <f t="shared" si="47"/>
        <v>62.769483895641194</v>
      </c>
      <c r="FH64" s="20">
        <f t="shared" si="22"/>
        <v>562.54175945157522</v>
      </c>
      <c r="FI64" s="59">
        <f t="shared" si="23"/>
        <v>855.87509278490847</v>
      </c>
      <c r="FJ64" s="59">
        <f ca="1">AVERAGE(OFFSET($FI$3,0,0,'Données projet'!$E$16+1,1))-AVERAGE(OFFSET($H$3,0,0,'Données projet'!$E$16+1,1))</f>
        <v>322.54393676667081</v>
      </c>
      <c r="FK64" s="59">
        <f t="shared" si="48"/>
        <v>296.73904998640018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3.6467902366917633</v>
      </c>
      <c r="FR64" s="21">
        <f>EXP(-LN(2)/25)*FR63+(1-EXP(-LN(2)/25))/(LN(2)/25)*Calculateur!FM64*Calculateur!FO64*VLOOKUP('Données projet'!$B$16,Paramètres!$A$1:$I$89,3,0)*0.475*44/12</f>
        <v>5.6829887184161745</v>
      </c>
      <c r="FS64" s="21">
        <f>EXP(-LN(2)/2)*FS63+(1-EXP(-LN(2)/2))/(LN(2)/2)*FM64*FP64*VLOOKUP('Données projet'!$B$16,Paramètres!$A$1:$I$89,3,0)*0.475*44/12</f>
        <v>4.5128085252652261E-4</v>
      </c>
      <c r="FT64" s="22">
        <f t="shared" si="24"/>
        <v>9.3302302359604639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968.43631865971201</v>
      </c>
      <c r="S65" s="59">
        <f ca="1">AVERAGE(OFFSET($R$3,0,0,'Données projet'!$E$9+1,1))-AVERAGE(OFFSET($H$3,0,0,'Données projet'!$E$9+1,1))</f>
        <v>401.06118089678654</v>
      </c>
      <c r="T65" s="59">
        <f t="shared" si="34"/>
        <v>399.58193819355591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</v>
      </c>
      <c r="AI65" s="13">
        <f>IF('Données projet'!$A$62&gt;35,AI64+AH65-AQ64,IF(A65&lt;'Données projet'!$A$62,$AF$205^A65,IF(A65='Données projet'!$A$62,'Données projet'!$B$62,AI64+AH65-AQ64)))</f>
        <v>317.60000000000031</v>
      </c>
      <c r="AJ65" s="13">
        <f>AI65*VLOOKUP('Données projet'!$B$10,Paramètres!$A$1:$I$89,3,0)*VLOOKUP('Données projet'!$B$10,Paramètres!$A$1:$I$89,5,0)</f>
        <v>198.1824000000002</v>
      </c>
      <c r="AK65" s="13">
        <f t="shared" si="35"/>
        <v>49.344502261104303</v>
      </c>
      <c r="AL65" s="20">
        <f t="shared" si="4"/>
        <v>431.10935477142363</v>
      </c>
      <c r="AM65" s="59">
        <f t="shared" si="5"/>
        <v>724.44268810475694</v>
      </c>
      <c r="AN65" s="59">
        <f ca="1">AVERAGE(OFFSET($AM$3,0,0,'Données projet'!$E$10+1,1))-AVERAGE(OFFSET($H$3,0,0,'Données projet'!$E$10+1,1))</f>
        <v>240.30073883588199</v>
      </c>
      <c r="AO65" s="59">
        <f t="shared" si="36"/>
        <v>263.20351282678843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3.6894770021585059</v>
      </c>
      <c r="AV65" s="21">
        <f>EXP(-LN(2)/25)*AV64+(1-EXP(-LN(2)/25))/(LN(2)/25)*Calculateur!AQ65*Calculateur!AS65*VLOOKUP('Données projet'!$B$10,Paramètres!$A$1:$I$89,3,0)*0.475*44/12</f>
        <v>8.5603673368291808</v>
      </c>
      <c r="AW65" s="21">
        <f>EXP(-LN(2)/2)*AW64+(1-EXP(-LN(2)/2))/(LN(2)/2)*AQ65*AT65*VLOOKUP('Données projet'!$B$10,Paramètres!$A$1:$I$89,3,0)*0.475*44/12</f>
        <v>3.0808739477104346E-4</v>
      </c>
      <c r="AX65" s="21">
        <f t="shared" si="6"/>
        <v>12.250152426382458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18.600000000000001</v>
      </c>
      <c r="BD65" s="12">
        <f>IF('Données projet'!$A$88&gt;35,BD64+BC65-BL64,IF(A65&lt;'Données projet'!$A$88,$BA$205^A65,IF(A65='Données projet'!$A$88,'Données projet'!$B$88,BD64+BC65-BL64)))</f>
        <v>612.20000000000005</v>
      </c>
      <c r="BE65" s="13">
        <f>BD65*VLOOKUP('Données projet'!$B$11,Paramètres!$A$1:$I$89,3,0)*VLOOKUP('Données projet'!$B$11,Paramètres!$A$1:$I$89,5,0)</f>
        <v>294.46820000000002</v>
      </c>
      <c r="BF65" s="13">
        <f t="shared" si="37"/>
        <v>70.015532562335309</v>
      </c>
      <c r="BG65" s="20">
        <f t="shared" si="7"/>
        <v>634.80916754606733</v>
      </c>
      <c r="BH65" s="59">
        <f t="shared" si="8"/>
        <v>928.14250087940059</v>
      </c>
      <c r="BI65" s="59">
        <f ca="1">AVERAGE(OFFSET($BH$3,0,0,'Données projet'!$E$11+1,1))-AVERAGE(OFFSET($H$3,0,0,'Données projet'!$E$11+1,1))</f>
        <v>364.67510777943329</v>
      </c>
      <c r="BJ65" s="59">
        <f t="shared" si="38"/>
        <v>352.13878061387169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4.692553562120354</v>
      </c>
      <c r="BQ65" s="21">
        <f>EXP(-LN(2)/25)*BQ64+(1-EXP(-LN(2)/25))/(LN(2)/25)*Calculateur!BL65*Calculateur!BN65*VLOOKUP('Données projet'!$B$11,Paramètres!$A$1:$I$89,3,0)*0.475*44/12</f>
        <v>7.4185958590452428</v>
      </c>
      <c r="BR65" s="21">
        <f>EXP(-LN(2)/2)*BR64+(1-EXP(-LN(2)/2))/(LN(2)/2)*BL65*BO65*VLOOKUP('Données projet'!$B$11,Paramètres!$A$1:$I$89,3,0)*0.475*44/12</f>
        <v>4.1921320418760567E-4</v>
      </c>
      <c r="BS65" s="22">
        <f t="shared" si="9"/>
        <v>12.111568634369783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322.39999999999986</v>
      </c>
      <c r="BZ65" s="13">
        <f>BY65*VLOOKUP('Données projet'!$B$12,Paramètres!$A$1:$I$89,3,0)*VLOOKUP('Données projet'!$B$12,Paramètres!$A$1:$I$89,5,0)</f>
        <v>150.88319999999993</v>
      </c>
      <c r="CA65" s="13">
        <f t="shared" si="39"/>
        <v>38.779227360583164</v>
      </c>
      <c r="CB65" s="20">
        <f t="shared" si="10"/>
        <v>330.32872765301551</v>
      </c>
      <c r="CC65" s="59">
        <f t="shared" si="11"/>
        <v>623.66206098634882</v>
      </c>
      <c r="CD65" s="59">
        <f ca="1">AVERAGE(OFFSET($CC$3,0,0,'Données projet'!$E$12+1,1))-AVERAGE(OFFSET($H$3,0,0,'Données projet'!$E$12+1,1))</f>
        <v>252.98248842635206</v>
      </c>
      <c r="CE65" s="59">
        <f t="shared" si="40"/>
        <v>207.11938580878308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1.6632294092766344</v>
      </c>
      <c r="CL65" s="21">
        <f>EXP(-LN(2)/25)*CL64+(1-EXP(-LN(2)/25))/(LN(2)/25)*Calculateur!CG65*Calculateur!CI65*VLOOKUP('Données projet'!$B$12,Paramètres!$A$1:$I$89,3,0)*0.475*44/12</f>
        <v>3.2348449392072207</v>
      </c>
      <c r="CM65" s="21">
        <f>EXP(-LN(2)/2)*CM64+(1-EXP(-LN(2)/2))/(LN(2)/2)*CG65*CJ65*VLOOKUP('Données projet'!$B$12,Paramètres!$A$1:$I$89,3,0)*0.475*44/12</f>
        <v>1.5002710693811023E-4</v>
      </c>
      <c r="CN65" s="22">
        <f t="shared" si="12"/>
        <v>4.898224375590793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13.4</v>
      </c>
      <c r="CT65" s="12">
        <f>IF('Données projet'!$A$140&gt;35,CT64+CS65-DB64,IF(A65&lt;'Données projet'!$A$140,$CQ$205^A65,IF(A65='Données projet'!$A$140,'Données projet'!$B$140,CT64+CS65-DB64)))</f>
        <v>506.79999999999984</v>
      </c>
      <c r="CU65" s="17">
        <f>CT65*VLOOKUP('Données projet'!$B$13,Paramètres!$A$1:$I$89,3,0)*VLOOKUP('Données projet'!$B$13,Paramètres!$A$1:$I$89,5,0)</f>
        <v>283.30119999999988</v>
      </c>
      <c r="CV65" s="13">
        <f t="shared" si="41"/>
        <v>67.664170722499449</v>
      </c>
      <c r="CW65" s="20">
        <f t="shared" si="13"/>
        <v>611.26468734168623</v>
      </c>
      <c r="CX65" s="59">
        <f t="shared" si="14"/>
        <v>904.5980206750196</v>
      </c>
      <c r="CY65" s="59">
        <f ca="1">AVERAGE(OFFSET($CX$3,0,0,'Données projet'!$E$13+1,1))-AVERAGE(OFFSET($H$3,0,0,'Données projet'!$E$13+1,1))</f>
        <v>356.67698551373468</v>
      </c>
      <c r="CZ65" s="59">
        <f t="shared" si="42"/>
        <v>353.21836615408171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2.4237814194735767</v>
      </c>
      <c r="DG65" s="21">
        <f>EXP(-LN(2)/25)*DG64+(1-EXP(-LN(2)/25))/(LN(2)/25)*Calculateur!DB65*Calculateur!DD65*VLOOKUP('Données projet'!$B$13,Paramètres!$A$1:$I$89,3,0)*0.475*44/12</f>
        <v>12.425084579222593</v>
      </c>
      <c r="DH65" s="21">
        <f>EXP(-LN(2)/2)*DH64+(1-EXP(-LN(2)/2))/(LN(2)/2)*DB65*DE65*VLOOKUP('Données projet'!$B$13,Paramètres!$A$1:$I$89,3,0)*0.475*44/12</f>
        <v>4.9624768631645571E-4</v>
      </c>
      <c r="DI65" s="22">
        <f t="shared" si="15"/>
        <v>14.849362246382485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9.1999999999999993</v>
      </c>
      <c r="DO65" s="12">
        <f>IF('Données projet'!$A$166&gt;35,DO64+DN65-DW64,IF(A65&lt;'Données projet'!$A$166,$DL$205^A65,IF(A65='Données projet'!$A$166,'Données projet'!$B$166,DO64+DN65-DW64)))</f>
        <v>348.39999999999975</v>
      </c>
      <c r="DP65" s="17">
        <f>DO65*VLOOKUP('Données projet'!$B$14,Paramètres!$A$1:$I$89,3,0)*VLOOKUP('Données projet'!$B$14,Paramètres!$A$1:$I$89,5,0)</f>
        <v>208.34319999999988</v>
      </c>
      <c r="DQ65" s="13">
        <f t="shared" si="43"/>
        <v>51.573366479945882</v>
      </c>
      <c r="DR65" s="20">
        <f t="shared" si="16"/>
        <v>452.68801995257218</v>
      </c>
      <c r="DS65" s="59">
        <f t="shared" si="17"/>
        <v>746.02135328590543</v>
      </c>
      <c r="DT65" s="59">
        <f ca="1">AVERAGE(OFFSET($DS$3,0,0,'Données projet'!$E$14+1,1))-AVERAGE(OFFSET($H$3,0,0,'Données projet'!$E$14+1,1))</f>
        <v>247.30892363953825</v>
      </c>
      <c r="DU65" s="59">
        <f t="shared" si="44"/>
        <v>248.38414731596578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5.2912690199037486</v>
      </c>
      <c r="EC65" s="21">
        <f>EXP(-LN(2)/2)*EC64+(1-EXP(-LN(2)/2))/(LN(2)/2)*DW65*DZ65*VLOOKUP('Données projet'!$B$14,Paramètres!$A$1:$I$89,3,0)*0.475*44/12</f>
        <v>3.620812969027553E-4</v>
      </c>
      <c r="ED65" s="22">
        <f t="shared" si="18"/>
        <v>5.2916311012006512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9.1999999999999993</v>
      </c>
      <c r="EJ65" s="12">
        <f>IF('Données projet'!$A$192&gt;35,EJ64+EI65-ER64,IF(A65&lt;'Données projet'!$A$192,$EG$205^A65,IF(A65='Données projet'!$A$192,'Données projet'!$B$192,EJ64+EI65-ER64)))</f>
        <v>348.39999999999975</v>
      </c>
      <c r="EK65" s="17">
        <f>EJ65*VLOOKUP('Données projet'!$B$15,Paramètres!$A$1:$I$89,3,0)*VLOOKUP('Données projet'!$B$15,Paramètres!$A$1:$I$89,5,0)</f>
        <v>208.34319999999988</v>
      </c>
      <c r="EL65" s="13">
        <f t="shared" si="45"/>
        <v>51.573366479945882</v>
      </c>
      <c r="EM65" s="20">
        <f t="shared" si="19"/>
        <v>452.68801995257218</v>
      </c>
      <c r="EN65" s="59">
        <f t="shared" si="20"/>
        <v>746.02135328590543</v>
      </c>
      <c r="EO65" s="59">
        <f ca="1">AVERAGE(OFFSET($EN$3,0,0,'Données projet'!$E$15+1,1))-AVERAGE(OFFSET($H$3,0,0,'Données projet'!$E$15+1,1))</f>
        <v>247.30892363953825</v>
      </c>
      <c r="EP65" s="59">
        <f t="shared" si="46"/>
        <v>248.38414731596578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5.2912690199037486</v>
      </c>
      <c r="EX65" s="21">
        <f>EXP(-LN(2)/2)*EX64+(1-EXP(-LN(2)/2))/(LN(2)/2)*ER65*EU65*VLOOKUP('Données projet'!$B$15,Paramètres!$A$1:$I$89,3,0)*0.475*44/12</f>
        <v>3.620812969027553E-4</v>
      </c>
      <c r="EY65" s="22">
        <f t="shared" si="21"/>
        <v>5.2916311012006512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17</v>
      </c>
      <c r="FE65" s="12">
        <f>IF('Données projet'!$A$218&gt;35,FE64+FD65-FM64,IF(A65&lt;'Données projet'!$A$218,$FB$205^A65,IF(A65='Données projet'!$A$218,'Données projet'!$B$218,FE64+FD65-FM64)))</f>
        <v>558.00000000000023</v>
      </c>
      <c r="FF65" s="17">
        <f>FE65*VLOOKUP('Données projet'!$B$16,Paramètres!$A$1:$I$89,3,0)*VLOOKUP('Données projet'!$B$16,Paramètres!$A$1:$I$89,5,0)</f>
        <v>268.39800000000014</v>
      </c>
      <c r="FG65" s="13">
        <f t="shared" si="47"/>
        <v>64.5091667924669</v>
      </c>
      <c r="FH65" s="20">
        <f t="shared" si="22"/>
        <v>579.81331549688002</v>
      </c>
      <c r="FI65" s="59">
        <f t="shared" si="23"/>
        <v>873.14664883021328</v>
      </c>
      <c r="FJ65" s="59">
        <f ca="1">AVERAGE(OFFSET($FI$3,0,0,'Données projet'!$E$16+1,1))-AVERAGE(OFFSET($H$3,0,0,'Données projet'!$E$16+1,1))</f>
        <v>322.54393676667081</v>
      </c>
      <c r="FK65" s="59">
        <f t="shared" si="48"/>
        <v>296.73904998640018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3.5752789044726487</v>
      </c>
      <c r="FR65" s="21">
        <f>EXP(-LN(2)/25)*FR64+(1-EXP(-LN(2)/25))/(LN(2)/25)*Calculateur!FM65*Calculateur!FO65*VLOOKUP('Données projet'!$B$16,Paramètres!$A$1:$I$89,3,0)*0.475*44/12</f>
        <v>5.5275870930556961</v>
      </c>
      <c r="FS65" s="21">
        <f>EXP(-LN(2)/2)*FS64+(1-EXP(-LN(2)/2))/(LN(2)/2)*FM65*FP65*VLOOKUP('Données projet'!$B$16,Paramètres!$A$1:$I$89,3,0)*0.475*44/12</f>
        <v>3.1910375104115044E-4</v>
      </c>
      <c r="FT65" s="22">
        <f t="shared" si="24"/>
        <v>9.1031851012793847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985.49326038811387</v>
      </c>
      <c r="S66" s="59">
        <f ca="1">AVERAGE(OFFSET($R$3,0,0,'Données projet'!$E$9+1,1))-AVERAGE(OFFSET($H$3,0,0,'Données projet'!$E$9+1,1))</f>
        <v>401.06118089678654</v>
      </c>
      <c r="T66" s="59">
        <f t="shared" si="34"/>
        <v>399.58193819355591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</v>
      </c>
      <c r="AI66" s="13">
        <f>IF('Données projet'!$A$62&gt;35,AI65+AH66-AQ65,IF(A66&lt;'Données projet'!$A$62,$AF$205^A66,IF(A66='Données projet'!$A$62,'Données projet'!$B$62,AI65+AH66-AQ65)))</f>
        <v>324.40000000000032</v>
      </c>
      <c r="AJ66" s="13">
        <f>AI66*VLOOKUP('Données projet'!$B$10,Paramètres!$A$1:$I$89,3,0)*VLOOKUP('Données projet'!$B$10,Paramètres!$A$1:$I$89,5,0)</f>
        <v>202.4256000000002</v>
      </c>
      <c r="AK66" s="13">
        <f t="shared" si="35"/>
        <v>50.276866607459766</v>
      </c>
      <c r="AL66" s="20">
        <f t="shared" si="4"/>
        <v>440.12346267465938</v>
      </c>
      <c r="AM66" s="59">
        <f t="shared" si="5"/>
        <v>733.45679600799269</v>
      </c>
      <c r="AN66" s="59">
        <f ca="1">AVERAGE(OFFSET($AM$3,0,0,'Données projet'!$E$10+1,1))-AVERAGE(OFFSET($H$3,0,0,'Données projet'!$E$10+1,1))</f>
        <v>240.30073883588199</v>
      </c>
      <c r="AO66" s="59">
        <f t="shared" si="36"/>
        <v>263.20351282678843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3.6171286085049443</v>
      </c>
      <c r="AV66" s="21">
        <f>EXP(-LN(2)/25)*AV65+(1-EXP(-LN(2)/25))/(LN(2)/25)*Calculateur!AQ66*Calculateur!AS66*VLOOKUP('Données projet'!$B$10,Paramètres!$A$1:$I$89,3,0)*0.475*44/12</f>
        <v>8.3262836418334345</v>
      </c>
      <c r="AW66" s="21">
        <f>EXP(-LN(2)/2)*AW65+(1-EXP(-LN(2)/2))/(LN(2)/2)*AQ66*AT66*VLOOKUP('Données projet'!$B$10,Paramètres!$A$1:$I$89,3,0)*0.475*44/12</f>
        <v>2.1785068604070171E-4</v>
      </c>
      <c r="AX66" s="21">
        <f t="shared" si="6"/>
        <v>11.94363010102442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18.600000000000001</v>
      </c>
      <c r="BD66" s="12">
        <f>IF('Données projet'!$A$88&gt;35,BD65+BC66-BL65,IF(A66&lt;'Données projet'!$A$88,$BA$205^A66,IF(A66='Données projet'!$A$88,'Données projet'!$B$88,BD65+BC66-BL65)))</f>
        <v>630.80000000000007</v>
      </c>
      <c r="BE66" s="13">
        <f>BD66*VLOOKUP('Données projet'!$B$11,Paramètres!$A$1:$I$89,3,0)*VLOOKUP('Données projet'!$B$11,Paramètres!$A$1:$I$89,5,0)</f>
        <v>303.41480000000001</v>
      </c>
      <c r="BF66" s="13">
        <f t="shared" si="37"/>
        <v>71.891864471024803</v>
      </c>
      <c r="BG66" s="20">
        <f t="shared" si="7"/>
        <v>653.65910728703489</v>
      </c>
      <c r="BH66" s="59">
        <f t="shared" si="8"/>
        <v>946.99244062036814</v>
      </c>
      <c r="BI66" s="59">
        <f ca="1">AVERAGE(OFFSET($BH$3,0,0,'Données projet'!$E$11+1,1))-AVERAGE(OFFSET($H$3,0,0,'Données projet'!$E$11+1,1))</f>
        <v>364.67510777943329</v>
      </c>
      <c r="BJ66" s="59">
        <f t="shared" si="38"/>
        <v>352.13878061387169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4.6005354489422308</v>
      </c>
      <c r="BQ66" s="21">
        <f>EXP(-LN(2)/25)*BQ65+(1-EXP(-LN(2)/25))/(LN(2)/25)*Calculateur!BL66*Calculateur!BN66*VLOOKUP('Données projet'!$B$11,Paramètres!$A$1:$I$89,3,0)*0.475*44/12</f>
        <v>7.2157339651526495</v>
      </c>
      <c r="BR66" s="21">
        <f>EXP(-LN(2)/2)*BR65+(1-EXP(-LN(2)/2))/(LN(2)/2)*BL66*BO66*VLOOKUP('Données projet'!$B$11,Paramètres!$A$1:$I$89,3,0)*0.475*44/12</f>
        <v>2.9642849944399674E-4</v>
      </c>
      <c r="BS66" s="22">
        <f t="shared" si="9"/>
        <v>11.816565842594324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337.89999999999986</v>
      </c>
      <c r="BZ66" s="13">
        <f>BY66*VLOOKUP('Données projet'!$B$12,Paramètres!$A$1:$I$89,3,0)*VLOOKUP('Données projet'!$B$12,Paramètres!$A$1:$I$89,5,0)</f>
        <v>158.13719999999995</v>
      </c>
      <c r="CA66" s="13">
        <f t="shared" si="39"/>
        <v>40.422069728367696</v>
      </c>
      <c r="CB66" s="20">
        <f t="shared" si="10"/>
        <v>345.82406144357361</v>
      </c>
      <c r="CC66" s="59">
        <f t="shared" si="11"/>
        <v>639.15739477690693</v>
      </c>
      <c r="CD66" s="59">
        <f ca="1">AVERAGE(OFFSET($CC$3,0,0,'Données projet'!$E$12+1,1))-AVERAGE(OFFSET($H$3,0,0,'Données projet'!$E$12+1,1))</f>
        <v>252.98248842635206</v>
      </c>
      <c r="CE66" s="59">
        <f t="shared" si="40"/>
        <v>207.11938580878308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1.6306144950304886</v>
      </c>
      <c r="CL66" s="21">
        <f>EXP(-LN(2)/25)*CL65+(1-EXP(-LN(2)/25))/(LN(2)/25)*Calculateur!CG66*Calculateur!CI66*VLOOKUP('Données projet'!$B$12,Paramètres!$A$1:$I$89,3,0)*0.475*44/12</f>
        <v>3.1463879342314973</v>
      </c>
      <c r="CM66" s="21">
        <f>EXP(-LN(2)/2)*CM65+(1-EXP(-LN(2)/2))/(LN(2)/2)*CG66*CJ66*VLOOKUP('Données projet'!$B$12,Paramètres!$A$1:$I$89,3,0)*0.475*44/12</f>
        <v>1.0608518467773708E-4</v>
      </c>
      <c r="CN66" s="22">
        <f t="shared" si="12"/>
        <v>4.7771085144466632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13.4</v>
      </c>
      <c r="CT66" s="12">
        <f>IF('Données projet'!$A$140&gt;35,CT65+CS66-DB65,IF(A66&lt;'Données projet'!$A$140,$CQ$205^A66,IF(A66='Données projet'!$A$140,'Données projet'!$B$140,CT65+CS66-DB65)))</f>
        <v>520.19999999999982</v>
      </c>
      <c r="CU66" s="17">
        <f>CT66*VLOOKUP('Données projet'!$B$13,Paramètres!$A$1:$I$89,3,0)*VLOOKUP('Données projet'!$B$13,Paramètres!$A$1:$I$89,5,0)</f>
        <v>290.79179999999991</v>
      </c>
      <c r="CV66" s="13">
        <f t="shared" si="41"/>
        <v>69.242582588470327</v>
      </c>
      <c r="CW66" s="20">
        <f t="shared" si="13"/>
        <v>627.05988300825231</v>
      </c>
      <c r="CX66" s="59">
        <f t="shared" si="14"/>
        <v>920.39321634158568</v>
      </c>
      <c r="CY66" s="59">
        <f ca="1">AVERAGE(OFFSET($CX$3,0,0,'Données projet'!$E$13+1,1))-AVERAGE(OFFSET($H$3,0,0,'Données projet'!$E$13+1,1))</f>
        <v>356.67698551373468</v>
      </c>
      <c r="CZ66" s="59">
        <f t="shared" si="42"/>
        <v>353.21836615408171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2.3762525441983899</v>
      </c>
      <c r="DG66" s="21">
        <f>EXP(-LN(2)/25)*DG65+(1-EXP(-LN(2)/25))/(LN(2)/25)*Calculateur!DB66*Calculateur!DD66*VLOOKUP('Données projet'!$B$13,Paramètres!$A$1:$I$89,3,0)*0.475*44/12</f>
        <v>12.085319987996952</v>
      </c>
      <c r="DH66" s="21">
        <f>EXP(-LN(2)/2)*DH65+(1-EXP(-LN(2)/2))/(LN(2)/2)*DB66*DE66*VLOOKUP('Données projet'!$B$13,Paramètres!$A$1:$I$89,3,0)*0.475*44/12</f>
        <v>3.5090010414250052E-4</v>
      </c>
      <c r="DI66" s="22">
        <f t="shared" si="15"/>
        <v>14.461923432299486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9.1999999999999993</v>
      </c>
      <c r="DO66" s="12">
        <f>IF('Données projet'!$A$166&gt;35,DO65+DN66-DW65,IF(A66&lt;'Données projet'!$A$166,$DL$205^A66,IF(A66='Données projet'!$A$166,'Données projet'!$B$166,DO65+DN66-DW65)))</f>
        <v>357.59999999999974</v>
      </c>
      <c r="DP66" s="17">
        <f>DO66*VLOOKUP('Données projet'!$B$14,Paramètres!$A$1:$I$89,3,0)*VLOOKUP('Données projet'!$B$14,Paramètres!$A$1:$I$89,5,0)</f>
        <v>213.84479999999988</v>
      </c>
      <c r="DQ66" s="13">
        <f t="shared" si="43"/>
        <v>52.774882006161135</v>
      </c>
      <c r="DR66" s="20">
        <f t="shared" si="16"/>
        <v>464.36261282739719</v>
      </c>
      <c r="DS66" s="59">
        <f t="shared" si="17"/>
        <v>757.6959461607305</v>
      </c>
      <c r="DT66" s="59">
        <f ca="1">AVERAGE(OFFSET($DS$3,0,0,'Données projet'!$E$14+1,1))-AVERAGE(OFFSET($H$3,0,0,'Données projet'!$E$14+1,1))</f>
        <v>247.30892363953825</v>
      </c>
      <c r="DU66" s="59">
        <f t="shared" si="44"/>
        <v>248.38414731596578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5.1465789902987362</v>
      </c>
      <c r="EC66" s="21">
        <f>EXP(-LN(2)/2)*EC65+(1-EXP(-LN(2)/2))/(LN(2)/2)*DW66*DZ66*VLOOKUP('Données projet'!$B$14,Paramètres!$A$1:$I$89,3,0)*0.475*44/12</f>
        <v>2.5603014038075793E-4</v>
      </c>
      <c r="ED66" s="22">
        <f t="shared" si="18"/>
        <v>5.1468350204391173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9.1999999999999993</v>
      </c>
      <c r="EJ66" s="12">
        <f>IF('Données projet'!$A$192&gt;35,EJ65+EI66-ER65,IF(A66&lt;'Données projet'!$A$192,$EG$205^A66,IF(A66='Données projet'!$A$192,'Données projet'!$B$192,EJ65+EI66-ER65)))</f>
        <v>357.59999999999974</v>
      </c>
      <c r="EK66" s="17">
        <f>EJ66*VLOOKUP('Données projet'!$B$15,Paramètres!$A$1:$I$89,3,0)*VLOOKUP('Données projet'!$B$15,Paramètres!$A$1:$I$89,5,0)</f>
        <v>213.84479999999988</v>
      </c>
      <c r="EL66" s="13">
        <f t="shared" si="45"/>
        <v>52.774882006161135</v>
      </c>
      <c r="EM66" s="20">
        <f t="shared" si="19"/>
        <v>464.36261282739719</v>
      </c>
      <c r="EN66" s="59">
        <f t="shared" si="20"/>
        <v>757.6959461607305</v>
      </c>
      <c r="EO66" s="59">
        <f ca="1">AVERAGE(OFFSET($EN$3,0,0,'Données projet'!$E$15+1,1))-AVERAGE(OFFSET($H$3,0,0,'Données projet'!$E$15+1,1))</f>
        <v>247.30892363953825</v>
      </c>
      <c r="EP66" s="59">
        <f t="shared" si="46"/>
        <v>248.38414731596578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5.1465789902987362</v>
      </c>
      <c r="EX66" s="21">
        <f>EXP(-LN(2)/2)*EX65+(1-EXP(-LN(2)/2))/(LN(2)/2)*ER66*EU66*VLOOKUP('Données projet'!$B$15,Paramètres!$A$1:$I$89,3,0)*0.475*44/12</f>
        <v>2.5603014038075793E-4</v>
      </c>
      <c r="EY66" s="22">
        <f t="shared" si="21"/>
        <v>5.1468350204391173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17</v>
      </c>
      <c r="FE66" s="12">
        <f>IF('Données projet'!$A$218&gt;35,FE65+FD66-FM65,IF(A66&lt;'Données projet'!$A$218,$FB$205^A66,IF(A66='Données projet'!$A$218,'Données projet'!$B$218,FE65+FD66-FM65)))</f>
        <v>575.00000000000023</v>
      </c>
      <c r="FF66" s="17">
        <f>FE66*VLOOKUP('Données projet'!$B$16,Paramètres!$A$1:$I$89,3,0)*VLOOKUP('Données projet'!$B$16,Paramètres!$A$1:$I$89,5,0)</f>
        <v>276.5750000000001</v>
      </c>
      <c r="FG66" s="13">
        <f t="shared" si="47"/>
        <v>66.242690281501467</v>
      </c>
      <c r="FH66" s="20">
        <f t="shared" si="22"/>
        <v>597.07414390694851</v>
      </c>
      <c r="FI66" s="59">
        <f t="shared" si="23"/>
        <v>890.40747724028188</v>
      </c>
      <c r="FJ66" s="59">
        <f ca="1">AVERAGE(OFFSET($FI$3,0,0,'Données projet'!$E$16+1,1))-AVERAGE(OFFSET($H$3,0,0,'Données projet'!$E$16+1,1))</f>
        <v>322.54393676667081</v>
      </c>
      <c r="FK66" s="59">
        <f t="shared" si="48"/>
        <v>296.73904998640018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3.5051698658607453</v>
      </c>
      <c r="FR66" s="21">
        <f>EXP(-LN(2)/25)*FR65+(1-EXP(-LN(2)/25))/(LN(2)/25)*Calculateur!FM66*Calculateur!FO66*VLOOKUP('Données projet'!$B$16,Paramètres!$A$1:$I$89,3,0)*0.475*44/12</f>
        <v>5.3764349333129164</v>
      </c>
      <c r="FS66" s="21">
        <f>EXP(-LN(2)/2)*FS65+(1-EXP(-LN(2)/2))/(LN(2)/2)*FM66*FP66*VLOOKUP('Données projet'!$B$16,Paramètres!$A$1:$I$89,3,0)*0.475*44/12</f>
        <v>2.256404262632613E-4</v>
      </c>
      <c r="FT66" s="22">
        <f t="shared" si="24"/>
        <v>8.8818304395999252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1002.5415918903188</v>
      </c>
      <c r="S67" s="59">
        <f ca="1">AVERAGE(OFFSET($R$3,0,0,'Données projet'!$E$9+1,1))-AVERAGE(OFFSET($H$3,0,0,'Données projet'!$E$9+1,1))</f>
        <v>401.06118089678654</v>
      </c>
      <c r="T67" s="59">
        <f t="shared" si="34"/>
        <v>399.58193819355591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</v>
      </c>
      <c r="AI67" s="13">
        <f>IF('Données projet'!$A$62&gt;35,AI66+AH67-AQ66,IF(A67&lt;'Données projet'!$A$62,$AF$205^A67,IF(A67='Données projet'!$A$62,'Données projet'!$B$62,AI66+AH67-AQ66)))</f>
        <v>331.20000000000033</v>
      </c>
      <c r="AJ67" s="13">
        <f>AI67*VLOOKUP('Données projet'!$B$10,Paramètres!$A$1:$I$89,3,0)*VLOOKUP('Données projet'!$B$10,Paramètres!$A$1:$I$89,5,0)</f>
        <v>206.6688000000002</v>
      </c>
      <c r="AK67" s="13">
        <f t="shared" si="35"/>
        <v>51.206958627992798</v>
      </c>
      <c r="AL67" s="20">
        <f t="shared" si="4"/>
        <v>449.13361294375437</v>
      </c>
      <c r="AM67" s="59">
        <f t="shared" si="5"/>
        <v>742.46694627708769</v>
      </c>
      <c r="AN67" s="59">
        <f ca="1">AVERAGE(OFFSET($AM$3,0,0,'Données projet'!$E$10+1,1))-AVERAGE(OFFSET($H$3,0,0,'Données projet'!$E$10+1,1))</f>
        <v>240.30073883588199</v>
      </c>
      <c r="AO67" s="59">
        <f t="shared" si="36"/>
        <v>263.20351282678843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3.5461989227227666</v>
      </c>
      <c r="AV67" s="21">
        <f>EXP(-LN(2)/25)*AV66+(1-EXP(-LN(2)/25))/(LN(2)/25)*Calculateur!AQ67*Calculateur!AS67*VLOOKUP('Données projet'!$B$10,Paramètres!$A$1:$I$89,3,0)*0.475*44/12</f>
        <v>8.0986009777872727</v>
      </c>
      <c r="AW67" s="21">
        <f>EXP(-LN(2)/2)*AW66+(1-EXP(-LN(2)/2))/(LN(2)/2)*AQ67*AT67*VLOOKUP('Données projet'!$B$10,Paramètres!$A$1:$I$89,3,0)*0.475*44/12</f>
        <v>1.5404369738552173E-4</v>
      </c>
      <c r="AX67" s="21">
        <f t="shared" si="6"/>
        <v>11.644953944207424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18.600000000000001</v>
      </c>
      <c r="BD67" s="12">
        <f>IF('Données projet'!$A$88&gt;35,BD66+BC67-BL66,IF(A67&lt;'Données projet'!$A$88,$BA$205^A67,IF(A67='Données projet'!$A$88,'Données projet'!$B$88,BD66+BC67-BL66)))</f>
        <v>649.40000000000009</v>
      </c>
      <c r="BE67" s="13">
        <f>BD67*VLOOKUP('Données projet'!$B$11,Paramètres!$A$1:$I$89,3,0)*VLOOKUP('Données projet'!$B$11,Paramètres!$A$1:$I$89,5,0)</f>
        <v>312.36140000000006</v>
      </c>
      <c r="BF67" s="13">
        <f t="shared" si="37"/>
        <v>73.76176646338233</v>
      </c>
      <c r="BG67" s="20">
        <f t="shared" si="7"/>
        <v>672.49784825705763</v>
      </c>
      <c r="BH67" s="59">
        <f t="shared" si="8"/>
        <v>965.831181590391</v>
      </c>
      <c r="BI67" s="59">
        <f ca="1">AVERAGE(OFFSET($BH$3,0,0,'Données projet'!$E$11+1,1))-AVERAGE(OFFSET($H$3,0,0,'Données projet'!$E$11+1,1))</f>
        <v>364.67510777943329</v>
      </c>
      <c r="BJ67" s="59">
        <f t="shared" si="38"/>
        <v>352.13878061387169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4.5103217548380234</v>
      </c>
      <c r="BQ67" s="21">
        <f>EXP(-LN(2)/25)*BQ66+(1-EXP(-LN(2)/25))/(LN(2)/25)*Calculateur!BL67*Calculateur!BN67*VLOOKUP('Données projet'!$B$11,Paramètres!$A$1:$I$89,3,0)*0.475*44/12</f>
        <v>7.0184193404165933</v>
      </c>
      <c r="BR67" s="21">
        <f>EXP(-LN(2)/2)*BR66+(1-EXP(-LN(2)/2))/(LN(2)/2)*BL67*BO67*VLOOKUP('Données projet'!$B$11,Paramètres!$A$1:$I$89,3,0)*0.475*44/12</f>
        <v>2.0960660209380283E-4</v>
      </c>
      <c r="BS67" s="22">
        <f t="shared" si="9"/>
        <v>11.528950701856711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353.39999999999986</v>
      </c>
      <c r="BZ67" s="13">
        <f>BY67*VLOOKUP('Données projet'!$B$12,Paramètres!$A$1:$I$89,3,0)*VLOOKUP('Données projet'!$B$12,Paramètres!$A$1:$I$89,5,0)</f>
        <v>165.39119999999994</v>
      </c>
      <c r="CA67" s="13">
        <f t="shared" si="39"/>
        <v>42.056160358234834</v>
      </c>
      <c r="CB67" s="20">
        <f t="shared" si="10"/>
        <v>361.30415262392557</v>
      </c>
      <c r="CC67" s="59">
        <f t="shared" si="11"/>
        <v>654.63748595725883</v>
      </c>
      <c r="CD67" s="59">
        <f ca="1">AVERAGE(OFFSET($CC$3,0,0,'Données projet'!$E$12+1,1))-AVERAGE(OFFSET($H$3,0,0,'Données projet'!$E$12+1,1))</f>
        <v>252.98248842635206</v>
      </c>
      <c r="CE67" s="59">
        <f t="shared" si="40"/>
        <v>207.11938580878308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1.5986391393595765</v>
      </c>
      <c r="CL67" s="21">
        <f>EXP(-LN(2)/25)*CL66+(1-EXP(-LN(2)/25))/(LN(2)/25)*Calculateur!CG67*Calculateur!CI67*VLOOKUP('Données projet'!$B$12,Paramètres!$A$1:$I$89,3,0)*0.475*44/12</f>
        <v>3.0603497907085866</v>
      </c>
      <c r="CM67" s="21">
        <f>EXP(-LN(2)/2)*CM66+(1-EXP(-LN(2)/2))/(LN(2)/2)*CG67*CJ67*VLOOKUP('Données projet'!$B$12,Paramètres!$A$1:$I$89,3,0)*0.475*44/12</f>
        <v>7.5013553469055114E-5</v>
      </c>
      <c r="CN67" s="22">
        <f t="shared" si="12"/>
        <v>4.6590639436216321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13.4</v>
      </c>
      <c r="CT67" s="12">
        <f>IF('Données projet'!$A$140&gt;35,CT66+CS67-DB66,IF(A67&lt;'Données projet'!$A$140,$CQ$205^A67,IF(A67='Données projet'!$A$140,'Données projet'!$B$140,CT66+CS67-DB66)))</f>
        <v>533.5999999999998</v>
      </c>
      <c r="CU67" s="17">
        <f>CT67*VLOOKUP('Données projet'!$B$13,Paramètres!$A$1:$I$89,3,0)*VLOOKUP('Données projet'!$B$13,Paramètres!$A$1:$I$89,5,0)</f>
        <v>298.28239999999988</v>
      </c>
      <c r="CV67" s="13">
        <f t="shared" si="41"/>
        <v>70.816268303381889</v>
      </c>
      <c r="CW67" s="20">
        <f t="shared" si="13"/>
        <v>642.84684729505659</v>
      </c>
      <c r="CX67" s="59">
        <f t="shared" si="14"/>
        <v>936.18018062838996</v>
      </c>
      <c r="CY67" s="59">
        <f ca="1">AVERAGE(OFFSET($CX$3,0,0,'Données projet'!$E$13+1,1))-AVERAGE(OFFSET($H$3,0,0,'Données projet'!$E$13+1,1))</f>
        <v>356.67698551373468</v>
      </c>
      <c r="CZ67" s="59">
        <f t="shared" si="42"/>
        <v>353.21836615408171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2.3296556811775981</v>
      </c>
      <c r="DG67" s="21">
        <f>EXP(-LN(2)/25)*DG66+(1-EXP(-LN(2)/25))/(LN(2)/25)*Calculateur!DB67*Calculateur!DD67*VLOOKUP('Données projet'!$B$13,Paramètres!$A$1:$I$89,3,0)*0.475*44/12</f>
        <v>11.754846277385818</v>
      </c>
      <c r="DH67" s="21">
        <f>EXP(-LN(2)/2)*DH66+(1-EXP(-LN(2)/2))/(LN(2)/2)*DB67*DE67*VLOOKUP('Données projet'!$B$13,Paramètres!$A$1:$I$89,3,0)*0.475*44/12</f>
        <v>2.4812384315822786E-4</v>
      </c>
      <c r="DI67" s="22">
        <f t="shared" si="15"/>
        <v>14.084750082406575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9.1999999999999993</v>
      </c>
      <c r="DO67" s="12">
        <f>IF('Données projet'!$A$166&gt;35,DO66+DN67-DW66,IF(A67&lt;'Données projet'!$A$166,$DL$205^A67,IF(A67='Données projet'!$A$166,'Données projet'!$B$166,DO66+DN67-DW66)))</f>
        <v>366.79999999999973</v>
      </c>
      <c r="DP67" s="17">
        <f>DO67*VLOOKUP('Données projet'!$B$14,Paramètres!$A$1:$I$89,3,0)*VLOOKUP('Données projet'!$B$14,Paramètres!$A$1:$I$89,5,0)</f>
        <v>219.34639999999987</v>
      </c>
      <c r="DQ67" s="13">
        <f t="shared" si="43"/>
        <v>53.972804400117923</v>
      </c>
      <c r="DR67" s="20">
        <f t="shared" si="16"/>
        <v>476.03094766353843</v>
      </c>
      <c r="DS67" s="59">
        <f t="shared" si="17"/>
        <v>769.36428099687168</v>
      </c>
      <c r="DT67" s="59">
        <f ca="1">AVERAGE(OFFSET($DS$3,0,0,'Données projet'!$E$14+1,1))-AVERAGE(OFFSET($H$3,0,0,'Données projet'!$E$14+1,1))</f>
        <v>247.30892363953825</v>
      </c>
      <c r="DU67" s="59">
        <f t="shared" si="44"/>
        <v>248.38414731596578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5.0058455171621912</v>
      </c>
      <c r="EC67" s="21">
        <f>EXP(-LN(2)/2)*EC66+(1-EXP(-LN(2)/2))/(LN(2)/2)*DW67*DZ67*VLOOKUP('Données projet'!$B$14,Paramètres!$A$1:$I$89,3,0)*0.475*44/12</f>
        <v>1.8104064845137765E-4</v>
      </c>
      <c r="ED67" s="22">
        <f t="shared" si="18"/>
        <v>5.0060265578106424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9.1999999999999993</v>
      </c>
      <c r="EJ67" s="12">
        <f>IF('Données projet'!$A$192&gt;35,EJ66+EI67-ER66,IF(A67&lt;'Données projet'!$A$192,$EG$205^A67,IF(A67='Données projet'!$A$192,'Données projet'!$B$192,EJ66+EI67-ER66)))</f>
        <v>366.79999999999973</v>
      </c>
      <c r="EK67" s="17">
        <f>EJ67*VLOOKUP('Données projet'!$B$15,Paramètres!$A$1:$I$89,3,0)*VLOOKUP('Données projet'!$B$15,Paramètres!$A$1:$I$89,5,0)</f>
        <v>219.34639999999987</v>
      </c>
      <c r="EL67" s="13">
        <f t="shared" si="45"/>
        <v>53.972804400117923</v>
      </c>
      <c r="EM67" s="20">
        <f t="shared" si="19"/>
        <v>476.03094766353843</v>
      </c>
      <c r="EN67" s="59">
        <f t="shared" si="20"/>
        <v>769.36428099687168</v>
      </c>
      <c r="EO67" s="59">
        <f ca="1">AVERAGE(OFFSET($EN$3,0,0,'Données projet'!$E$15+1,1))-AVERAGE(OFFSET($H$3,0,0,'Données projet'!$E$15+1,1))</f>
        <v>247.30892363953825</v>
      </c>
      <c r="EP67" s="59">
        <f t="shared" si="46"/>
        <v>248.38414731596578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5.0058455171621912</v>
      </c>
      <c r="EX67" s="21">
        <f>EXP(-LN(2)/2)*EX66+(1-EXP(-LN(2)/2))/(LN(2)/2)*ER67*EU67*VLOOKUP('Données projet'!$B$15,Paramètres!$A$1:$I$89,3,0)*0.475*44/12</f>
        <v>1.8104064845137765E-4</v>
      </c>
      <c r="EY67" s="22">
        <f t="shared" si="21"/>
        <v>5.0060265578106424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17</v>
      </c>
      <c r="FE67" s="12">
        <f>IF('Données projet'!$A$218&gt;35,FE66+FD67-FM66,IF(A67&lt;'Données projet'!$A$218,$FB$205^A67,IF(A67='Données projet'!$A$218,'Données projet'!$B$218,FE66+FD67-FM66)))</f>
        <v>592.00000000000023</v>
      </c>
      <c r="FF67" s="17">
        <f>FE67*VLOOKUP('Données projet'!$B$16,Paramètres!$A$1:$I$89,3,0)*VLOOKUP('Données projet'!$B$16,Paramètres!$A$1:$I$89,5,0)</f>
        <v>284.75200000000012</v>
      </c>
      <c r="FG67" s="13">
        <f t="shared" si="47"/>
        <v>67.970257374451933</v>
      </c>
      <c r="FH67" s="20">
        <f t="shared" si="22"/>
        <v>614.32459826050399</v>
      </c>
      <c r="FI67" s="59">
        <f t="shared" si="23"/>
        <v>907.65793159383725</v>
      </c>
      <c r="FJ67" s="59">
        <f ca="1">AVERAGE(OFFSET($FI$3,0,0,'Données projet'!$E$16+1,1))-AVERAGE(OFFSET($H$3,0,0,'Données projet'!$E$16+1,1))</f>
        <v>322.54393676667081</v>
      </c>
      <c r="FK67" s="59">
        <f t="shared" si="48"/>
        <v>296.73904998640018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3.4364356227337298</v>
      </c>
      <c r="FR67" s="21">
        <f>EXP(-LN(2)/25)*FR66+(1-EXP(-LN(2)/25))/(LN(2)/25)*Calculateur!FM67*Calculateur!FO67*VLOOKUP('Données projet'!$B$16,Paramètres!$A$1:$I$89,3,0)*0.475*44/12</f>
        <v>5.2294160373270495</v>
      </c>
      <c r="FS67" s="21">
        <f>EXP(-LN(2)/2)*FS66+(1-EXP(-LN(2)/2))/(LN(2)/2)*FM67*FP67*VLOOKUP('Données projet'!$B$16,Paramètres!$A$1:$I$89,3,0)*0.475*44/12</f>
        <v>1.5955187552057522E-4</v>
      </c>
      <c r="FT67" s="22">
        <f t="shared" si="24"/>
        <v>8.6660112119363006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1019.581549115127</v>
      </c>
      <c r="S68" s="59">
        <f ca="1">AVERAGE(OFFSET($R$3,0,0,'Données projet'!$E$9+1,1))-AVERAGE(OFFSET($H$3,0,0,'Données projet'!$E$9+1,1))</f>
        <v>401.06118089678654</v>
      </c>
      <c r="T68" s="59">
        <f t="shared" si="34"/>
        <v>399.58193819355591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</v>
      </c>
      <c r="AI68" s="13">
        <f>IF('Données projet'!$A$62&gt;35,AI67+AH68-AQ67,IF(A68&lt;'Données projet'!$A$62,$AF$205^A68,IF(A68='Données projet'!$A$62,'Données projet'!$B$62,AI67+AH68-AQ67)))</f>
        <v>338.00000000000034</v>
      </c>
      <c r="AJ68" s="13">
        <f>AI68*VLOOKUP('Données projet'!$B$10,Paramètres!$A$1:$I$89,3,0)*VLOOKUP('Données projet'!$B$10,Paramètres!$A$1:$I$89,5,0)</f>
        <v>210.91200000000021</v>
      </c>
      <c r="AK68" s="13">
        <f t="shared" si="35"/>
        <v>52.134830352456831</v>
      </c>
      <c r="AL68" s="20">
        <f t="shared" ref="AL68:AL131" si="58">(AJ68+AK68)*0.475*44/12</f>
        <v>458.13989619719604</v>
      </c>
      <c r="AM68" s="59">
        <f t="shared" ref="AM68:AM131" si="59">AL68+(AD68+AE68)*44/12</f>
        <v>751.47322953052935</v>
      </c>
      <c r="AN68" s="59">
        <f ca="1">AVERAGE(OFFSET($AM$3,0,0,'Données projet'!$E$10+1,1))-AVERAGE(OFFSET($H$3,0,0,'Données projet'!$E$10+1,1))</f>
        <v>240.30073883588199</v>
      </c>
      <c r="AO68" s="59">
        <f t="shared" si="36"/>
        <v>263.20351282678843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3.4766601248159406</v>
      </c>
      <c r="AV68" s="21">
        <f>EXP(-LN(2)/25)*AV67+(1-EXP(-LN(2)/25))/(LN(2)/25)*Calculateur!AQ68*Calculateur!AS68*VLOOKUP('Données projet'!$B$10,Paramètres!$A$1:$I$89,3,0)*0.475*44/12</f>
        <v>7.8771443081627641</v>
      </c>
      <c r="AW68" s="21">
        <f>EXP(-LN(2)/2)*AW67+(1-EXP(-LN(2)/2))/(LN(2)/2)*AQ68*AT68*VLOOKUP('Données projet'!$B$10,Paramètres!$A$1:$I$89,3,0)*0.475*44/12</f>
        <v>1.0892534302035086E-4</v>
      </c>
      <c r="AX68" s="21">
        <f t="shared" ref="AX68:AX131" si="60">SUM(AU68:AW68)</f>
        <v>11.353913358321726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18.600000000000001</v>
      </c>
      <c r="BD68" s="12">
        <f>IF('Données projet'!$A$88&gt;35,BD67+BC68-BL67,IF(A68&lt;'Données projet'!$A$88,$BA$205^A68,IF(A68='Données projet'!$A$88,'Données projet'!$B$88,BD67+BC68-BL67)))</f>
        <v>668.00000000000011</v>
      </c>
      <c r="BE68" s="13">
        <f>BD68*VLOOKUP('Données projet'!$B$11,Paramètres!$A$1:$I$89,3,0)*VLOOKUP('Données projet'!$B$11,Paramètres!$A$1:$I$89,5,0)</f>
        <v>321.30800000000005</v>
      </c>
      <c r="BF68" s="13">
        <f t="shared" si="37"/>
        <v>75.625443855227473</v>
      </c>
      <c r="BG68" s="20">
        <f t="shared" ref="BG68:BG131" si="61">(BE68+BF68)*0.475*44/12</f>
        <v>691.32574804785463</v>
      </c>
      <c r="BH68" s="59">
        <f t="shared" ref="BH68:BH131" si="62">BG68+(AY68+AZ68)*44/12</f>
        <v>984.65908138118789</v>
      </c>
      <c r="BI68" s="59">
        <f ca="1">AVERAGE(OFFSET($BH$3,0,0,'Données projet'!$E$11+1,1))-AVERAGE(OFFSET($H$3,0,0,'Données projet'!$E$11+1,1))</f>
        <v>364.67510777943329</v>
      </c>
      <c r="BJ68" s="59">
        <f t="shared" si="38"/>
        <v>352.13878061387169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4.4218770962502791</v>
      </c>
      <c r="BQ68" s="21">
        <f>EXP(-LN(2)/25)*BQ67+(1-EXP(-LN(2)/25))/(LN(2)/25)*Calculateur!BL68*Calculateur!BN68*VLOOKUP('Données projet'!$B$11,Paramètres!$A$1:$I$89,3,0)*0.475*44/12</f>
        <v>6.8265002944702688</v>
      </c>
      <c r="BR68" s="21">
        <f>EXP(-LN(2)/2)*BR67+(1-EXP(-LN(2)/2))/(LN(2)/2)*BL68*BO68*VLOOKUP('Données projet'!$B$11,Paramètres!$A$1:$I$89,3,0)*0.475*44/12</f>
        <v>1.4821424972199837E-4</v>
      </c>
      <c r="BS68" s="22">
        <f t="shared" ref="BS68:BS131" si="63">SUM(BP68:BR68)</f>
        <v>11.24852560497027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368.89999999999986</v>
      </c>
      <c r="BZ68" s="13">
        <f>BY68*VLOOKUP('Données projet'!$B$12,Paramètres!$A$1:$I$89,3,0)*VLOOKUP('Données projet'!$B$12,Paramètres!$A$1:$I$89,5,0)</f>
        <v>172.64519999999993</v>
      </c>
      <c r="CA68" s="13">
        <f t="shared" si="39"/>
        <v>43.681926966241704</v>
      </c>
      <c r="CB68" s="20">
        <f t="shared" ref="CB68:CB131" si="64">(BZ68+CA68)*0.475*44/12</f>
        <v>376.76974613287081</v>
      </c>
      <c r="CC68" s="59">
        <f t="shared" ref="CC68:CC131" si="65">CB68+(BT68+BU68)*44/12</f>
        <v>670.10307946620412</v>
      </c>
      <c r="CD68" s="59">
        <f ca="1">AVERAGE(OFFSET($CC$3,0,0,'Données projet'!$E$12+1,1))-AVERAGE(OFFSET($H$3,0,0,'Données projet'!$E$12+1,1))</f>
        <v>252.98248842635206</v>
      </c>
      <c r="CE68" s="59">
        <f t="shared" si="40"/>
        <v>207.11938580878308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1.5672908009103297</v>
      </c>
      <c r="CL68" s="21">
        <f>EXP(-LN(2)/25)*CL67+(1-EXP(-LN(2)/25))/(LN(2)/25)*Calculateur!CG68*Calculateur!CI68*VLOOKUP('Données projet'!$B$12,Paramètres!$A$1:$I$89,3,0)*0.475*44/12</f>
        <v>2.9766643647448592</v>
      </c>
      <c r="CM68" s="21">
        <f>EXP(-LN(2)/2)*CM67+(1-EXP(-LN(2)/2))/(LN(2)/2)*CG68*CJ68*VLOOKUP('Données projet'!$B$12,Paramètres!$A$1:$I$89,3,0)*0.475*44/12</f>
        <v>5.3042592338868538E-5</v>
      </c>
      <c r="CN68" s="22">
        <f t="shared" ref="CN68:CN131" si="66">SUM(CK68:CM68)</f>
        <v>4.5440082082475275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13.4</v>
      </c>
      <c r="CT68" s="12">
        <f>IF('Données projet'!$A$140&gt;35,CT67+CS68-DB67,IF(A68&lt;'Données projet'!$A$140,$CQ$205^A68,IF(A68='Données projet'!$A$140,'Données projet'!$B$140,CT67+CS68-DB67)))</f>
        <v>546.99999999999977</v>
      </c>
      <c r="CU68" s="17">
        <f>CT68*VLOOKUP('Données projet'!$B$13,Paramètres!$A$1:$I$89,3,0)*VLOOKUP('Données projet'!$B$13,Paramètres!$A$1:$I$89,5,0)</f>
        <v>305.77299999999985</v>
      </c>
      <c r="CV68" s="13">
        <f t="shared" si="41"/>
        <v>72.385360202068057</v>
      </c>
      <c r="CW68" s="20">
        <f t="shared" ref="CW68:CW131" si="67">(CU68+CV68)*0.475*44/12</f>
        <v>658.62581068526822</v>
      </c>
      <c r="CX68" s="59">
        <f t="shared" ref="CX68:CX131" si="68">CW68+(CO68+CP68)*44/12</f>
        <v>951.95914401860159</v>
      </c>
      <c r="CY68" s="59">
        <f ca="1">AVERAGE(OFFSET($CX$3,0,0,'Données projet'!$E$13+1,1))-AVERAGE(OFFSET($H$3,0,0,'Données projet'!$E$13+1,1))</f>
        <v>356.67698551373468</v>
      </c>
      <c r="CZ68" s="59">
        <f t="shared" si="42"/>
        <v>353.21836615408171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2.2839725542193636</v>
      </c>
      <c r="DG68" s="21">
        <f>EXP(-LN(2)/25)*DG67+(1-EXP(-LN(2)/25))/(LN(2)/25)*Calculateur!DB68*Calculateur!DD68*VLOOKUP('Données projet'!$B$13,Paramètres!$A$1:$I$89,3,0)*0.475*44/12</f>
        <v>11.433409387770203</v>
      </c>
      <c r="DH68" s="21">
        <f>EXP(-LN(2)/2)*DH67+(1-EXP(-LN(2)/2))/(LN(2)/2)*DB68*DE68*VLOOKUP('Données projet'!$B$13,Paramètres!$A$1:$I$89,3,0)*0.475*44/12</f>
        <v>1.7545005207125026E-4</v>
      </c>
      <c r="DI68" s="22">
        <f t="shared" ref="DI68:DI131" si="69">SUM(DF68:DH68)</f>
        <v>13.717557392041638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9.1999999999999993</v>
      </c>
      <c r="DO68" s="12">
        <f>IF('Données projet'!$A$166&gt;35,DO67+DN68-DW67,IF(A68&lt;'Données projet'!$A$166,$DL$205^A68,IF(A68='Données projet'!$A$166,'Données projet'!$B$166,DO67+DN68-DW67)))</f>
        <v>375.99999999999972</v>
      </c>
      <c r="DP68" s="17">
        <f>DO68*VLOOKUP('Données projet'!$B$14,Paramètres!$A$1:$I$89,3,0)*VLOOKUP('Données projet'!$B$14,Paramètres!$A$1:$I$89,5,0)</f>
        <v>224.84799999999984</v>
      </c>
      <c r="DQ68" s="13">
        <f t="shared" si="43"/>
        <v>55.167234148809698</v>
      </c>
      <c r="DR68" s="20">
        <f t="shared" ref="DR68:DR131" si="70">(DP68+DQ68)*0.475*44/12</f>
        <v>487.69319947584319</v>
      </c>
      <c r="DS68" s="59">
        <f t="shared" ref="DS68:DS131" si="71">DR68+(DJ68+DK68)*44/12</f>
        <v>781.0265328091765</v>
      </c>
      <c r="DT68" s="59">
        <f ca="1">AVERAGE(OFFSET($DS$3,0,0,'Données projet'!$E$14+1,1))-AVERAGE(OFFSET($H$3,0,0,'Données projet'!$E$14+1,1))</f>
        <v>247.30892363953825</v>
      </c>
      <c r="DU68" s="59">
        <f t="shared" si="44"/>
        <v>248.38414731596578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4.868960408249416</v>
      </c>
      <c r="EC68" s="21">
        <f>EXP(-LN(2)/2)*EC67+(1-EXP(-LN(2)/2))/(LN(2)/2)*DW68*DZ68*VLOOKUP('Données projet'!$B$14,Paramètres!$A$1:$I$89,3,0)*0.475*44/12</f>
        <v>1.2801507019037897E-4</v>
      </c>
      <c r="ED68" s="22">
        <f t="shared" ref="ED68:ED131" si="72">SUM(EA68:EC68)</f>
        <v>4.8690884233196066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9.1999999999999993</v>
      </c>
      <c r="EJ68" s="12">
        <f>IF('Données projet'!$A$192&gt;35,EJ67+EI68-ER67,IF(A68&lt;'Données projet'!$A$192,$EG$205^A68,IF(A68='Données projet'!$A$192,'Données projet'!$B$192,EJ67+EI68-ER67)))</f>
        <v>375.99999999999972</v>
      </c>
      <c r="EK68" s="17">
        <f>EJ68*VLOOKUP('Données projet'!$B$15,Paramètres!$A$1:$I$89,3,0)*VLOOKUP('Données projet'!$B$15,Paramètres!$A$1:$I$89,5,0)</f>
        <v>224.84799999999984</v>
      </c>
      <c r="EL68" s="13">
        <f t="shared" si="45"/>
        <v>55.167234148809698</v>
      </c>
      <c r="EM68" s="20">
        <f t="shared" ref="EM68:EM131" si="73">(EK68+EL68)*0.475*44/12</f>
        <v>487.69319947584319</v>
      </c>
      <c r="EN68" s="59">
        <f t="shared" ref="EN68:EN131" si="74">EM68+(EE68+EF68)*44/12</f>
        <v>781.0265328091765</v>
      </c>
      <c r="EO68" s="59">
        <f ca="1">AVERAGE(OFFSET($EN$3,0,0,'Données projet'!$E$15+1,1))-AVERAGE(OFFSET($H$3,0,0,'Données projet'!$E$15+1,1))</f>
        <v>247.30892363953825</v>
      </c>
      <c r="EP68" s="59">
        <f t="shared" si="46"/>
        <v>248.38414731596578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4.868960408249416</v>
      </c>
      <c r="EX68" s="21">
        <f>EXP(-LN(2)/2)*EX67+(1-EXP(-LN(2)/2))/(LN(2)/2)*ER68*EU68*VLOOKUP('Données projet'!$B$15,Paramètres!$A$1:$I$89,3,0)*0.475*44/12</f>
        <v>1.2801507019037897E-4</v>
      </c>
      <c r="EY68" s="22">
        <f t="shared" ref="EY68:EY131" si="75">SUM(EV68:EX68)</f>
        <v>4.8690884233196066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17</v>
      </c>
      <c r="FE68" s="12">
        <f>IF('Données projet'!$A$218&gt;35,FE67+FD68-FM67,IF(A68&lt;'Données projet'!$A$218,$FB$205^A68,IF(A68='Données projet'!$A$218,'Données projet'!$B$218,FE67+FD68-FM67)))</f>
        <v>609.00000000000023</v>
      </c>
      <c r="FF68" s="17">
        <f>FE68*VLOOKUP('Données projet'!$B$16,Paramètres!$A$1:$I$89,3,0)*VLOOKUP('Données projet'!$B$16,Paramètres!$A$1:$I$89,5,0)</f>
        <v>292.92900000000009</v>
      </c>
      <c r="FG68" s="13">
        <f t="shared" si="47"/>
        <v>69.692058760461109</v>
      </c>
      <c r="FH68" s="20">
        <f t="shared" ref="FH68:FH131" si="76">(FF68+FG68)*0.475*44/12</f>
        <v>631.56501067446993</v>
      </c>
      <c r="FI68" s="59">
        <f t="shared" ref="FI68:FI131" si="77">FH68+(EZ68+FA68)*44/12</f>
        <v>924.89834400780319</v>
      </c>
      <c r="FJ68" s="59">
        <f ca="1">AVERAGE(OFFSET($FI$3,0,0,'Données projet'!$E$16+1,1))-AVERAGE(OFFSET($H$3,0,0,'Données projet'!$E$16+1,1))</f>
        <v>322.54393676667081</v>
      </c>
      <c r="FK68" s="59">
        <f t="shared" si="48"/>
        <v>296.73904998640018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3.3690492161906866</v>
      </c>
      <c r="FR68" s="21">
        <f>EXP(-LN(2)/25)*FR67+(1-EXP(-LN(2)/25))/(LN(2)/25)*Calculateur!FM68*Calculateur!FO68*VLOOKUP('Données projet'!$B$16,Paramètres!$A$1:$I$89,3,0)*0.475*44/12</f>
        <v>5.0864173807833035</v>
      </c>
      <c r="FS68" s="21">
        <f>EXP(-LN(2)/2)*FS67+(1-EXP(-LN(2)/2))/(LN(2)/2)*FM68*FP68*VLOOKUP('Données projet'!$B$16,Paramètres!$A$1:$I$89,3,0)*0.475*44/12</f>
        <v>1.1282021313163065E-4</v>
      </c>
      <c r="FT68" s="22">
        <f t="shared" ref="FT68:FT131" si="78">SUM(FQ68:FS68)</f>
        <v>8.4555794171871206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1036.6133560465094</v>
      </c>
      <c r="S69" s="59">
        <f ca="1">AVERAGE(OFFSET($R$3,0,0,'Données projet'!$E$9+1,1))-AVERAGE(OFFSET($H$3,0,0,'Données projet'!$E$9+1,1))</f>
        <v>401.06118089678654</v>
      </c>
      <c r="T69" s="59">
        <f t="shared" ref="T69:T132" si="88">$T$3</f>
        <v>399.58193819355591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344.80000000000035</v>
      </c>
      <c r="AJ69" s="13">
        <f>AI69*VLOOKUP('Données projet'!$B$10,Paramètres!$A$1:$I$89,3,0)*VLOOKUP('Données projet'!$B$10,Paramètres!$A$1:$I$89,5,0)</f>
        <v>215.15520000000021</v>
      </c>
      <c r="AK69" s="13">
        <f t="shared" ref="AK69:AK132" si="89">EXP(-1.0587+0.8836*LN(AJ69)+0.284)</f>
        <v>53.060531597402857</v>
      </c>
      <c r="AL69" s="20">
        <f t="shared" si="58"/>
        <v>467.14239919881032</v>
      </c>
      <c r="AM69" s="59">
        <f t="shared" si="59"/>
        <v>760.47573253214364</v>
      </c>
      <c r="AN69" s="59">
        <f ca="1">AVERAGE(OFFSET($AM$3,0,0,'Données projet'!$E$10+1,1))-AVERAGE(OFFSET($H$3,0,0,'Données projet'!$E$10+1,1))</f>
        <v>240.30073883588199</v>
      </c>
      <c r="AO69" s="59">
        <f t="shared" ref="AO69:AO132" si="90">$AO$3</f>
        <v>263.20351282678843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3.4084849403215887</v>
      </c>
      <c r="AV69" s="21">
        <f>EXP(-LN(2)/25)*AV68+(1-EXP(-LN(2)/25))/(LN(2)/25)*Calculateur!AQ69*Calculateur!AS69*VLOOKUP('Données projet'!$B$10,Paramètres!$A$1:$I$89,3,0)*0.475*44/12</f>
        <v>7.6617433828150379</v>
      </c>
      <c r="AW69" s="21">
        <f>EXP(-LN(2)/2)*AW68+(1-EXP(-LN(2)/2))/(LN(2)/2)*AQ69*AT69*VLOOKUP('Données projet'!$B$10,Paramètres!$A$1:$I$89,3,0)*0.475*44/12</f>
        <v>7.7021848692760864E-5</v>
      </c>
      <c r="AX69" s="21">
        <f t="shared" si="60"/>
        <v>11.07030534498532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18.600000000000001</v>
      </c>
      <c r="BD69" s="12">
        <f>IF('Données projet'!$A$88&gt;35,BD68+BC69-BL68,IF(A69&lt;'Données projet'!$A$88,$BA$205^A69,IF(A69='Données projet'!$A$88,'Données projet'!$B$88,BD68+BC69-BL68)))</f>
        <v>686.60000000000014</v>
      </c>
      <c r="BE69" s="13">
        <f>BD69*VLOOKUP('Données projet'!$B$11,Paramètres!$A$1:$I$89,3,0)*VLOOKUP('Données projet'!$B$11,Paramètres!$A$1:$I$89,5,0)</f>
        <v>330.2546000000001</v>
      </c>
      <c r="BF69" s="13">
        <f t="shared" ref="BF69:BF132" si="91">EXP(-1.0587+0.8836*LN(BE69)+0.284)</f>
        <v>77.483089878044836</v>
      </c>
      <c r="BG69" s="20">
        <f t="shared" si="61"/>
        <v>710.14314320426149</v>
      </c>
      <c r="BH69" s="59">
        <f t="shared" si="62"/>
        <v>1003.4764765375949</v>
      </c>
      <c r="BI69" s="59">
        <f ca="1">AVERAGE(OFFSET($BH$3,0,0,'Données projet'!$E$11+1,1))-AVERAGE(OFFSET($H$3,0,0,'Données projet'!$E$11+1,1))</f>
        <v>364.67510777943329</v>
      </c>
      <c r="BJ69" s="59">
        <f t="shared" ref="BJ69:BJ132" si="92">$BJ$3</f>
        <v>352.13878061387169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4.3351667834715251</v>
      </c>
      <c r="BQ69" s="21">
        <f>EXP(-LN(2)/25)*BQ68+(1-EXP(-LN(2)/25))/(LN(2)/25)*Calculateur!BL69*Calculateur!BN69*VLOOKUP('Données projet'!$B$11,Paramètres!$A$1:$I$89,3,0)*0.475*44/12</f>
        <v>6.6398292849279308</v>
      </c>
      <c r="BR69" s="21">
        <f>EXP(-LN(2)/2)*BR68+(1-EXP(-LN(2)/2))/(LN(2)/2)*BL69*BO69*VLOOKUP('Données projet'!$B$11,Paramètres!$A$1:$I$89,3,0)*0.475*44/12</f>
        <v>1.0480330104690142E-4</v>
      </c>
      <c r="BS69" s="22">
        <f t="shared" si="63"/>
        <v>10.975100871700503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384.39999999999986</v>
      </c>
      <c r="BZ69" s="13">
        <f>BY69*VLOOKUP('Données projet'!$B$12,Paramètres!$A$1:$I$89,3,0)*VLOOKUP('Données projet'!$B$12,Paramètres!$A$1:$I$89,5,0)</f>
        <v>179.89919999999995</v>
      </c>
      <c r="CA69" s="13">
        <f t="shared" ref="CA69:CA132" si="93">EXP(-1.0587+0.8836*LN(BZ69)+0.284)</f>
        <v>45.299759292628586</v>
      </c>
      <c r="CB69" s="20">
        <f t="shared" si="64"/>
        <v>392.22152076799466</v>
      </c>
      <c r="CC69" s="59">
        <f t="shared" si="65"/>
        <v>685.55485410132792</v>
      </c>
      <c r="CD69" s="59">
        <f ca="1">AVERAGE(OFFSET($CC$3,0,0,'Données projet'!$E$12+1,1))-AVERAGE(OFFSET($H$3,0,0,'Données projet'!$E$12+1,1))</f>
        <v>252.98248842635206</v>
      </c>
      <c r="CE69" s="59">
        <f t="shared" ref="CE69:CE132" si="94">$CE$3</f>
        <v>207.11938580878308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1.5365571842574741</v>
      </c>
      <c r="CL69" s="21">
        <f>EXP(-LN(2)/25)*CL68+(1-EXP(-LN(2)/25))/(LN(2)/25)*Calculateur!CG69*Calculateur!CI69*VLOOKUP('Données projet'!$B$12,Paramètres!$A$1:$I$89,3,0)*0.475*44/12</f>
        <v>2.8952673211549351</v>
      </c>
      <c r="CM69" s="21">
        <f>EXP(-LN(2)/2)*CM68+(1-EXP(-LN(2)/2))/(LN(2)/2)*CG69*CJ69*VLOOKUP('Données projet'!$B$12,Paramètres!$A$1:$I$89,3,0)*0.475*44/12</f>
        <v>3.7506776734527557E-5</v>
      </c>
      <c r="CN69" s="22">
        <f t="shared" si="66"/>
        <v>4.4318620121891437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13.4</v>
      </c>
      <c r="CT69" s="12">
        <f>IF('Données projet'!$A$140&gt;35,CT68+CS69-DB68,IF(A69&lt;'Données projet'!$A$140,$CQ$205^A69,IF(A69='Données projet'!$A$140,'Données projet'!$B$140,CT68+CS69-DB68)))</f>
        <v>560.39999999999975</v>
      </c>
      <c r="CU69" s="17">
        <f>CT69*VLOOKUP('Données projet'!$B$13,Paramètres!$A$1:$I$89,3,0)*VLOOKUP('Données projet'!$B$13,Paramètres!$A$1:$I$89,5,0)</f>
        <v>313.26359999999988</v>
      </c>
      <c r="CV69" s="13">
        <f t="shared" ref="CV69:CV132" si="95">EXP(-1.0587+0.8836*LN(CU69)+0.284)</f>
        <v>73.949983766039026</v>
      </c>
      <c r="CW69" s="20">
        <f t="shared" si="67"/>
        <v>674.39699172585108</v>
      </c>
      <c r="CX69" s="59">
        <f t="shared" si="68"/>
        <v>967.73032505918445</v>
      </c>
      <c r="CY69" s="59">
        <f ca="1">AVERAGE(OFFSET($CX$3,0,0,'Données projet'!$E$13+1,1))-AVERAGE(OFFSET($H$3,0,0,'Données projet'!$E$13+1,1))</f>
        <v>356.67698551373468</v>
      </c>
      <c r="CZ69" s="59">
        <f t="shared" ref="CZ69:CZ132" si="96">$CZ$3</f>
        <v>353.21836615408171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2.2391852455168242</v>
      </c>
      <c r="DG69" s="21">
        <f>EXP(-LN(2)/25)*DG68+(1-EXP(-LN(2)/25))/(LN(2)/25)*Calculateur!DB69*Calculateur!DD69*VLOOKUP('Données projet'!$B$13,Paramètres!$A$1:$I$89,3,0)*0.475*44/12</f>
        <v>11.120762206804759</v>
      </c>
      <c r="DH69" s="21">
        <f>EXP(-LN(2)/2)*DH68+(1-EXP(-LN(2)/2))/(LN(2)/2)*DB69*DE69*VLOOKUP('Données projet'!$B$13,Paramètres!$A$1:$I$89,3,0)*0.475*44/12</f>
        <v>1.2406192157911393E-4</v>
      </c>
      <c r="DI69" s="22">
        <f t="shared" si="69"/>
        <v>13.360071514243161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9.1999999999999993</v>
      </c>
      <c r="DO69" s="12">
        <f>IF('Données projet'!$A$166&gt;35,DO68+DN69-DW68,IF(A69&lt;'Données projet'!$A$166,$DL$205^A69,IF(A69='Données projet'!$A$166,'Données projet'!$B$166,DO68+DN69-DW68)))</f>
        <v>385.1999999999997</v>
      </c>
      <c r="DP69" s="17">
        <f>DO69*VLOOKUP('Données projet'!$B$14,Paramètres!$A$1:$I$89,3,0)*VLOOKUP('Données projet'!$B$14,Paramètres!$A$1:$I$89,5,0)</f>
        <v>230.34959999999984</v>
      </c>
      <c r="DQ69" s="13">
        <f t="shared" ref="DQ69:DQ132" si="97">EXP(-1.0587+0.8836*LN(DP69)+0.284)</f>
        <v>56.358266541426261</v>
      </c>
      <c r="DR69" s="20">
        <f t="shared" si="70"/>
        <v>499.34953422631708</v>
      </c>
      <c r="DS69" s="59">
        <f t="shared" si="71"/>
        <v>792.68286755965039</v>
      </c>
      <c r="DT69" s="59">
        <f ca="1">AVERAGE(OFFSET($DS$3,0,0,'Données projet'!$E$14+1,1))-AVERAGE(OFFSET($H$3,0,0,'Données projet'!$E$14+1,1))</f>
        <v>247.30892363953825</v>
      </c>
      <c r="DU69" s="59">
        <f t="shared" ref="DU69:DU132" si="98">$DU$3</f>
        <v>248.38414731596578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4.7358184298383357</v>
      </c>
      <c r="EC69" s="21">
        <f>EXP(-LN(2)/2)*EC68+(1-EXP(-LN(2)/2))/(LN(2)/2)*DW69*DZ69*VLOOKUP('Données projet'!$B$14,Paramètres!$A$1:$I$89,3,0)*0.475*44/12</f>
        <v>9.0520324225688826E-5</v>
      </c>
      <c r="ED69" s="22">
        <f t="shared" si="72"/>
        <v>4.7359089501625613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9.1999999999999993</v>
      </c>
      <c r="EJ69" s="12">
        <f>IF('Données projet'!$A$192&gt;35,EJ68+EI69-ER68,IF(A69&lt;'Données projet'!$A$192,$EG$205^A69,IF(A69='Données projet'!$A$192,'Données projet'!$B$192,EJ68+EI69-ER68)))</f>
        <v>385.1999999999997</v>
      </c>
      <c r="EK69" s="17">
        <f>EJ69*VLOOKUP('Données projet'!$B$15,Paramètres!$A$1:$I$89,3,0)*VLOOKUP('Données projet'!$B$15,Paramètres!$A$1:$I$89,5,0)</f>
        <v>230.34959999999984</v>
      </c>
      <c r="EL69" s="13">
        <f t="shared" ref="EL69:EL132" si="99">EXP(-1.0587+0.8836*LN(EK69)+0.284)</f>
        <v>56.358266541426261</v>
      </c>
      <c r="EM69" s="20">
        <f t="shared" si="73"/>
        <v>499.34953422631708</v>
      </c>
      <c r="EN69" s="59">
        <f t="shared" si="74"/>
        <v>792.68286755965039</v>
      </c>
      <c r="EO69" s="59">
        <f ca="1">AVERAGE(OFFSET($EN$3,0,0,'Données projet'!$E$15+1,1))-AVERAGE(OFFSET($H$3,0,0,'Données projet'!$E$15+1,1))</f>
        <v>247.30892363953825</v>
      </c>
      <c r="EP69" s="59">
        <f t="shared" ref="EP69:EP132" si="100">$EP$3</f>
        <v>248.38414731596578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4.7358184298383357</v>
      </c>
      <c r="EX69" s="21">
        <f>EXP(-LN(2)/2)*EX68+(1-EXP(-LN(2)/2))/(LN(2)/2)*ER69*EU69*VLOOKUP('Données projet'!$B$15,Paramètres!$A$1:$I$89,3,0)*0.475*44/12</f>
        <v>9.0520324225688826E-5</v>
      </c>
      <c r="EY69" s="22">
        <f t="shared" si="75"/>
        <v>4.7359089501625613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17</v>
      </c>
      <c r="FE69" s="12">
        <f>IF('Données projet'!$A$218&gt;35,FE68+FD69-FM68,IF(A69&lt;'Données projet'!$A$218,$FB$205^A69,IF(A69='Données projet'!$A$218,'Données projet'!$B$218,FE68+FD69-FM68)))</f>
        <v>626.00000000000023</v>
      </c>
      <c r="FF69" s="17">
        <f>FE69*VLOOKUP('Données projet'!$B$16,Paramètres!$A$1:$I$89,3,0)*VLOOKUP('Données projet'!$B$16,Paramètres!$A$1:$I$89,5,0)</f>
        <v>301.10600000000011</v>
      </c>
      <c r="FG69" s="13">
        <f t="shared" ref="FG69:FG132" si="101">EXP(-1.0587+0.8836*LN(FF69)+0.284)</f>
        <v>71.408273876909448</v>
      </c>
      <c r="FH69" s="20">
        <f t="shared" si="76"/>
        <v>648.79569366895078</v>
      </c>
      <c r="FI69" s="59">
        <f t="shared" si="77"/>
        <v>942.12902700228415</v>
      </c>
      <c r="FJ69" s="59">
        <f ca="1">AVERAGE(OFFSET($FI$3,0,0,'Données projet'!$E$16+1,1))-AVERAGE(OFFSET($H$3,0,0,'Données projet'!$E$16+1,1))</f>
        <v>322.54393676667081</v>
      </c>
      <c r="FK69" s="59">
        <f t="shared" ref="FK69:FK132" si="102">$FK$3</f>
        <v>296.73904998640018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3.3029842159783032</v>
      </c>
      <c r="FR69" s="21">
        <f>EXP(-LN(2)/25)*FR68+(1-EXP(-LN(2)/25))/(LN(2)/25)*Calculateur!FM69*Calculateur!FO69*VLOOKUP('Données projet'!$B$16,Paramètres!$A$1:$I$89,3,0)*0.475*44/12</f>
        <v>4.9473290300227193</v>
      </c>
      <c r="FS69" s="21">
        <f>EXP(-LN(2)/2)*FS68+(1-EXP(-LN(2)/2))/(LN(2)/2)*FM69*FP69*VLOOKUP('Données projet'!$B$16,Paramètres!$A$1:$I$89,3,0)*0.475*44/12</f>
        <v>7.9775937760287609E-5</v>
      </c>
      <c r="FT69" s="22">
        <f t="shared" si="78"/>
        <v>8.2503930219387822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1053.637225576186</v>
      </c>
      <c r="S70" s="59">
        <f ca="1">AVERAGE(OFFSET($R$3,0,0,'Données projet'!$E$9+1,1))-AVERAGE(OFFSET($H$3,0,0,'Données projet'!$E$9+1,1))</f>
        <v>401.06118089678654</v>
      </c>
      <c r="T70" s="59">
        <f t="shared" si="88"/>
        <v>399.58193819355591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351.60000000000036</v>
      </c>
      <c r="AJ70" s="13">
        <f>AI70*VLOOKUP('Données projet'!$B$10,Paramètres!$A$1:$I$89,3,0)*VLOOKUP('Données projet'!$B$10,Paramètres!$A$1:$I$89,5,0)</f>
        <v>219.39840000000024</v>
      </c>
      <c r="AK70" s="13">
        <f t="shared" si="89"/>
        <v>53.984110102082091</v>
      </c>
      <c r="AL70" s="20">
        <f t="shared" si="58"/>
        <v>476.14120509446002</v>
      </c>
      <c r="AM70" s="59">
        <f t="shared" si="59"/>
        <v>769.47453842779328</v>
      </c>
      <c r="AN70" s="59">
        <f ca="1">AVERAGE(OFFSET($AM$3,0,0,'Données projet'!$E$10+1,1))-AVERAGE(OFFSET($H$3,0,0,'Données projet'!$E$10+1,1))</f>
        <v>240.30073883588199</v>
      </c>
      <c r="AO70" s="59">
        <f t="shared" si="90"/>
        <v>263.20351282678843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3.3416466296124145</v>
      </c>
      <c r="AV70" s="21">
        <f>EXP(-LN(2)/25)*AV69+(1-EXP(-LN(2)/25))/(LN(2)/25)*Calculateur!AQ70*Calculateur!AS70*VLOOKUP('Données projet'!$B$10,Paramètres!$A$1:$I$89,3,0)*0.475*44/12</f>
        <v>7.4522326070983871</v>
      </c>
      <c r="AW70" s="21">
        <f>EXP(-LN(2)/2)*AW69+(1-EXP(-LN(2)/2))/(LN(2)/2)*AQ70*AT70*VLOOKUP('Données projet'!$B$10,Paramètres!$A$1:$I$89,3,0)*0.475*44/12</f>
        <v>5.4462671510175429E-5</v>
      </c>
      <c r="AX70" s="21">
        <f t="shared" si="60"/>
        <v>10.793933699382311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18.600000000000001</v>
      </c>
      <c r="BD70" s="12">
        <f>IF('Données projet'!$A$88&gt;35,BD69+BC70-BL69,IF(A70&lt;'Données projet'!$A$88,$BA$205^A70,IF(A70='Données projet'!$A$88,'Données projet'!$B$88,BD69+BC70-BL69)))</f>
        <v>705.20000000000016</v>
      </c>
      <c r="BE70" s="13">
        <f>BD70*VLOOKUP('Données projet'!$B$11,Paramètres!$A$1:$I$89,3,0)*VLOOKUP('Données projet'!$B$11,Paramètres!$A$1:$I$89,5,0)</f>
        <v>339.20120000000009</v>
      </c>
      <c r="BF70" s="13">
        <f t="shared" si="91"/>
        <v>79.33488669808122</v>
      </c>
      <c r="BG70" s="20">
        <f t="shared" si="61"/>
        <v>728.95035099915822</v>
      </c>
      <c r="BH70" s="59">
        <f t="shared" si="62"/>
        <v>1022.2836843324915</v>
      </c>
      <c r="BI70" s="59">
        <f ca="1">AVERAGE(OFFSET($BH$3,0,0,'Données projet'!$E$11+1,1))-AVERAGE(OFFSET($H$3,0,0,'Données projet'!$E$11+1,1))</f>
        <v>364.67510777943329</v>
      </c>
      <c r="BJ70" s="59">
        <f t="shared" si="92"/>
        <v>352.13878061387169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4.2501568070382945</v>
      </c>
      <c r="BQ70" s="21">
        <f>EXP(-LN(2)/25)*BQ69+(1-EXP(-LN(2)/25))/(LN(2)/25)*Calculateur!BL70*Calculateur!BN70*VLOOKUP('Données projet'!$B$11,Paramètres!$A$1:$I$89,3,0)*0.475*44/12</f>
        <v>6.4582628039581298</v>
      </c>
      <c r="BR70" s="21">
        <f>EXP(-LN(2)/2)*BR69+(1-EXP(-LN(2)/2))/(LN(2)/2)*BL70*BO70*VLOOKUP('Données projet'!$B$11,Paramètres!$A$1:$I$89,3,0)*0.475*44/12</f>
        <v>7.4107124860999185E-5</v>
      </c>
      <c r="BS70" s="22">
        <f t="shared" si="63"/>
        <v>10.708493718121286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399.89999999999986</v>
      </c>
      <c r="BZ70" s="13">
        <f>BY70*VLOOKUP('Données projet'!$B$12,Paramètres!$A$1:$I$89,3,0)*VLOOKUP('Données projet'!$B$12,Paramètres!$A$1:$I$89,5,0)</f>
        <v>187.15319999999994</v>
      </c>
      <c r="CA70" s="13">
        <f t="shared" si="93"/>
        <v>46.9100138680691</v>
      </c>
      <c r="CB70" s="20">
        <f t="shared" si="64"/>
        <v>407.66009748688685</v>
      </c>
      <c r="CC70" s="59">
        <f t="shared" si="65"/>
        <v>700.99343082022017</v>
      </c>
      <c r="CD70" s="59">
        <f ca="1">AVERAGE(OFFSET($CC$3,0,0,'Données projet'!$E$12+1,1))-AVERAGE(OFFSET($H$3,0,0,'Données projet'!$E$12+1,1))</f>
        <v>252.98248842635206</v>
      </c>
      <c r="CE70" s="59">
        <f t="shared" si="94"/>
        <v>207.11938580878308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1.5064262350815258</v>
      </c>
      <c r="CL70" s="21">
        <f>EXP(-LN(2)/25)*CL69+(1-EXP(-LN(2)/25))/(LN(2)/25)*Calculateur!CG70*Calculateur!CI70*VLOOKUP('Données projet'!$B$12,Paramètres!$A$1:$I$89,3,0)*0.475*44/12</f>
        <v>2.8160960840024623</v>
      </c>
      <c r="CM70" s="21">
        <f>EXP(-LN(2)/2)*CM69+(1-EXP(-LN(2)/2))/(LN(2)/2)*CG70*CJ70*VLOOKUP('Données projet'!$B$12,Paramètres!$A$1:$I$89,3,0)*0.475*44/12</f>
        <v>2.6521296169434269E-5</v>
      </c>
      <c r="CN70" s="22">
        <f t="shared" si="66"/>
        <v>4.3225488403801577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13.4</v>
      </c>
      <c r="CT70" s="12">
        <f>IF('Données projet'!$A$140&gt;35,CT69+CS70-DB69,IF(A70&lt;'Données projet'!$A$140,$CQ$205^A70,IF(A70='Données projet'!$A$140,'Données projet'!$B$140,CT69+CS70-DB69)))</f>
        <v>573.79999999999973</v>
      </c>
      <c r="CU70" s="17">
        <f>CT70*VLOOKUP('Données projet'!$B$13,Paramètres!$A$1:$I$89,3,0)*VLOOKUP('Données projet'!$B$13,Paramètres!$A$1:$I$89,5,0)</f>
        <v>320.75419999999986</v>
      </c>
      <c r="CV70" s="13">
        <f t="shared" si="95"/>
        <v>75.510258133660997</v>
      </c>
      <c r="CW70" s="20">
        <f t="shared" si="67"/>
        <v>690.16059791612599</v>
      </c>
      <c r="CX70" s="59">
        <f t="shared" si="68"/>
        <v>983.49393124945937</v>
      </c>
      <c r="CY70" s="59">
        <f ca="1">AVERAGE(OFFSET($CX$3,0,0,'Données projet'!$E$13+1,1))-AVERAGE(OFFSET($H$3,0,0,'Données projet'!$E$13+1,1))</f>
        <v>356.67698551373468</v>
      </c>
      <c r="CZ70" s="59">
        <f t="shared" si="96"/>
        <v>353.21836615408171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2.1952761886203804</v>
      </c>
      <c r="DG70" s="21">
        <f>EXP(-LN(2)/25)*DG69+(1-EXP(-LN(2)/25))/(LN(2)/25)*Calculateur!DB70*Calculateur!DD70*VLOOKUP('Données projet'!$B$13,Paramètres!$A$1:$I$89,3,0)*0.475*44/12</f>
        <v>10.816664379444216</v>
      </c>
      <c r="DH70" s="21">
        <f>EXP(-LN(2)/2)*DH69+(1-EXP(-LN(2)/2))/(LN(2)/2)*DB70*DE70*VLOOKUP('Données projet'!$B$13,Paramètres!$A$1:$I$89,3,0)*0.475*44/12</f>
        <v>8.7725026035625131E-5</v>
      </c>
      <c r="DI70" s="22">
        <f t="shared" si="69"/>
        <v>13.012028293090632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9.1999999999999993</v>
      </c>
      <c r="DO70" s="12">
        <f>IF('Données projet'!$A$166&gt;35,DO69+DN70-DW69,IF(A70&lt;'Données projet'!$A$166,$DL$205^A70,IF(A70='Données projet'!$A$166,'Données projet'!$B$166,DO69+DN70-DW69)))</f>
        <v>394.39999999999969</v>
      </c>
      <c r="DP70" s="17">
        <f>DO70*VLOOKUP('Données projet'!$B$14,Paramètres!$A$1:$I$89,3,0)*VLOOKUP('Données projet'!$B$14,Paramètres!$A$1:$I$89,5,0)</f>
        <v>235.85119999999984</v>
      </c>
      <c r="DQ70" s="13">
        <f t="shared" si="97"/>
        <v>57.545992055843016</v>
      </c>
      <c r="DR70" s="20">
        <f t="shared" si="70"/>
        <v>511.0001094972597</v>
      </c>
      <c r="DS70" s="59">
        <f t="shared" si="71"/>
        <v>804.33344283059296</v>
      </c>
      <c r="DT70" s="59">
        <f ca="1">AVERAGE(OFFSET($DS$3,0,0,'Données projet'!$E$14+1,1))-AVERAGE(OFFSET($H$3,0,0,'Données projet'!$E$14+1,1))</f>
        <v>247.30892363953825</v>
      </c>
      <c r="DU70" s="59">
        <f t="shared" si="98"/>
        <v>248.38414731596578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4.6063172258285388</v>
      </c>
      <c r="EC70" s="21">
        <f>EXP(-LN(2)/2)*EC69+(1-EXP(-LN(2)/2))/(LN(2)/2)*DW70*DZ70*VLOOKUP('Données projet'!$B$14,Paramètres!$A$1:$I$89,3,0)*0.475*44/12</f>
        <v>6.4007535095189484E-5</v>
      </c>
      <c r="ED70" s="22">
        <f t="shared" si="72"/>
        <v>4.606381233363634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9.1999999999999993</v>
      </c>
      <c r="EJ70" s="12">
        <f>IF('Données projet'!$A$192&gt;35,EJ69+EI70-ER69,IF(A70&lt;'Données projet'!$A$192,$EG$205^A70,IF(A70='Données projet'!$A$192,'Données projet'!$B$192,EJ69+EI70-ER69)))</f>
        <v>394.39999999999969</v>
      </c>
      <c r="EK70" s="17">
        <f>EJ70*VLOOKUP('Données projet'!$B$15,Paramètres!$A$1:$I$89,3,0)*VLOOKUP('Données projet'!$B$15,Paramètres!$A$1:$I$89,5,0)</f>
        <v>235.85119999999984</v>
      </c>
      <c r="EL70" s="13">
        <f t="shared" si="99"/>
        <v>57.545992055843016</v>
      </c>
      <c r="EM70" s="20">
        <f t="shared" si="73"/>
        <v>511.0001094972597</v>
      </c>
      <c r="EN70" s="59">
        <f t="shared" si="74"/>
        <v>804.33344283059296</v>
      </c>
      <c r="EO70" s="59">
        <f ca="1">AVERAGE(OFFSET($EN$3,0,0,'Données projet'!$E$15+1,1))-AVERAGE(OFFSET($H$3,0,0,'Données projet'!$E$15+1,1))</f>
        <v>247.30892363953825</v>
      </c>
      <c r="EP70" s="59">
        <f t="shared" si="100"/>
        <v>248.38414731596578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4.6063172258285388</v>
      </c>
      <c r="EX70" s="21">
        <f>EXP(-LN(2)/2)*EX69+(1-EXP(-LN(2)/2))/(LN(2)/2)*ER70*EU70*VLOOKUP('Données projet'!$B$15,Paramètres!$A$1:$I$89,3,0)*0.475*44/12</f>
        <v>6.4007535095189484E-5</v>
      </c>
      <c r="EY70" s="22">
        <f t="shared" si="75"/>
        <v>4.606381233363634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17</v>
      </c>
      <c r="FE70" s="12">
        <f>IF('Données projet'!$A$218&gt;35,FE69+FD70-FM69,IF(A70&lt;'Données projet'!$A$218,$FB$205^A70,IF(A70='Données projet'!$A$218,'Données projet'!$B$218,FE69+FD70-FM69)))</f>
        <v>643.00000000000023</v>
      </c>
      <c r="FF70" s="17">
        <f>FE70*VLOOKUP('Données projet'!$B$16,Paramètres!$A$1:$I$89,3,0)*VLOOKUP('Données projet'!$B$16,Paramètres!$A$1:$I$89,5,0)</f>
        <v>309.28300000000013</v>
      </c>
      <c r="FG70" s="13">
        <f t="shared" si="101"/>
        <v>73.11907186062929</v>
      </c>
      <c r="FH70" s="20">
        <f t="shared" si="76"/>
        <v>666.01694182392941</v>
      </c>
      <c r="FI70" s="59">
        <f t="shared" si="77"/>
        <v>959.35027515726279</v>
      </c>
      <c r="FJ70" s="59">
        <f ca="1">AVERAGE(OFFSET($FI$3,0,0,'Données projet'!$E$16+1,1))-AVERAGE(OFFSET($H$3,0,0,'Données projet'!$E$16+1,1))</f>
        <v>322.54393676667081</v>
      </c>
      <c r="FK70" s="59">
        <f t="shared" si="102"/>
        <v>296.73904998640018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3.2382147101244132</v>
      </c>
      <c r="FR70" s="21">
        <f>EXP(-LN(2)/25)*FR69+(1-EXP(-LN(2)/25))/(LN(2)/25)*Calculateur!FM70*Calculateur!FO70*VLOOKUP('Données projet'!$B$16,Paramètres!$A$1:$I$89,3,0)*0.475*44/12</f>
        <v>4.8120440575280217</v>
      </c>
      <c r="FS70" s="21">
        <f>EXP(-LN(2)/2)*FS69+(1-EXP(-LN(2)/2))/(LN(2)/2)*FM70*FP70*VLOOKUP('Données projet'!$B$16,Paramètres!$A$1:$I$89,3,0)*0.475*44/12</f>
        <v>5.6410106565815326E-5</v>
      </c>
      <c r="FT70" s="22">
        <f t="shared" si="78"/>
        <v>8.0503151777590016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1070.6533602940669</v>
      </c>
      <c r="S71" s="59">
        <f ca="1">AVERAGE(OFFSET($R$3,0,0,'Données projet'!$E$9+1,1))-AVERAGE(OFFSET($H$3,0,0,'Données projet'!$E$9+1,1))</f>
        <v>401.06118089678654</v>
      </c>
      <c r="T71" s="59">
        <f t="shared" si="88"/>
        <v>399.58193819355591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358.40000000000038</v>
      </c>
      <c r="AJ71" s="13">
        <f>AI71*VLOOKUP('Données projet'!$B$10,Paramètres!$A$1:$I$89,3,0)*VLOOKUP('Données projet'!$B$10,Paramètres!$A$1:$I$89,5,0)</f>
        <v>223.64160000000024</v>
      </c>
      <c r="AK71" s="13">
        <f t="shared" si="89"/>
        <v>54.905611653539268</v>
      </c>
      <c r="AL71" s="20">
        <f t="shared" si="58"/>
        <v>485.13639362991461</v>
      </c>
      <c r="AM71" s="59">
        <f t="shared" si="59"/>
        <v>778.46972696324792</v>
      </c>
      <c r="AN71" s="59">
        <f ca="1">AVERAGE(OFFSET($AM$3,0,0,'Données projet'!$E$10+1,1))-AVERAGE(OFFSET($H$3,0,0,'Données projet'!$E$10+1,1))</f>
        <v>240.30073883588199</v>
      </c>
      <c r="AO71" s="59">
        <f t="shared" si="90"/>
        <v>263.20351282678843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3.2761189774089035</v>
      </c>
      <c r="AV71" s="21">
        <f>EXP(-LN(2)/25)*AV70+(1-EXP(-LN(2)/25))/(LN(2)/25)*Calculateur!AQ71*Calculateur!AS71*VLOOKUP('Données projet'!$B$10,Paramètres!$A$1:$I$89,3,0)*0.475*44/12</f>
        <v>7.2484509145614009</v>
      </c>
      <c r="AW71" s="21">
        <f>EXP(-LN(2)/2)*AW70+(1-EXP(-LN(2)/2))/(LN(2)/2)*AQ71*AT71*VLOOKUP('Données projet'!$B$10,Paramètres!$A$1:$I$89,3,0)*0.475*44/12</f>
        <v>3.8510924346380432E-5</v>
      </c>
      <c r="AX71" s="21">
        <f t="shared" si="60"/>
        <v>10.524608402894652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18.600000000000001</v>
      </c>
      <c r="BD71" s="12">
        <f>IF('Données projet'!$A$88&gt;35,BD70+BC71-BL70,IF(A71&lt;'Données projet'!$A$88,$BA$205^A71,IF(A71='Données projet'!$A$88,'Données projet'!$B$88,BD70+BC71-BL70)))</f>
        <v>723.80000000000018</v>
      </c>
      <c r="BE71" s="13">
        <f>BD71*VLOOKUP('Données projet'!$B$11,Paramètres!$A$1:$I$89,3,0)*VLOOKUP('Données projet'!$B$11,Paramètres!$A$1:$I$89,5,0)</f>
        <v>348.14780000000007</v>
      </c>
      <c r="BF71" s="13">
        <f t="shared" si="91"/>
        <v>81.181006324901517</v>
      </c>
      <c r="BG71" s="20">
        <f t="shared" si="61"/>
        <v>747.74767101587031</v>
      </c>
      <c r="BH71" s="59">
        <f t="shared" si="62"/>
        <v>1041.0810043492036</v>
      </c>
      <c r="BI71" s="59">
        <f ca="1">AVERAGE(OFFSET($BH$3,0,0,'Données projet'!$E$11+1,1))-AVERAGE(OFFSET($H$3,0,0,'Données projet'!$E$11+1,1))</f>
        <v>364.67510777943329</v>
      </c>
      <c r="BJ71" s="59">
        <f t="shared" si="92"/>
        <v>352.13878061387169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4.1668138243919532</v>
      </c>
      <c r="BQ71" s="21">
        <f>EXP(-LN(2)/25)*BQ70+(1-EXP(-LN(2)/25))/(LN(2)/25)*Calculateur!BL71*Calculateur!BN71*VLOOKUP('Données projet'!$B$11,Paramètres!$A$1:$I$89,3,0)*0.475*44/12</f>
        <v>6.2816612679586141</v>
      </c>
      <c r="BR71" s="21">
        <f>EXP(-LN(2)/2)*BR70+(1-EXP(-LN(2)/2))/(LN(2)/2)*BL71*BO71*VLOOKUP('Données projet'!$B$11,Paramètres!$A$1:$I$89,3,0)*0.475*44/12</f>
        <v>5.2401650523450708E-5</v>
      </c>
      <c r="BS71" s="22">
        <f t="shared" si="63"/>
        <v>10.448527494001089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415.39999999999986</v>
      </c>
      <c r="BZ71" s="13">
        <f>BY71*VLOOKUP('Données projet'!$B$12,Paramètres!$A$1:$I$89,3,0)*VLOOKUP('Données projet'!$B$12,Paramètres!$A$1:$I$89,5,0)</f>
        <v>194.40719999999996</v>
      </c>
      <c r="CA71" s="13">
        <f t="shared" si="93"/>
        <v>48.513018020179601</v>
      </c>
      <c r="CB71" s="20">
        <f t="shared" si="64"/>
        <v>423.08604638514606</v>
      </c>
      <c r="CC71" s="59">
        <f t="shared" si="65"/>
        <v>716.41937971847938</v>
      </c>
      <c r="CD71" s="59">
        <f ca="1">AVERAGE(OFFSET($CC$3,0,0,'Données projet'!$E$12+1,1))-AVERAGE(OFFSET($H$3,0,0,'Données projet'!$E$12+1,1))</f>
        <v>252.98248842635206</v>
      </c>
      <c r="CE71" s="59">
        <f t="shared" si="94"/>
        <v>207.11938580878308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1.4768861354408536</v>
      </c>
      <c r="CL71" s="21">
        <f>EXP(-LN(2)/25)*CL70+(1-EXP(-LN(2)/25))/(LN(2)/25)*Calculateur!CG71*Calculateur!CI71*VLOOKUP('Données projet'!$B$12,Paramètres!$A$1:$I$89,3,0)*0.475*44/12</f>
        <v>2.739089788493358</v>
      </c>
      <c r="CM71" s="21">
        <f>EXP(-LN(2)/2)*CM70+(1-EXP(-LN(2)/2))/(LN(2)/2)*CG71*CJ71*VLOOKUP('Données projet'!$B$12,Paramètres!$A$1:$I$89,3,0)*0.475*44/12</f>
        <v>1.8753388367263778E-5</v>
      </c>
      <c r="CN71" s="22">
        <f t="shared" si="66"/>
        <v>4.2159946773225787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13.4</v>
      </c>
      <c r="CT71" s="12">
        <f>IF('Données projet'!$A$140&gt;35,CT70+CS71-DB70,IF(A71&lt;'Données projet'!$A$140,$CQ$205^A71,IF(A71='Données projet'!$A$140,'Données projet'!$B$140,CT70+CS71-DB70)))</f>
        <v>587.1999999999997</v>
      </c>
      <c r="CU71" s="17">
        <f>CT71*VLOOKUP('Données projet'!$B$13,Paramètres!$A$1:$I$89,3,0)*VLOOKUP('Données projet'!$B$13,Paramètres!$A$1:$I$89,5,0)</f>
        <v>328.24479999999983</v>
      </c>
      <c r="CV71" s="13">
        <f t="shared" si="95"/>
        <v>77.066296561336628</v>
      </c>
      <c r="CW71" s="20">
        <f t="shared" si="67"/>
        <v>705.91682651099427</v>
      </c>
      <c r="CX71" s="59">
        <f t="shared" si="68"/>
        <v>999.25015984432753</v>
      </c>
      <c r="CY71" s="59">
        <f ca="1">AVERAGE(OFFSET($CX$3,0,0,'Données projet'!$E$13+1,1))-AVERAGE(OFFSET($H$3,0,0,'Données projet'!$E$13+1,1))</f>
        <v>356.67698551373468</v>
      </c>
      <c r="CZ71" s="59">
        <f t="shared" si="96"/>
        <v>353.21836615408171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2.1522281615477961</v>
      </c>
      <c r="DG71" s="21">
        <f>EXP(-LN(2)/25)*DG70+(1-EXP(-LN(2)/25))/(LN(2)/25)*Calculateur!DB71*Calculateur!DD71*VLOOKUP('Données projet'!$B$13,Paramètres!$A$1:$I$89,3,0)*0.475*44/12</f>
        <v>10.520882123164656</v>
      </c>
      <c r="DH71" s="21">
        <f>EXP(-LN(2)/2)*DH70+(1-EXP(-LN(2)/2))/(LN(2)/2)*DB71*DE71*VLOOKUP('Données projet'!$B$13,Paramètres!$A$1:$I$89,3,0)*0.475*44/12</f>
        <v>6.2030960789556964E-5</v>
      </c>
      <c r="DI71" s="22">
        <f t="shared" si="69"/>
        <v>12.673172315673241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9.1999999999999993</v>
      </c>
      <c r="DO71" s="12">
        <f>IF('Données projet'!$A$166&gt;35,DO70+DN71-DW70,IF(A71&lt;'Données projet'!$A$166,$DL$205^A71,IF(A71='Données projet'!$A$166,'Données projet'!$B$166,DO70+DN71-DW70)))</f>
        <v>403.59999999999968</v>
      </c>
      <c r="DP71" s="17">
        <f>DO71*VLOOKUP('Données projet'!$B$14,Paramètres!$A$1:$I$89,3,0)*VLOOKUP('Données projet'!$B$14,Paramètres!$A$1:$I$89,5,0)</f>
        <v>241.35279999999983</v>
      </c>
      <c r="DQ71" s="13">
        <f t="shared" si="97"/>
        <v>58.730496708031964</v>
      </c>
      <c r="DR71" s="20">
        <f t="shared" si="70"/>
        <v>522.64507509982207</v>
      </c>
      <c r="DS71" s="59">
        <f t="shared" si="71"/>
        <v>815.97840843315544</v>
      </c>
      <c r="DT71" s="59">
        <f ca="1">AVERAGE(OFFSET($DS$3,0,0,'Données projet'!$E$14+1,1))-AVERAGE(OFFSET($H$3,0,0,'Données projet'!$E$14+1,1))</f>
        <v>247.30892363953825</v>
      </c>
      <c r="DU71" s="59">
        <f t="shared" si="98"/>
        <v>248.38414731596578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4.4803572390525623</v>
      </c>
      <c r="EC71" s="21">
        <f>EXP(-LN(2)/2)*EC70+(1-EXP(-LN(2)/2))/(LN(2)/2)*DW71*DZ71*VLOOKUP('Données projet'!$B$14,Paramètres!$A$1:$I$89,3,0)*0.475*44/12</f>
        <v>4.5260162112844413E-5</v>
      </c>
      <c r="ED71" s="22">
        <f t="shared" si="72"/>
        <v>4.4804024992146756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9.1999999999999993</v>
      </c>
      <c r="EJ71" s="12">
        <f>IF('Données projet'!$A$192&gt;35,EJ70+EI71-ER70,IF(A71&lt;'Données projet'!$A$192,$EG$205^A71,IF(A71='Données projet'!$A$192,'Données projet'!$B$192,EJ70+EI71-ER70)))</f>
        <v>403.59999999999968</v>
      </c>
      <c r="EK71" s="17">
        <f>EJ71*VLOOKUP('Données projet'!$B$15,Paramètres!$A$1:$I$89,3,0)*VLOOKUP('Données projet'!$B$15,Paramètres!$A$1:$I$89,5,0)</f>
        <v>241.35279999999983</v>
      </c>
      <c r="EL71" s="13">
        <f t="shared" si="99"/>
        <v>58.730496708031964</v>
      </c>
      <c r="EM71" s="20">
        <f t="shared" si="73"/>
        <v>522.64507509982207</v>
      </c>
      <c r="EN71" s="59">
        <f t="shared" si="74"/>
        <v>815.97840843315544</v>
      </c>
      <c r="EO71" s="59">
        <f ca="1">AVERAGE(OFFSET($EN$3,0,0,'Données projet'!$E$15+1,1))-AVERAGE(OFFSET($H$3,0,0,'Données projet'!$E$15+1,1))</f>
        <v>247.30892363953825</v>
      </c>
      <c r="EP71" s="59">
        <f t="shared" si="100"/>
        <v>248.38414731596578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4.4803572390525623</v>
      </c>
      <c r="EX71" s="21">
        <f>EXP(-LN(2)/2)*EX70+(1-EXP(-LN(2)/2))/(LN(2)/2)*ER71*EU71*VLOOKUP('Données projet'!$B$15,Paramètres!$A$1:$I$89,3,0)*0.475*44/12</f>
        <v>4.5260162112844413E-5</v>
      </c>
      <c r="EY71" s="22">
        <f t="shared" si="75"/>
        <v>4.4804024992146756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17</v>
      </c>
      <c r="FE71" s="12">
        <f>IF('Données projet'!$A$218&gt;35,FE70+FD71-FM70,IF(A71&lt;'Données projet'!$A$218,$FB$205^A71,IF(A71='Données projet'!$A$218,'Données projet'!$B$218,FE70+FD71-FM70)))</f>
        <v>660.00000000000023</v>
      </c>
      <c r="FF71" s="17">
        <f>FE71*VLOOKUP('Données projet'!$B$16,Paramètres!$A$1:$I$89,3,0)*VLOOKUP('Données projet'!$B$16,Paramètres!$A$1:$I$89,5,0)</f>
        <v>317.46000000000009</v>
      </c>
      <c r="FG71" s="13">
        <f t="shared" si="101"/>
        <v>74.824612395693549</v>
      </c>
      <c r="FH71" s="20">
        <f t="shared" si="76"/>
        <v>683.2290332558332</v>
      </c>
      <c r="FI71" s="59">
        <f t="shared" si="77"/>
        <v>976.56236658916646</v>
      </c>
      <c r="FJ71" s="59">
        <f ca="1">AVERAGE(OFFSET($FI$3,0,0,'Données projet'!$E$16+1,1))-AVERAGE(OFFSET($H$3,0,0,'Données projet'!$E$16+1,1))</f>
        <v>322.54393676667081</v>
      </c>
      <c r="FK71" s="59">
        <f t="shared" si="102"/>
        <v>296.73904998640018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3.1747152947748201</v>
      </c>
      <c r="FR71" s="21">
        <f>EXP(-LN(2)/25)*FR70+(1-EXP(-LN(2)/25))/(LN(2)/25)*Calculateur!FM71*Calculateur!FO71*VLOOKUP('Données projet'!$B$16,Paramètres!$A$1:$I$89,3,0)*0.475*44/12</f>
        <v>4.6804584597205192</v>
      </c>
      <c r="FS71" s="21">
        <f>EXP(-LN(2)/2)*FS70+(1-EXP(-LN(2)/2))/(LN(2)/2)*FM71*FP71*VLOOKUP('Données projet'!$B$16,Paramètres!$A$1:$I$89,3,0)*0.475*44/12</f>
        <v>3.9887968880143805E-5</v>
      </c>
      <c r="FT71" s="22">
        <f t="shared" si="78"/>
        <v>7.8552136424642196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1087.6619532059442</v>
      </c>
      <c r="S72" s="59">
        <f ca="1">AVERAGE(OFFSET($R$3,0,0,'Données projet'!$E$9+1,1))-AVERAGE(OFFSET($H$3,0,0,'Données projet'!$E$9+1,1))</f>
        <v>401.06118089678654</v>
      </c>
      <c r="T72" s="59">
        <f t="shared" si="88"/>
        <v>399.58193819355591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365.20000000000039</v>
      </c>
      <c r="AJ72" s="13">
        <f>AI72*VLOOKUP('Données projet'!$B$10,Paramètres!$A$1:$I$89,3,0)*VLOOKUP('Données projet'!$B$10,Paramètres!$A$1:$I$89,5,0)</f>
        <v>227.88480000000027</v>
      </c>
      <c r="AK72" s="13">
        <f t="shared" si="89"/>
        <v>55.825080201942662</v>
      </c>
      <c r="AL72" s="20">
        <f t="shared" si="58"/>
        <v>494.12804135171729</v>
      </c>
      <c r="AM72" s="59">
        <f t="shared" si="59"/>
        <v>787.4613746850506</v>
      </c>
      <c r="AN72" s="59">
        <f ca="1">AVERAGE(OFFSET($AM$3,0,0,'Données projet'!$E$10+1,1))-AVERAGE(OFFSET($H$3,0,0,'Données projet'!$E$10+1,1))</f>
        <v>240.30073883588199</v>
      </c>
      <c r="AO72" s="59">
        <f t="shared" si="90"/>
        <v>263.20351282678843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3.2118762824971818</v>
      </c>
      <c r="AV72" s="21">
        <f>EXP(-LN(2)/25)*AV71+(1-EXP(-LN(2)/25))/(LN(2)/25)*Calculateur!AQ72*Calculateur!AS72*VLOOKUP('Données projet'!$B$10,Paramètres!$A$1:$I$89,3,0)*0.475*44/12</f>
        <v>7.0502416431232522</v>
      </c>
      <c r="AW72" s="21">
        <f>EXP(-LN(2)/2)*AW71+(1-EXP(-LN(2)/2))/(LN(2)/2)*AQ72*AT72*VLOOKUP('Données projet'!$B$10,Paramètres!$A$1:$I$89,3,0)*0.475*44/12</f>
        <v>2.7231335755087714E-5</v>
      </c>
      <c r="AX72" s="21">
        <f t="shared" si="60"/>
        <v>10.262145156956189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18.600000000000001</v>
      </c>
      <c r="BD72" s="12">
        <f>IF('Données projet'!$A$88&gt;35,BD71+BC72-BL71,IF(A72&lt;'Données projet'!$A$88,$BA$205^A72,IF(A72='Données projet'!$A$88,'Données projet'!$B$88,BD71+BC72-BL71)))</f>
        <v>742.4000000000002</v>
      </c>
      <c r="BE72" s="13">
        <f>BD72*VLOOKUP('Données projet'!$B$11,Paramètres!$A$1:$I$89,3,0)*VLOOKUP('Données projet'!$B$11,Paramètres!$A$1:$I$89,5,0)</f>
        <v>357.09440000000006</v>
      </c>
      <c r="BF72" s="13">
        <f t="shared" si="91"/>
        <v>83.021611423925535</v>
      </c>
      <c r="BG72" s="20">
        <f t="shared" si="61"/>
        <v>766.53538656333706</v>
      </c>
      <c r="BH72" s="59">
        <f t="shared" si="62"/>
        <v>1059.8687198966704</v>
      </c>
      <c r="BI72" s="59">
        <f ca="1">AVERAGE(OFFSET($BH$3,0,0,'Données projet'!$E$11+1,1))-AVERAGE(OFFSET($H$3,0,0,'Données projet'!$E$11+1,1))</f>
        <v>364.67510777943329</v>
      </c>
      <c r="BJ72" s="59">
        <f t="shared" si="92"/>
        <v>352.13878061387169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4.0851051468011068</v>
      </c>
      <c r="BQ72" s="21">
        <f>EXP(-LN(2)/25)*BQ71+(1-EXP(-LN(2)/25))/(LN(2)/25)*Calculateur!BL72*Calculateur!BN72*VLOOKUP('Données projet'!$B$11,Paramètres!$A$1:$I$89,3,0)*0.475*44/12</f>
        <v>6.1098889102480767</v>
      </c>
      <c r="BR72" s="21">
        <f>EXP(-LN(2)/2)*BR71+(1-EXP(-LN(2)/2))/(LN(2)/2)*BL72*BO72*VLOOKUP('Données projet'!$B$11,Paramètres!$A$1:$I$89,3,0)*0.475*44/12</f>
        <v>3.7053562430499593E-5</v>
      </c>
      <c r="BS72" s="22">
        <f t="shared" si="63"/>
        <v>10.195031110611612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430.89999999999986</v>
      </c>
      <c r="BZ72" s="13">
        <f>BY72*VLOOKUP('Données projet'!$B$12,Paramètres!$A$1:$I$89,3,0)*VLOOKUP('Données projet'!$B$12,Paramètres!$A$1:$I$89,5,0)</f>
        <v>201.66119999999992</v>
      </c>
      <c r="CA72" s="13">
        <f t="shared" si="93"/>
        <v>50.109073265229782</v>
      </c>
      <c r="CB72" s="20">
        <f t="shared" si="64"/>
        <v>438.49989260360843</v>
      </c>
      <c r="CC72" s="59">
        <f t="shared" si="65"/>
        <v>731.83322593694174</v>
      </c>
      <c r="CD72" s="59">
        <f ca="1">AVERAGE(OFFSET($CC$3,0,0,'Données projet'!$E$12+1,1))-AVERAGE(OFFSET($H$3,0,0,'Données projet'!$E$12+1,1))</f>
        <v>252.98248842635206</v>
      </c>
      <c r="CE72" s="59">
        <f t="shared" si="94"/>
        <v>207.11938580878308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1.4479252991364533</v>
      </c>
      <c r="CL72" s="21">
        <f>EXP(-LN(2)/25)*CL71+(1-EXP(-LN(2)/25))/(LN(2)/25)*Calculateur!CG72*Calculateur!CI72*VLOOKUP('Données projet'!$B$12,Paramètres!$A$1:$I$89,3,0)*0.475*44/12</f>
        <v>2.6641892341845357</v>
      </c>
      <c r="CM72" s="21">
        <f>EXP(-LN(2)/2)*CM71+(1-EXP(-LN(2)/2))/(LN(2)/2)*CG72*CJ72*VLOOKUP('Données projet'!$B$12,Paramètres!$A$1:$I$89,3,0)*0.475*44/12</f>
        <v>1.3260648084717135E-5</v>
      </c>
      <c r="CN72" s="22">
        <f t="shared" si="66"/>
        <v>4.1121277939690737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13.4</v>
      </c>
      <c r="CT72" s="12">
        <f>IF('Données projet'!$A$140&gt;35,CT71+CS72-DB71,IF(A72&lt;'Données projet'!$A$140,$CQ$205^A72,IF(A72='Données projet'!$A$140,'Données projet'!$B$140,CT71+CS72-DB71)))</f>
        <v>600.59999999999968</v>
      </c>
      <c r="CU72" s="17">
        <f>CT72*VLOOKUP('Données projet'!$B$13,Paramètres!$A$1:$I$89,3,0)*VLOOKUP('Données projet'!$B$13,Paramètres!$A$1:$I$89,5,0)</f>
        <v>335.73539999999986</v>
      </c>
      <c r="CV72" s="13">
        <f t="shared" si="95"/>
        <v>78.618206841401843</v>
      </c>
      <c r="CW72" s="20">
        <f t="shared" si="67"/>
        <v>721.66586524877459</v>
      </c>
      <c r="CX72" s="59">
        <f t="shared" si="68"/>
        <v>1014.999198582108</v>
      </c>
      <c r="CY72" s="59">
        <f ca="1">AVERAGE(OFFSET($CX$3,0,0,'Données projet'!$E$13+1,1))-AVERAGE(OFFSET($H$3,0,0,'Données projet'!$E$13+1,1))</f>
        <v>356.67698551373468</v>
      </c>
      <c r="CZ72" s="59">
        <f t="shared" si="96"/>
        <v>353.21836615408171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2.1100242800294011</v>
      </c>
      <c r="DG72" s="21">
        <f>EXP(-LN(2)/25)*DG71+(1-EXP(-LN(2)/25))/(LN(2)/25)*Calculateur!DB72*Calculateur!DD72*VLOOKUP('Données projet'!$B$13,Paramètres!$A$1:$I$89,3,0)*0.475*44/12</f>
        <v>10.233188048237572</v>
      </c>
      <c r="DH72" s="21">
        <f>EXP(-LN(2)/2)*DH71+(1-EXP(-LN(2)/2))/(LN(2)/2)*DB72*DE72*VLOOKUP('Données projet'!$B$13,Paramètres!$A$1:$I$89,3,0)*0.475*44/12</f>
        <v>4.3862513017812565E-5</v>
      </c>
      <c r="DI72" s="22">
        <f t="shared" si="69"/>
        <v>12.343256190779991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9.1999999999999993</v>
      </c>
      <c r="DO72" s="12">
        <f>IF('Données projet'!$A$166&gt;35,DO71+DN72-DW71,IF(A72&lt;'Données projet'!$A$166,$DL$205^A72,IF(A72='Données projet'!$A$166,'Données projet'!$B$166,DO71+DN72-DW71)))</f>
        <v>412.79999999999967</v>
      </c>
      <c r="DP72" s="17">
        <f>DO72*VLOOKUP('Données projet'!$B$14,Paramètres!$A$1:$I$89,3,0)*VLOOKUP('Données projet'!$B$14,Paramètres!$A$1:$I$89,5,0)</f>
        <v>246.85439999999983</v>
      </c>
      <c r="DQ72" s="13">
        <f t="shared" si="97"/>
        <v>59.911862368716115</v>
      </c>
      <c r="DR72" s="20">
        <f t="shared" si="70"/>
        <v>534.28457362551364</v>
      </c>
      <c r="DS72" s="59">
        <f t="shared" si="71"/>
        <v>827.61790695884702</v>
      </c>
      <c r="DT72" s="59">
        <f ca="1">AVERAGE(OFFSET($DS$3,0,0,'Données projet'!$E$14+1,1))-AVERAGE(OFFSET($H$3,0,0,'Données projet'!$E$14+1,1))</f>
        <v>247.30892363953825</v>
      </c>
      <c r="DU72" s="59">
        <f t="shared" si="98"/>
        <v>248.38414731596578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4.3578416347389224</v>
      </c>
      <c r="EC72" s="21">
        <f>EXP(-LN(2)/2)*EC71+(1-EXP(-LN(2)/2))/(LN(2)/2)*DW72*DZ72*VLOOKUP('Données projet'!$B$14,Paramètres!$A$1:$I$89,3,0)*0.475*44/12</f>
        <v>3.2003767547594742E-5</v>
      </c>
      <c r="ED72" s="22">
        <f t="shared" si="72"/>
        <v>4.3578736385064696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9.1999999999999993</v>
      </c>
      <c r="EJ72" s="12">
        <f>IF('Données projet'!$A$192&gt;35,EJ71+EI72-ER71,IF(A72&lt;'Données projet'!$A$192,$EG$205^A72,IF(A72='Données projet'!$A$192,'Données projet'!$B$192,EJ71+EI72-ER71)))</f>
        <v>412.79999999999967</v>
      </c>
      <c r="EK72" s="17">
        <f>EJ72*VLOOKUP('Données projet'!$B$15,Paramètres!$A$1:$I$89,3,0)*VLOOKUP('Données projet'!$B$15,Paramètres!$A$1:$I$89,5,0)</f>
        <v>246.85439999999983</v>
      </c>
      <c r="EL72" s="13">
        <f t="shared" si="99"/>
        <v>59.911862368716115</v>
      </c>
      <c r="EM72" s="20">
        <f t="shared" si="73"/>
        <v>534.28457362551364</v>
      </c>
      <c r="EN72" s="59">
        <f t="shared" si="74"/>
        <v>827.61790695884702</v>
      </c>
      <c r="EO72" s="59">
        <f ca="1">AVERAGE(OFFSET($EN$3,0,0,'Données projet'!$E$15+1,1))-AVERAGE(OFFSET($H$3,0,0,'Données projet'!$E$15+1,1))</f>
        <v>247.30892363953825</v>
      </c>
      <c r="EP72" s="59">
        <f t="shared" si="100"/>
        <v>248.38414731596578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4.3578416347389224</v>
      </c>
      <c r="EX72" s="21">
        <f>EXP(-LN(2)/2)*EX71+(1-EXP(-LN(2)/2))/(LN(2)/2)*ER72*EU72*VLOOKUP('Données projet'!$B$15,Paramètres!$A$1:$I$89,3,0)*0.475*44/12</f>
        <v>3.2003767547594742E-5</v>
      </c>
      <c r="EY72" s="22">
        <f t="shared" si="75"/>
        <v>4.3578736385064696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17</v>
      </c>
      <c r="FE72" s="12">
        <f>IF('Données projet'!$A$218&gt;35,FE71+FD72-FM71,IF(A72&lt;'Données projet'!$A$218,$FB$205^A72,IF(A72='Données projet'!$A$218,'Données projet'!$B$218,FE71+FD72-FM71)))</f>
        <v>677.00000000000023</v>
      </c>
      <c r="FF72" s="17">
        <f>FE72*VLOOKUP('Données projet'!$B$16,Paramètres!$A$1:$I$89,3,0)*VLOOKUP('Données projet'!$B$16,Paramètres!$A$1:$I$89,5,0)</f>
        <v>325.63700000000011</v>
      </c>
      <c r="FG72" s="13">
        <f t="shared" si="101"/>
        <v>76.525046471400174</v>
      </c>
      <c r="FH72" s="20">
        <f t="shared" si="76"/>
        <v>700.43223093768881</v>
      </c>
      <c r="FI72" s="59">
        <f t="shared" si="77"/>
        <v>993.76556427102219</v>
      </c>
      <c r="FJ72" s="59">
        <f ca="1">AVERAGE(OFFSET($FI$3,0,0,'Données projet'!$E$16+1,1))-AVERAGE(OFFSET($H$3,0,0,'Données projet'!$E$16+1,1))</f>
        <v>322.54393676667081</v>
      </c>
      <c r="FK72" s="59">
        <f t="shared" si="102"/>
        <v>296.73904998640018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3.1124610642294135</v>
      </c>
      <c r="FR72" s="21">
        <f>EXP(-LN(2)/25)*FR71+(1-EXP(-LN(2)/25))/(LN(2)/25)*Calculateur!FM72*Calculateur!FO72*VLOOKUP('Données projet'!$B$16,Paramètres!$A$1:$I$89,3,0)*0.475*44/12</f>
        <v>4.5524710770048484</v>
      </c>
      <c r="FS72" s="21">
        <f>EXP(-LN(2)/2)*FS71+(1-EXP(-LN(2)/2))/(LN(2)/2)*FM72*FP72*VLOOKUP('Données projet'!$B$16,Paramètres!$A$1:$I$89,3,0)*0.475*44/12</f>
        <v>2.8205053282907663E-5</v>
      </c>
      <c r="FT72" s="22">
        <f t="shared" si="78"/>
        <v>7.6649603462875451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1104.6631883865857</v>
      </c>
      <c r="S73" s="59">
        <f ca="1">AVERAGE(OFFSET($R$3,0,0,'Données projet'!$E$9+1,1))-AVERAGE(OFFSET($H$3,0,0,'Données projet'!$E$9+1,1))</f>
        <v>401.06118089678654</v>
      </c>
      <c r="T73" s="59">
        <f t="shared" si="88"/>
        <v>399.58193819355591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372.0000000000004</v>
      </c>
      <c r="AJ73" s="13">
        <f>AI73*VLOOKUP('Données projet'!$B$10,Paramètres!$A$1:$I$89,3,0)*VLOOKUP('Données projet'!$B$10,Paramètres!$A$1:$I$89,5,0)</f>
        <v>232.12800000000024</v>
      </c>
      <c r="AK73" s="13">
        <f t="shared" si="89"/>
        <v>56.742557967082448</v>
      </c>
      <c r="AL73" s="20">
        <f t="shared" si="58"/>
        <v>503.11622179266897</v>
      </c>
      <c r="AM73" s="59">
        <f t="shared" si="59"/>
        <v>796.44955512600222</v>
      </c>
      <c r="AN73" s="59">
        <f ca="1">AVERAGE(OFFSET($AM$3,0,0,'Données projet'!$E$10+1,1))-AVERAGE(OFFSET($H$3,0,0,'Données projet'!$E$10+1,1))</f>
        <v>240.30073883588199</v>
      </c>
      <c r="AO73" s="59">
        <f t="shared" si="90"/>
        <v>263.20351282678843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3.1488933476485044</v>
      </c>
      <c r="AV73" s="21">
        <f>EXP(-LN(2)/25)*AV72+(1-EXP(-LN(2)/25))/(LN(2)/25)*Calculateur!AQ73*Calculateur!AS73*VLOOKUP('Données projet'!$B$10,Paramètres!$A$1:$I$89,3,0)*0.475*44/12</f>
        <v>6.8574524146359526</v>
      </c>
      <c r="AW73" s="21">
        <f>EXP(-LN(2)/2)*AW72+(1-EXP(-LN(2)/2))/(LN(2)/2)*AQ73*AT73*VLOOKUP('Données projet'!$B$10,Paramètres!$A$1:$I$89,3,0)*0.475*44/12</f>
        <v>1.9255462173190216E-5</v>
      </c>
      <c r="AX73" s="21">
        <f t="shared" si="60"/>
        <v>10.006365017746631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761</v>
      </c>
      <c r="BB73" s="12">
        <f>VLOOKUP(A73,'Données projet'!$A$87:$I$107,9,0)</f>
        <v>18.600000000000001</v>
      </c>
      <c r="BC73" s="12">
        <f t="array" ref="BC73">INDEX(BB:BB,MIN(IF(ISNUMBER(BB73:BB269),ROW(BB73:BB269),"")))</f>
        <v>18.600000000000001</v>
      </c>
      <c r="BD73" s="12">
        <f>IF('Données projet'!$A$88&gt;35,BD72+BC73-BL72,IF(A73&lt;'Données projet'!$A$88,$BA$205^A73,IF(A73='Données projet'!$A$88,'Données projet'!$B$88,BD72+BC73-BL72)))</f>
        <v>761.00000000000023</v>
      </c>
      <c r="BE73" s="13">
        <f>BD73*VLOOKUP('Données projet'!$B$11,Paramètres!$A$1:$I$89,3,0)*VLOOKUP('Données projet'!$B$11,Paramètres!$A$1:$I$89,5,0)</f>
        <v>366.04100000000017</v>
      </c>
      <c r="BF73" s="13">
        <f t="shared" si="91"/>
        <v>84.856856045244228</v>
      </c>
      <c r="BG73" s="20">
        <f t="shared" si="61"/>
        <v>785.31376594546725</v>
      </c>
      <c r="BH73" s="59">
        <f t="shared" si="62"/>
        <v>1078.6470992788006</v>
      </c>
      <c r="BI73" s="59">
        <f ca="1">AVERAGE(OFFSET($BH$3,0,0,'Données projet'!$E$11+1,1))-AVERAGE(OFFSET($H$3,0,0,'Données projet'!$E$11+1,1))</f>
        <v>364.67510777943329</v>
      </c>
      <c r="BJ73" s="59">
        <f t="shared" si="92"/>
        <v>352.13878061387169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98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4.0049987265404452</v>
      </c>
      <c r="BQ73" s="21">
        <f>EXP(-LN(2)/25)*BQ72+(1-EXP(-LN(2)/25))/(LN(2)/25)*Calculateur!BL73*Calculateur!BN73*VLOOKUP('Données projet'!$B$11,Paramètres!$A$1:$I$89,3,0)*0.475*44/12</f>
        <v>5.9428136766922499</v>
      </c>
      <c r="BR73" s="21">
        <f>EXP(-LN(2)/2)*BR72+(1-EXP(-LN(2)/2))/(LN(2)/2)*BL73*BO73*VLOOKUP('Données projet'!$B$11,Paramètres!$A$1:$I$89,3,0)*0.475*44/12</f>
        <v>2.6200825261725354E-5</v>
      </c>
      <c r="BS73" s="22">
        <f t="shared" si="63"/>
        <v>9.9478386040579583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446.4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446.39999999999986</v>
      </c>
      <c r="BZ73" s="13">
        <f>BY73*VLOOKUP('Données projet'!$B$12,Paramètres!$A$1:$I$89,3,0)*VLOOKUP('Données projet'!$B$12,Paramètres!$A$1:$I$89,5,0)</f>
        <v>208.91519999999994</v>
      </c>
      <c r="CA73" s="13">
        <f t="shared" si="93"/>
        <v>51.698458198123326</v>
      </c>
      <c r="CB73" s="20">
        <f t="shared" si="64"/>
        <v>453.90212136173136</v>
      </c>
      <c r="CC73" s="59">
        <f t="shared" si="65"/>
        <v>747.23545469506462</v>
      </c>
      <c r="CD73" s="59">
        <f ca="1">AVERAGE(OFFSET($CC$3,0,0,'Données projet'!$E$12+1,1))-AVERAGE(OFFSET($H$3,0,0,'Données projet'!$E$12+1,1))</f>
        <v>252.98248842635206</v>
      </c>
      <c r="CE73" s="59">
        <f t="shared" si="94"/>
        <v>207.11938580878308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83.4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1.4195323671676163</v>
      </c>
      <c r="CL73" s="21">
        <f>EXP(-LN(2)/25)*CL72+(1-EXP(-LN(2)/25))/(LN(2)/25)*Calculateur!CG73*Calculateur!CI73*VLOOKUP('Données projet'!$B$12,Paramètres!$A$1:$I$89,3,0)*0.475*44/12</f>
        <v>2.5913368394721368</v>
      </c>
      <c r="CM73" s="21">
        <f>EXP(-LN(2)/2)*CM72+(1-EXP(-LN(2)/2))/(LN(2)/2)*CG73*CJ73*VLOOKUP('Données projet'!$B$12,Paramètres!$A$1:$I$89,3,0)*0.475*44/12</f>
        <v>9.3766941836318892E-6</v>
      </c>
      <c r="CN73" s="22">
        <f t="shared" si="66"/>
        <v>4.0108785833339367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614</v>
      </c>
      <c r="CR73" s="12">
        <f>VLOOKUP(A73,'Données projet'!$A$139:$I$159,9,0)</f>
        <v>13.4</v>
      </c>
      <c r="CS73" s="12">
        <f t="array" ref="CS73">INDEX(CR:CR,MIN(IF(ISNUMBER(CR73:CR269),ROW(CR73:CR269),"")))</f>
        <v>13.4</v>
      </c>
      <c r="CT73" s="12">
        <f>IF('Données projet'!$A$140&gt;35,CT72+CS73-DB72,IF(A73&lt;'Données projet'!$A$140,$CQ$205^A73,IF(A73='Données projet'!$A$140,'Données projet'!$B$140,CT72+CS73-DB72)))</f>
        <v>613.99999999999966</v>
      </c>
      <c r="CU73" s="17">
        <f>CT73*VLOOKUP('Données projet'!$B$13,Paramètres!$A$1:$I$89,3,0)*VLOOKUP('Données projet'!$B$13,Paramètres!$A$1:$I$89,5,0)</f>
        <v>343.22599999999983</v>
      </c>
      <c r="CV73" s="13">
        <f t="shared" si="95"/>
        <v>80.166091681676377</v>
      </c>
      <c r="CW73" s="20">
        <f t="shared" si="67"/>
        <v>737.40789301225266</v>
      </c>
      <c r="CX73" s="59">
        <f t="shared" si="68"/>
        <v>1030.741226345586</v>
      </c>
      <c r="CY73" s="59">
        <f ca="1">AVERAGE(OFFSET($CX$3,0,0,'Données projet'!$E$13+1,1))-AVERAGE(OFFSET($H$3,0,0,'Données projet'!$E$13+1,1))</f>
        <v>356.67698551373468</v>
      </c>
      <c r="CZ73" s="59">
        <f t="shared" si="96"/>
        <v>353.21836615408171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67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2.068647990885756</v>
      </c>
      <c r="DG73" s="21">
        <f>EXP(-LN(2)/25)*DG72+(1-EXP(-LN(2)/25))/(LN(2)/25)*Calculateur!DB73*Calculateur!DD73*VLOOKUP('Données projet'!$B$13,Paramètres!$A$1:$I$89,3,0)*0.475*44/12</f>
        <v>9.9533609829185448</v>
      </c>
      <c r="DH73" s="21">
        <f>EXP(-LN(2)/2)*DH72+(1-EXP(-LN(2)/2))/(LN(2)/2)*DB73*DE73*VLOOKUP('Données projet'!$B$13,Paramètres!$A$1:$I$89,3,0)*0.475*44/12</f>
        <v>3.1015480394778482E-5</v>
      </c>
      <c r="DI73" s="22">
        <f t="shared" si="69"/>
        <v>12.022039989284696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422</v>
      </c>
      <c r="DM73" s="12">
        <f>VLOOKUP(A73,'Données projet'!$A$165:$I$185,9,0)</f>
        <v>9.1999999999999993</v>
      </c>
      <c r="DN73" s="12">
        <f t="array" ref="DN73">INDEX(DM:DM,MIN(IF(ISNUMBER(DM73:DM269),ROW(DM73:DM269),"")))</f>
        <v>9.1999999999999993</v>
      </c>
      <c r="DO73" s="12">
        <f>IF('Données projet'!$A$166&gt;35,DO72+DN73-DW72,IF(A73&lt;'Données projet'!$A$166,$DL$205^A73,IF(A73='Données projet'!$A$166,'Données projet'!$B$166,DO72+DN73-DW72)))</f>
        <v>421.99999999999966</v>
      </c>
      <c r="DP73" s="17">
        <f>DO73*VLOOKUP('Données projet'!$B$14,Paramètres!$A$1:$I$89,3,0)*VLOOKUP('Données projet'!$B$14,Paramètres!$A$1:$I$89,5,0)</f>
        <v>252.35599999999982</v>
      </c>
      <c r="DQ73" s="13">
        <f t="shared" si="97"/>
        <v>61.090167050998701</v>
      </c>
      <c r="DR73" s="20">
        <f t="shared" si="70"/>
        <v>545.9187409471557</v>
      </c>
      <c r="DS73" s="59">
        <f t="shared" si="71"/>
        <v>839.25207428048907</v>
      </c>
      <c r="DT73" s="59">
        <f ca="1">AVERAGE(OFFSET($DS$3,0,0,'Données projet'!$E$14+1,1))-AVERAGE(OFFSET($H$3,0,0,'Données projet'!$E$14+1,1))</f>
        <v>247.30892363953825</v>
      </c>
      <c r="DU73" s="59">
        <f t="shared" si="98"/>
        <v>248.38414731596578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44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4.2386762260680548</v>
      </c>
      <c r="EC73" s="21">
        <f>EXP(-LN(2)/2)*EC72+(1-EXP(-LN(2)/2))/(LN(2)/2)*DW73*DZ73*VLOOKUP('Données projet'!$B$14,Paramètres!$A$1:$I$89,3,0)*0.475*44/12</f>
        <v>2.2630081056422206E-5</v>
      </c>
      <c r="ED73" s="22">
        <f t="shared" si="72"/>
        <v>4.238698856149111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422</v>
      </c>
      <c r="EH73" s="12">
        <f>VLOOKUP(A73,'Données projet'!$A$191:$I$211,9,0)</f>
        <v>9.1999999999999993</v>
      </c>
      <c r="EI73" s="12">
        <f t="array" ref="EI73">INDEX(EH:EH,MIN(IF(ISNUMBER(EH73:EH269),ROW(EH73:EH269),"")))</f>
        <v>9.1999999999999993</v>
      </c>
      <c r="EJ73" s="12">
        <f>IF('Données projet'!$A$192&gt;35,EJ72+EI73-ER72,IF(A73&lt;'Données projet'!$A$192,$EG$205^A73,IF(A73='Données projet'!$A$192,'Données projet'!$B$192,EJ72+EI73-ER72)))</f>
        <v>421.99999999999966</v>
      </c>
      <c r="EK73" s="17">
        <f>EJ73*VLOOKUP('Données projet'!$B$15,Paramètres!$A$1:$I$89,3,0)*VLOOKUP('Données projet'!$B$15,Paramètres!$A$1:$I$89,5,0)</f>
        <v>252.35599999999982</v>
      </c>
      <c r="EL73" s="13">
        <f t="shared" si="99"/>
        <v>61.090167050998701</v>
      </c>
      <c r="EM73" s="20">
        <f t="shared" si="73"/>
        <v>545.9187409471557</v>
      </c>
      <c r="EN73" s="59">
        <f t="shared" si="74"/>
        <v>839.25207428048907</v>
      </c>
      <c r="EO73" s="59">
        <f ca="1">AVERAGE(OFFSET($EN$3,0,0,'Données projet'!$E$15+1,1))-AVERAGE(OFFSET($H$3,0,0,'Données projet'!$E$15+1,1))</f>
        <v>247.30892363953825</v>
      </c>
      <c r="EP73" s="59">
        <f t="shared" si="100"/>
        <v>248.38414731596578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44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4.2386762260680548</v>
      </c>
      <c r="EX73" s="21">
        <f>EXP(-LN(2)/2)*EX72+(1-EXP(-LN(2)/2))/(LN(2)/2)*ER73*EU73*VLOOKUP('Données projet'!$B$15,Paramètres!$A$1:$I$89,3,0)*0.475*44/12</f>
        <v>2.2630081056422206E-5</v>
      </c>
      <c r="EY73" s="22">
        <f t="shared" si="75"/>
        <v>4.238698856149111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694</v>
      </c>
      <c r="FC73" s="12">
        <f>VLOOKUP(A73,'Données projet'!$A$217:$I$237,9,0)</f>
        <v>17</v>
      </c>
      <c r="FD73" s="12">
        <f t="array" ref="FD73">INDEX(FC:FC,MIN(IF(ISNUMBER(FC73:FC269),ROW(FC73:FC269),"")))</f>
        <v>17</v>
      </c>
      <c r="FE73" s="12">
        <f>IF('Données projet'!$A$218&gt;35,FE72+FD73-FM72,IF(A73&lt;'Données projet'!$A$218,$FB$205^A73,IF(A73='Données projet'!$A$218,'Données projet'!$B$218,FE72+FD73-FM72)))</f>
        <v>694.00000000000023</v>
      </c>
      <c r="FF73" s="17">
        <f>FE73*VLOOKUP('Données projet'!$B$16,Paramètres!$A$1:$I$89,3,0)*VLOOKUP('Données projet'!$B$16,Paramètres!$A$1:$I$89,5,0)</f>
        <v>333.81400000000014</v>
      </c>
      <c r="FG73" s="13">
        <f t="shared" si="101"/>
        <v>78.220517061978072</v>
      </c>
      <c r="FH73" s="20">
        <f t="shared" si="76"/>
        <v>717.62678388294535</v>
      </c>
      <c r="FI73" s="59">
        <f t="shared" si="77"/>
        <v>1010.9601172162786</v>
      </c>
      <c r="FJ73" s="59">
        <f ca="1">AVERAGE(OFFSET($FI$3,0,0,'Données projet'!$E$16+1,1))-AVERAGE(OFFSET($H$3,0,0,'Données projet'!$E$16+1,1))</f>
        <v>322.54393676667081</v>
      </c>
      <c r="FK73" s="59">
        <f t="shared" si="102"/>
        <v>296.73904998640018</v>
      </c>
      <c r="FL73" s="15">
        <f>IF(ISNA(VLOOKUP(A73,'Données projet'!$A$217:$I$237,3,0)),0,VLOOKUP(A73,'Données projet'!$A$217:$I$237,3,0))</f>
        <v>5</v>
      </c>
      <c r="FM73" s="15">
        <f>IF(ISNA(VLOOKUP(A73,'Données projet'!$A$217:$I$237,4,0)),0,VLOOKUP(A73,'Données projet'!$A$217:$I$237,4,0))</f>
        <v>88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3.0514276011736712</v>
      </c>
      <c r="FR73" s="21">
        <f>EXP(-LN(2)/25)*FR72+(1-EXP(-LN(2)/25))/(LN(2)/25)*Calculateur!FM73*Calculateur!FO73*VLOOKUP('Données projet'!$B$16,Paramètres!$A$1:$I$89,3,0)*0.475*44/12</f>
        <v>4.4279835160001015</v>
      </c>
      <c r="FS73" s="21">
        <f>EXP(-LN(2)/2)*FS72+(1-EXP(-LN(2)/2))/(LN(2)/2)*FM73*FP73*VLOOKUP('Données projet'!$B$16,Paramètres!$A$1:$I$89,3,0)*0.475*44/12</f>
        <v>1.9943984440071902E-5</v>
      </c>
      <c r="FT73" s="22">
        <f t="shared" si="78"/>
        <v>7.4794310611582127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1030.3888683667067</v>
      </c>
      <c r="S74" s="59">
        <f ca="1">AVERAGE(OFFSET($R$3,0,0,'Données projet'!$E$9+1,1))-AVERAGE(OFFSET($H$3,0,0,'Données projet'!$E$9+1,1))</f>
        <v>401.06118089678654</v>
      </c>
      <c r="T74" s="59">
        <f t="shared" si="88"/>
        <v>399.58193819355591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5.0999999999999996</v>
      </c>
      <c r="AI74" s="13">
        <f>IF('Données projet'!$A$62&gt;35,AI73+AH74-AQ73,IF(A74&lt;'Données projet'!$A$62,$AF$205^A74,IF(A74='Données projet'!$A$62,'Données projet'!$B$62,AI73+AH74-AQ73)))</f>
        <v>341.10000000000042</v>
      </c>
      <c r="AJ74" s="13">
        <f>AI74*VLOOKUP('Données projet'!$B$10,Paramètres!$A$1:$I$89,3,0)*VLOOKUP('Données projet'!$B$10,Paramètres!$A$1:$I$89,5,0)</f>
        <v>212.84640000000027</v>
      </c>
      <c r="AK74" s="13">
        <f t="shared" si="89"/>
        <v>52.557107491599041</v>
      </c>
      <c r="AL74" s="20">
        <f t="shared" si="58"/>
        <v>462.24444221453541</v>
      </c>
      <c r="AM74" s="59">
        <f t="shared" si="59"/>
        <v>755.57777554786867</v>
      </c>
      <c r="AN74" s="59">
        <f ca="1">AVERAGE(OFFSET($AM$3,0,0,'Données projet'!$E$10+1,1))-AVERAGE(OFFSET($H$3,0,0,'Données projet'!$E$10+1,1))</f>
        <v>240.30073883588199</v>
      </c>
      <c r="AO74" s="59">
        <f t="shared" si="90"/>
        <v>263.20351282678843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3.0871454697364125</v>
      </c>
      <c r="AV74" s="21">
        <f>EXP(-LN(2)/25)*AV73+(1-EXP(-LN(2)/25))/(LN(2)/25)*Calculateur!AQ74*Calculateur!AS74*VLOOKUP('Données projet'!$B$10,Paramètres!$A$1:$I$89,3,0)*0.475*44/12</f>
        <v>6.6699350177399825</v>
      </c>
      <c r="AW74" s="21">
        <f>EXP(-LN(2)/2)*AW73+(1-EXP(-LN(2)/2))/(LN(2)/2)*AQ74*AT74*VLOOKUP('Données projet'!$B$10,Paramètres!$A$1:$I$89,3,0)*0.475*44/12</f>
        <v>1.3615667877543857E-5</v>
      </c>
      <c r="AX74" s="21">
        <f t="shared" si="60"/>
        <v>9.7570941031442722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16.3</v>
      </c>
      <c r="BD74" s="12">
        <f>IF('Données projet'!$A$88&gt;35,BD73+BC74-BL73,IF(A74&lt;'Données projet'!$A$88,$BA$205^A74,IF(A74='Données projet'!$A$88,'Données projet'!$B$88,BD73+BC74-BL73)))</f>
        <v>679.30000000000018</v>
      </c>
      <c r="BE74" s="13">
        <f>BD74*VLOOKUP('Données projet'!$B$11,Paramètres!$A$1:$I$89,3,0)*VLOOKUP('Données projet'!$B$11,Paramètres!$A$1:$I$89,5,0)</f>
        <v>326.74330000000009</v>
      </c>
      <c r="BF74" s="13">
        <f t="shared" si="91"/>
        <v>76.75472093218886</v>
      </c>
      <c r="BG74" s="20">
        <f t="shared" si="61"/>
        <v>702.75905312356235</v>
      </c>
      <c r="BH74" s="59">
        <f t="shared" si="62"/>
        <v>996.09238645689561</v>
      </c>
      <c r="BI74" s="59">
        <f ca="1">AVERAGE(OFFSET($BH$3,0,0,'Données projet'!$E$11+1,1))-AVERAGE(OFFSET($H$3,0,0,'Données projet'!$E$11+1,1))</f>
        <v>364.67510777943329</v>
      </c>
      <c r="BJ74" s="59">
        <f t="shared" si="92"/>
        <v>352.13878061387169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3.9264631443210032</v>
      </c>
      <c r="BQ74" s="21">
        <f>EXP(-LN(2)/25)*BQ73+(1-EXP(-LN(2)/25))/(LN(2)/25)*Calculateur!BL74*Calculateur!BN74*VLOOKUP('Données projet'!$B$11,Paramètres!$A$1:$I$89,3,0)*0.475*44/12</f>
        <v>5.7803071241841115</v>
      </c>
      <c r="BR74" s="21">
        <f>EXP(-LN(2)/2)*BR73+(1-EXP(-LN(2)/2))/(LN(2)/2)*BL74*BO74*VLOOKUP('Données projet'!$B$11,Paramètres!$A$1:$I$89,3,0)*0.475*44/12</f>
        <v>1.8526781215249796E-5</v>
      </c>
      <c r="BS74" s="22">
        <f t="shared" si="63"/>
        <v>9.7067887952863288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379.99999999999989</v>
      </c>
      <c r="BZ74" s="13">
        <f>BY74*VLOOKUP('Données projet'!$B$12,Paramètres!$A$1:$I$89,3,0)*VLOOKUP('Données projet'!$B$12,Paramètres!$A$1:$I$89,5,0)</f>
        <v>177.83999999999995</v>
      </c>
      <c r="CA74" s="13">
        <f t="shared" si="93"/>
        <v>44.841288830609102</v>
      </c>
      <c r="CB74" s="20">
        <f t="shared" si="64"/>
        <v>387.83657804664409</v>
      </c>
      <c r="CC74" s="59">
        <f t="shared" si="65"/>
        <v>681.16991137997741</v>
      </c>
      <c r="CD74" s="59">
        <f ca="1">AVERAGE(OFFSET($CC$3,0,0,'Données projet'!$E$12+1,1))-AVERAGE(OFFSET($H$3,0,0,'Données projet'!$E$12+1,1))</f>
        <v>252.98248842635206</v>
      </c>
      <c r="CE74" s="59">
        <f t="shared" si="94"/>
        <v>207.11938580878308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1.3916962032767097</v>
      </c>
      <c r="CL74" s="21">
        <f>EXP(-LN(2)/25)*CL73+(1-EXP(-LN(2)/25))/(LN(2)/25)*Calculateur!CG74*Calculateur!CI74*VLOOKUP('Données projet'!$B$12,Paramètres!$A$1:$I$89,3,0)*0.475*44/12</f>
        <v>2.5204765973242895</v>
      </c>
      <c r="CM74" s="21">
        <f>EXP(-LN(2)/2)*CM73+(1-EXP(-LN(2)/2))/(LN(2)/2)*CG74*CJ74*VLOOKUP('Données projet'!$B$12,Paramètres!$A$1:$I$89,3,0)*0.475*44/12</f>
        <v>6.6303240423585673E-6</v>
      </c>
      <c r="CN74" s="22">
        <f t="shared" si="66"/>
        <v>3.9121794309250415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10.4</v>
      </c>
      <c r="CT74" s="12">
        <f>IF('Données projet'!$A$140&gt;35,CT73+CS74-DB73,IF(A74&lt;'Données projet'!$A$140,$CQ$205^A74,IF(A74='Données projet'!$A$140,'Données projet'!$B$140,CT73+CS74-DB73)))</f>
        <v>557.39999999999964</v>
      </c>
      <c r="CU74" s="17">
        <f>CT74*VLOOKUP('Données projet'!$B$13,Paramètres!$A$1:$I$89,3,0)*VLOOKUP('Données projet'!$B$13,Paramètres!$A$1:$I$89,5,0)</f>
        <v>311.58659999999981</v>
      </c>
      <c r="CV74" s="13">
        <f t="shared" si="95"/>
        <v>73.60007688942116</v>
      </c>
      <c r="CW74" s="20">
        <f t="shared" si="67"/>
        <v>670.86679558240803</v>
      </c>
      <c r="CX74" s="59">
        <f t="shared" si="68"/>
        <v>964.20012891574129</v>
      </c>
      <c r="CY74" s="59">
        <f ca="1">AVERAGE(OFFSET($CX$3,0,0,'Données projet'!$E$13+1,1))-AVERAGE(OFFSET($H$3,0,0,'Données projet'!$E$13+1,1))</f>
        <v>356.67698551373468</v>
      </c>
      <c r="CZ74" s="59">
        <f t="shared" si="96"/>
        <v>353.21836615408171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2.0280830655351734</v>
      </c>
      <c r="DG74" s="21">
        <f>EXP(-LN(2)/25)*DG73+(1-EXP(-LN(2)/25))/(LN(2)/25)*Calculateur!DB74*Calculateur!DD74*VLOOKUP('Données projet'!$B$13,Paramètres!$A$1:$I$89,3,0)*0.475*44/12</f>
        <v>9.6811858034161311</v>
      </c>
      <c r="DH74" s="21">
        <f>EXP(-LN(2)/2)*DH73+(1-EXP(-LN(2)/2))/(LN(2)/2)*DB74*DE74*VLOOKUP('Données projet'!$B$13,Paramètres!$A$1:$I$89,3,0)*0.475*44/12</f>
        <v>2.1931256508906283E-5</v>
      </c>
      <c r="DI74" s="22">
        <f t="shared" si="69"/>
        <v>11.709290800207814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7.2</v>
      </c>
      <c r="DO74" s="12">
        <f>IF('Données projet'!$A$166&gt;35,DO73+DN74-DW73,IF(A74&lt;'Données projet'!$A$166,$DL$205^A74,IF(A74='Données projet'!$A$166,'Données projet'!$B$166,DO73+DN74-DW73)))</f>
        <v>385.19999999999965</v>
      </c>
      <c r="DP74" s="17">
        <f>DO74*VLOOKUP('Données projet'!$B$14,Paramètres!$A$1:$I$89,3,0)*VLOOKUP('Données projet'!$B$14,Paramètres!$A$1:$I$89,5,0)</f>
        <v>230.34959999999978</v>
      </c>
      <c r="DQ74" s="13">
        <f t="shared" si="97"/>
        <v>56.358266541426261</v>
      </c>
      <c r="DR74" s="20">
        <f t="shared" si="70"/>
        <v>499.34953422631702</v>
      </c>
      <c r="DS74" s="59">
        <f t="shared" si="71"/>
        <v>792.68286755965028</v>
      </c>
      <c r="DT74" s="59">
        <f ca="1">AVERAGE(OFFSET($DS$3,0,0,'Données projet'!$E$14+1,1))-AVERAGE(OFFSET($H$3,0,0,'Données projet'!$E$14+1,1))</f>
        <v>247.30892363953825</v>
      </c>
      <c r="DU74" s="59">
        <f t="shared" si="98"/>
        <v>248.38414731596578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4.1227694017639287</v>
      </c>
      <c r="EC74" s="21">
        <f>EXP(-LN(2)/2)*EC73+(1-EXP(-LN(2)/2))/(LN(2)/2)*DW74*DZ74*VLOOKUP('Données projet'!$B$14,Paramètres!$A$1:$I$89,3,0)*0.475*44/12</f>
        <v>1.6001883773797371E-5</v>
      </c>
      <c r="ED74" s="22">
        <f t="shared" si="72"/>
        <v>4.1227854036477023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7.2</v>
      </c>
      <c r="EJ74" s="12">
        <f>IF('Données projet'!$A$192&gt;35,EJ73+EI74-ER73,IF(A74&lt;'Données projet'!$A$192,$EG$205^A74,IF(A74='Données projet'!$A$192,'Données projet'!$B$192,EJ73+EI74-ER73)))</f>
        <v>385.19999999999965</v>
      </c>
      <c r="EK74" s="17">
        <f>EJ74*VLOOKUP('Données projet'!$B$15,Paramètres!$A$1:$I$89,3,0)*VLOOKUP('Données projet'!$B$15,Paramètres!$A$1:$I$89,5,0)</f>
        <v>230.34959999999978</v>
      </c>
      <c r="EL74" s="13">
        <f t="shared" si="99"/>
        <v>56.358266541426261</v>
      </c>
      <c r="EM74" s="20">
        <f t="shared" si="73"/>
        <v>499.34953422631702</v>
      </c>
      <c r="EN74" s="59">
        <f t="shared" si="74"/>
        <v>792.68286755965028</v>
      </c>
      <c r="EO74" s="59">
        <f ca="1">AVERAGE(OFFSET($EN$3,0,0,'Données projet'!$E$15+1,1))-AVERAGE(OFFSET($H$3,0,0,'Données projet'!$E$15+1,1))</f>
        <v>247.30892363953825</v>
      </c>
      <c r="EP74" s="59">
        <f t="shared" si="100"/>
        <v>248.38414731596578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4.1227694017639287</v>
      </c>
      <c r="EX74" s="21">
        <f>EXP(-LN(2)/2)*EX73+(1-EXP(-LN(2)/2))/(LN(2)/2)*ER74*EU74*VLOOKUP('Données projet'!$B$15,Paramètres!$A$1:$I$89,3,0)*0.475*44/12</f>
        <v>1.6001883773797371E-5</v>
      </c>
      <c r="EY74" s="22">
        <f t="shared" si="75"/>
        <v>4.1227854036477023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14.7</v>
      </c>
      <c r="FE74" s="12">
        <f>IF('Données projet'!$A$218&gt;35,FE73+FD74-FM73,IF(A74&lt;'Données projet'!$A$218,$FB$205^A74,IF(A74='Données projet'!$A$218,'Données projet'!$B$218,FE73+FD74-FM73)))</f>
        <v>620.70000000000027</v>
      </c>
      <c r="FF74" s="17">
        <f>FE74*VLOOKUP('Données projet'!$B$16,Paramètres!$A$1:$I$89,3,0)*VLOOKUP('Données projet'!$B$16,Paramètres!$A$1:$I$89,5,0)</f>
        <v>298.55670000000015</v>
      </c>
      <c r="FG74" s="13">
        <f t="shared" si="101"/>
        <v>70.873807485886047</v>
      </c>
      <c r="FH74" s="20">
        <f t="shared" si="76"/>
        <v>643.42480053791849</v>
      </c>
      <c r="FI74" s="59">
        <f t="shared" si="77"/>
        <v>936.75813387125186</v>
      </c>
      <c r="FJ74" s="59">
        <f ca="1">AVERAGE(OFFSET($FI$3,0,0,'Données projet'!$E$16+1,1))-AVERAGE(OFFSET($H$3,0,0,'Données projet'!$E$16+1,1))</f>
        <v>322.54393676667081</v>
      </c>
      <c r="FK74" s="59">
        <f t="shared" si="102"/>
        <v>296.73904998640018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2.9915909671017151</v>
      </c>
      <c r="FR74" s="21">
        <f>EXP(-LN(2)/25)*FR73+(1-EXP(-LN(2)/25))/(LN(2)/25)*Calculateur!FM74*Calculateur!FO74*VLOOKUP('Données projet'!$B$16,Paramètres!$A$1:$I$89,3,0)*0.475*44/12</f>
        <v>4.3069000738975456</v>
      </c>
      <c r="FS74" s="21">
        <f>EXP(-LN(2)/2)*FS73+(1-EXP(-LN(2)/2))/(LN(2)/2)*FM74*FP74*VLOOKUP('Données projet'!$B$16,Paramètres!$A$1:$I$89,3,0)*0.475*44/12</f>
        <v>1.4102526641453831E-5</v>
      </c>
      <c r="FT74" s="22">
        <f t="shared" si="78"/>
        <v>7.2985051435259027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1044.1283061470024</v>
      </c>
      <c r="S75" s="59">
        <f ca="1">AVERAGE(OFFSET($R$3,0,0,'Données projet'!$E$9+1,1))-AVERAGE(OFFSET($H$3,0,0,'Données projet'!$E$9+1,1))</f>
        <v>401.06118089678654</v>
      </c>
      <c r="T75" s="59">
        <f t="shared" si="88"/>
        <v>399.58193819355591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5.0999999999999996</v>
      </c>
      <c r="AI75" s="13">
        <f>IF('Données projet'!$A$62&gt;35,AI74+AH75-AQ74,IF(A75&lt;'Données projet'!$A$62,$AF$205^A75,IF(A75='Données projet'!$A$62,'Données projet'!$B$62,AI74+AH75-AQ74)))</f>
        <v>346.20000000000044</v>
      </c>
      <c r="AJ75" s="13">
        <f>AI75*VLOOKUP('Données projet'!$B$10,Paramètres!$A$1:$I$89,3,0)*VLOOKUP('Données projet'!$B$10,Paramètres!$A$1:$I$89,5,0)</f>
        <v>216.02880000000027</v>
      </c>
      <c r="AK75" s="13">
        <f t="shared" si="89"/>
        <v>53.25085210905786</v>
      </c>
      <c r="AL75" s="20">
        <f t="shared" si="58"/>
        <v>468.99539408994292</v>
      </c>
      <c r="AM75" s="59">
        <f t="shared" si="59"/>
        <v>762.32872742327618</v>
      </c>
      <c r="AN75" s="59">
        <f ca="1">AVERAGE(OFFSET($AM$3,0,0,'Données projet'!$E$10+1,1))-AVERAGE(OFFSET($H$3,0,0,'Données projet'!$E$10+1,1))</f>
        <v>240.30073883588199</v>
      </c>
      <c r="AO75" s="59">
        <f t="shared" si="90"/>
        <v>263.20351282678843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3.0266084300476899</v>
      </c>
      <c r="AV75" s="21">
        <f>EXP(-LN(2)/25)*AV74+(1-EXP(-LN(2)/25))/(LN(2)/25)*Calculateur!AQ75*Calculateur!AS75*VLOOKUP('Données projet'!$B$10,Paramètres!$A$1:$I$89,3,0)*0.475*44/12</f>
        <v>6.4875452939232447</v>
      </c>
      <c r="AW75" s="21">
        <f>EXP(-LN(2)/2)*AW74+(1-EXP(-LN(2)/2))/(LN(2)/2)*AQ75*AT75*VLOOKUP('Données projet'!$B$10,Paramètres!$A$1:$I$89,3,0)*0.475*44/12</f>
        <v>9.627731086595108E-6</v>
      </c>
      <c r="AX75" s="21">
        <f t="shared" si="60"/>
        <v>9.5141633517020221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16.3</v>
      </c>
      <c r="BD75" s="12">
        <f>IF('Données projet'!$A$88&gt;35,BD74+BC75-BL74,IF(A75&lt;'Données projet'!$A$88,$BA$205^A75,IF(A75='Données projet'!$A$88,'Données projet'!$B$88,BD74+BC75-BL74)))</f>
        <v>695.60000000000014</v>
      </c>
      <c r="BE75" s="13">
        <f>BD75*VLOOKUP('Données projet'!$B$11,Paramètres!$A$1:$I$89,3,0)*VLOOKUP('Données projet'!$B$11,Paramètres!$A$1:$I$89,5,0)</f>
        <v>334.5836000000001</v>
      </c>
      <c r="BF75" s="13">
        <f t="shared" si="91"/>
        <v>78.379840135122905</v>
      </c>
      <c r="BG75" s="20">
        <f t="shared" si="61"/>
        <v>719.24465823533922</v>
      </c>
      <c r="BH75" s="59">
        <f t="shared" si="62"/>
        <v>1012.5779915686726</v>
      </c>
      <c r="BI75" s="59">
        <f ca="1">AVERAGE(OFFSET($BH$3,0,0,'Données projet'!$E$11+1,1))-AVERAGE(OFFSET($H$3,0,0,'Données projet'!$E$11+1,1))</f>
        <v>364.67510777943329</v>
      </c>
      <c r="BJ75" s="59">
        <f t="shared" si="92"/>
        <v>352.13878061387169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3.849467596966909</v>
      </c>
      <c r="BQ75" s="21">
        <f>EXP(-LN(2)/25)*BQ74+(1-EXP(-LN(2)/25))/(LN(2)/25)*Calculateur!BL75*Calculateur!BN75*VLOOKUP('Données projet'!$B$11,Paramètres!$A$1:$I$89,3,0)*0.475*44/12</f>
        <v>5.6222443219001565</v>
      </c>
      <c r="BR75" s="21">
        <f>EXP(-LN(2)/2)*BR74+(1-EXP(-LN(2)/2))/(LN(2)/2)*BL75*BO75*VLOOKUP('Données projet'!$B$11,Paramètres!$A$1:$I$89,3,0)*0.475*44/12</f>
        <v>1.3100412630862677E-5</v>
      </c>
      <c r="BS75" s="22">
        <f t="shared" si="63"/>
        <v>9.4717250192796953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396.99999999999989</v>
      </c>
      <c r="BZ75" s="13">
        <f>BY75*VLOOKUP('Données projet'!$B$12,Paramètres!$A$1:$I$89,3,0)*VLOOKUP('Données projet'!$B$12,Paramètres!$A$1:$I$89,5,0)</f>
        <v>185.79599999999996</v>
      </c>
      <c r="CA75" s="13">
        <f t="shared" si="93"/>
        <v>46.60930127448345</v>
      </c>
      <c r="CB75" s="20">
        <f t="shared" si="64"/>
        <v>404.77256638639187</v>
      </c>
      <c r="CC75" s="59">
        <f t="shared" si="65"/>
        <v>698.10589971972513</v>
      </c>
      <c r="CD75" s="59">
        <f ca="1">AVERAGE(OFFSET($CC$3,0,0,'Données projet'!$E$12+1,1))-AVERAGE(OFFSET($H$3,0,0,'Données projet'!$E$12+1,1))</f>
        <v>252.98248842635206</v>
      </c>
      <c r="CE75" s="59">
        <f t="shared" si="94"/>
        <v>207.11938580878308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1.3644058895813205</v>
      </c>
      <c r="CL75" s="21">
        <f>EXP(-LN(2)/25)*CL74+(1-EXP(-LN(2)/25))/(LN(2)/25)*Calculateur!CG75*Calculateur!CI75*VLOOKUP('Données projet'!$B$12,Paramètres!$A$1:$I$89,3,0)*0.475*44/12</f>
        <v>2.4515540322243532</v>
      </c>
      <c r="CM75" s="21">
        <f>EXP(-LN(2)/2)*CM74+(1-EXP(-LN(2)/2))/(LN(2)/2)*CG75*CJ75*VLOOKUP('Données projet'!$B$12,Paramètres!$A$1:$I$89,3,0)*0.475*44/12</f>
        <v>4.6883470918159446E-6</v>
      </c>
      <c r="CN75" s="22">
        <f t="shared" si="66"/>
        <v>3.8159646101527658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10.4</v>
      </c>
      <c r="CT75" s="12">
        <f>IF('Données projet'!$A$140&gt;35,CT74+CS75-DB74,IF(A75&lt;'Données projet'!$A$140,$CQ$205^A75,IF(A75='Données projet'!$A$140,'Données projet'!$B$140,CT74+CS75-DB74)))</f>
        <v>567.79999999999961</v>
      </c>
      <c r="CU75" s="17">
        <f>CT75*VLOOKUP('Données projet'!$B$13,Paramètres!$A$1:$I$89,3,0)*VLOOKUP('Données projet'!$B$13,Paramètres!$A$1:$I$89,5,0)</f>
        <v>317.40019999999976</v>
      </c>
      <c r="CV75" s="13">
        <f t="shared" si="95"/>
        <v>74.812158158961168</v>
      </c>
      <c r="CW75" s="20">
        <f t="shared" si="67"/>
        <v>683.10319046019015</v>
      </c>
      <c r="CX75" s="59">
        <f t="shared" si="68"/>
        <v>976.43652379352352</v>
      </c>
      <c r="CY75" s="59">
        <f ca="1">AVERAGE(OFFSET($CX$3,0,0,'Données projet'!$E$13+1,1))-AVERAGE(OFFSET($H$3,0,0,'Données projet'!$E$13+1,1))</f>
        <v>356.67698551373468</v>
      </c>
      <c r="CZ75" s="59">
        <f t="shared" si="96"/>
        <v>353.21836615408171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1.9883135936285541</v>
      </c>
      <c r="DG75" s="21">
        <f>EXP(-LN(2)/25)*DG74+(1-EXP(-LN(2)/25))/(LN(2)/25)*Calculateur!DB75*Calculateur!DD75*VLOOKUP('Données projet'!$B$13,Paramètres!$A$1:$I$89,3,0)*0.475*44/12</f>
        <v>9.4164532685102831</v>
      </c>
      <c r="DH75" s="21">
        <f>EXP(-LN(2)/2)*DH74+(1-EXP(-LN(2)/2))/(LN(2)/2)*DB75*DE75*VLOOKUP('Données projet'!$B$13,Paramètres!$A$1:$I$89,3,0)*0.475*44/12</f>
        <v>1.5507740197389241E-5</v>
      </c>
      <c r="DI75" s="22">
        <f t="shared" si="69"/>
        <v>11.404782369879035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7.2</v>
      </c>
      <c r="DO75" s="12">
        <f>IF('Données projet'!$A$166&gt;35,DO74+DN75-DW74,IF(A75&lt;'Données projet'!$A$166,$DL$205^A75,IF(A75='Données projet'!$A$166,'Données projet'!$B$166,DO74+DN75-DW74)))</f>
        <v>392.39999999999964</v>
      </c>
      <c r="DP75" s="17">
        <f>DO75*VLOOKUP('Données projet'!$B$14,Paramètres!$A$1:$I$89,3,0)*VLOOKUP('Données projet'!$B$14,Paramètres!$A$1:$I$89,5,0)</f>
        <v>234.65519999999981</v>
      </c>
      <c r="DQ75" s="13">
        <f t="shared" si="97"/>
        <v>57.288067746850942</v>
      </c>
      <c r="DR75" s="20">
        <f t="shared" si="70"/>
        <v>508.46785799243179</v>
      </c>
      <c r="DS75" s="59">
        <f t="shared" si="71"/>
        <v>801.8011913257651</v>
      </c>
      <c r="DT75" s="59">
        <f ca="1">AVERAGE(OFFSET($DS$3,0,0,'Données projet'!$E$14+1,1))-AVERAGE(OFFSET($H$3,0,0,'Données projet'!$E$14+1,1))</f>
        <v>247.30892363953825</v>
      </c>
      <c r="DU75" s="59">
        <f t="shared" si="98"/>
        <v>248.38414731596578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4.0100320556656737</v>
      </c>
      <c r="EC75" s="21">
        <f>EXP(-LN(2)/2)*EC74+(1-EXP(-LN(2)/2))/(LN(2)/2)*DW75*DZ75*VLOOKUP('Données projet'!$B$14,Paramètres!$A$1:$I$89,3,0)*0.475*44/12</f>
        <v>1.1315040528211103E-5</v>
      </c>
      <c r="ED75" s="22">
        <f t="shared" si="72"/>
        <v>4.0100433707062022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7.2</v>
      </c>
      <c r="EJ75" s="12">
        <f>IF('Données projet'!$A$192&gt;35,EJ74+EI75-ER74,IF(A75&lt;'Données projet'!$A$192,$EG$205^A75,IF(A75='Données projet'!$A$192,'Données projet'!$B$192,EJ74+EI75-ER74)))</f>
        <v>392.39999999999964</v>
      </c>
      <c r="EK75" s="17">
        <f>EJ75*VLOOKUP('Données projet'!$B$15,Paramètres!$A$1:$I$89,3,0)*VLOOKUP('Données projet'!$B$15,Paramètres!$A$1:$I$89,5,0)</f>
        <v>234.65519999999981</v>
      </c>
      <c r="EL75" s="13">
        <f t="shared" si="99"/>
        <v>57.288067746850942</v>
      </c>
      <c r="EM75" s="20">
        <f t="shared" si="73"/>
        <v>508.46785799243179</v>
      </c>
      <c r="EN75" s="59">
        <f t="shared" si="74"/>
        <v>801.8011913257651</v>
      </c>
      <c r="EO75" s="59">
        <f ca="1">AVERAGE(OFFSET($EN$3,0,0,'Données projet'!$E$15+1,1))-AVERAGE(OFFSET($H$3,0,0,'Données projet'!$E$15+1,1))</f>
        <v>247.30892363953825</v>
      </c>
      <c r="EP75" s="59">
        <f t="shared" si="100"/>
        <v>248.38414731596578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4.0100320556656737</v>
      </c>
      <c r="EX75" s="21">
        <f>EXP(-LN(2)/2)*EX74+(1-EXP(-LN(2)/2))/(LN(2)/2)*ER75*EU75*VLOOKUP('Données projet'!$B$15,Paramètres!$A$1:$I$89,3,0)*0.475*44/12</f>
        <v>1.1315040528211103E-5</v>
      </c>
      <c r="EY75" s="22">
        <f t="shared" si="75"/>
        <v>4.0100433707062022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14.7</v>
      </c>
      <c r="FE75" s="12">
        <f>IF('Données projet'!$A$218&gt;35,FE74+FD75-FM74,IF(A75&lt;'Données projet'!$A$218,$FB$205^A75,IF(A75='Données projet'!$A$218,'Données projet'!$B$218,FE74+FD75-FM74)))</f>
        <v>635.40000000000032</v>
      </c>
      <c r="FF75" s="17">
        <f>FE75*VLOOKUP('Données projet'!$B$16,Paramètres!$A$1:$I$89,3,0)*VLOOKUP('Données projet'!$B$16,Paramètres!$A$1:$I$89,5,0)</f>
        <v>305.62740000000019</v>
      </c>
      <c r="FG75" s="13">
        <f t="shared" si="101"/>
        <v>72.354903650746223</v>
      </c>
      <c r="FH75" s="20">
        <f t="shared" si="76"/>
        <v>658.31917885838322</v>
      </c>
      <c r="FI75" s="59">
        <f t="shared" si="77"/>
        <v>951.6525121917166</v>
      </c>
      <c r="FJ75" s="59">
        <f ca="1">AVERAGE(OFFSET($FI$3,0,0,'Données projet'!$E$16+1,1))-AVERAGE(OFFSET($H$3,0,0,'Données projet'!$E$16+1,1))</f>
        <v>322.54393676667081</v>
      </c>
      <c r="FK75" s="59">
        <f t="shared" si="102"/>
        <v>296.73904998640018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2.932927692927167</v>
      </c>
      <c r="FR75" s="21">
        <f>EXP(-LN(2)/25)*FR74+(1-EXP(-LN(2)/25))/(LN(2)/25)*Calculateur!FM75*Calculateur!FO75*VLOOKUP('Données projet'!$B$16,Paramètres!$A$1:$I$89,3,0)*0.475*44/12</f>
        <v>4.1891276648867857</v>
      </c>
      <c r="FS75" s="21">
        <f>EXP(-LN(2)/2)*FS74+(1-EXP(-LN(2)/2))/(LN(2)/2)*FM75*FP75*VLOOKUP('Données projet'!$B$16,Paramètres!$A$1:$I$89,3,0)*0.475*44/12</f>
        <v>9.9719922200359512E-6</v>
      </c>
      <c r="FT75" s="22">
        <f t="shared" si="78"/>
        <v>7.1220653298061727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1057.8626352335707</v>
      </c>
      <c r="S76" s="59">
        <f ca="1">AVERAGE(OFFSET($R$3,0,0,'Données projet'!$E$9+1,1))-AVERAGE(OFFSET($H$3,0,0,'Données projet'!$E$9+1,1))</f>
        <v>401.06118089678654</v>
      </c>
      <c r="T76" s="59">
        <f t="shared" si="88"/>
        <v>399.58193819355591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5.0999999999999996</v>
      </c>
      <c r="AI76" s="13">
        <f>IF('Données projet'!$A$62&gt;35,AI75+AH76-AQ75,IF(A76&lt;'Données projet'!$A$62,$AF$205^A76,IF(A76='Données projet'!$A$62,'Données projet'!$B$62,AI75+AH76-AQ75)))</f>
        <v>351.30000000000047</v>
      </c>
      <c r="AJ76" s="13">
        <f>AI76*VLOOKUP('Données projet'!$B$10,Paramètres!$A$1:$I$89,3,0)*VLOOKUP('Données projet'!$B$10,Paramètres!$A$1:$I$89,5,0)</f>
        <v>219.2112000000003</v>
      </c>
      <c r="AK76" s="13">
        <f t="shared" si="89"/>
        <v>53.943408114730026</v>
      </c>
      <c r="AL76" s="20">
        <f t="shared" si="58"/>
        <v>475.74427579982193</v>
      </c>
      <c r="AM76" s="59">
        <f t="shared" si="59"/>
        <v>769.07760913315519</v>
      </c>
      <c r="AN76" s="59">
        <f ca="1">AVERAGE(OFFSET($AM$3,0,0,'Données projet'!$E$10+1,1))-AVERAGE(OFFSET($H$3,0,0,'Données projet'!$E$10+1,1))</f>
        <v>240.30073883588199</v>
      </c>
      <c r="AO76" s="59">
        <f t="shared" si="90"/>
        <v>263.20351282678843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2.967258484783315</v>
      </c>
      <c r="AV76" s="21">
        <f>EXP(-LN(2)/25)*AV75+(1-EXP(-LN(2)/25))/(LN(2)/25)*Calculateur!AQ76*Calculateur!AS76*VLOOKUP('Données projet'!$B$10,Paramètres!$A$1:$I$89,3,0)*0.475*44/12</f>
        <v>6.3101430266957337</v>
      </c>
      <c r="AW76" s="21">
        <f>EXP(-LN(2)/2)*AW75+(1-EXP(-LN(2)/2))/(LN(2)/2)*AQ76*AT76*VLOOKUP('Données projet'!$B$10,Paramètres!$A$1:$I$89,3,0)*0.475*44/12</f>
        <v>6.8078339387719286E-6</v>
      </c>
      <c r="AX76" s="21">
        <f t="shared" si="60"/>
        <v>9.2774083193129879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16.3</v>
      </c>
      <c r="BD76" s="12">
        <f>IF('Données projet'!$A$88&gt;35,BD75+BC76-BL75,IF(A76&lt;'Données projet'!$A$88,$BA$205^A76,IF(A76='Données projet'!$A$88,'Données projet'!$B$88,BD75+BC76-BL75)))</f>
        <v>711.90000000000009</v>
      </c>
      <c r="BE76" s="13">
        <f>BD76*VLOOKUP('Données projet'!$B$11,Paramètres!$A$1:$I$89,3,0)*VLOOKUP('Données projet'!$B$11,Paramètres!$A$1:$I$89,5,0)</f>
        <v>342.42390000000006</v>
      </c>
      <c r="BF76" s="13">
        <f t="shared" si="91"/>
        <v>80.000532271146398</v>
      </c>
      <c r="BG76" s="20">
        <f t="shared" si="61"/>
        <v>735.72255287224664</v>
      </c>
      <c r="BH76" s="59">
        <f t="shared" si="62"/>
        <v>1029.05588620558</v>
      </c>
      <c r="BI76" s="59">
        <f ca="1">AVERAGE(OFFSET($BH$3,0,0,'Données projet'!$E$11+1,1))-AVERAGE(OFFSET($H$3,0,0,'Données projet'!$E$11+1,1))</f>
        <v>364.67510777943329</v>
      </c>
      <c r="BJ76" s="59">
        <f t="shared" si="92"/>
        <v>352.13878061387169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3.7739818853337819</v>
      </c>
      <c r="BQ76" s="21">
        <f>EXP(-LN(2)/25)*BQ75+(1-EXP(-LN(2)/25))/(LN(2)/25)*Calculateur!BL76*Calculateur!BN76*VLOOKUP('Données projet'!$B$11,Paramètres!$A$1:$I$89,3,0)*0.475*44/12</f>
        <v>5.4685037552568181</v>
      </c>
      <c r="BR76" s="21">
        <f>EXP(-LN(2)/2)*BR75+(1-EXP(-LN(2)/2))/(LN(2)/2)*BL76*BO76*VLOOKUP('Données projet'!$B$11,Paramètres!$A$1:$I$89,3,0)*0.475*44/12</f>
        <v>9.2633906076248982E-6</v>
      </c>
      <c r="BS76" s="22">
        <f t="shared" si="63"/>
        <v>9.242494903981207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413.99999999999989</v>
      </c>
      <c r="BZ76" s="13">
        <f>BY76*VLOOKUP('Données projet'!$B$12,Paramètres!$A$1:$I$89,3,0)*VLOOKUP('Données projet'!$B$12,Paramètres!$A$1:$I$89,5,0)</f>
        <v>193.75199999999995</v>
      </c>
      <c r="CA76" s="13">
        <f t="shared" si="93"/>
        <v>48.36852035537607</v>
      </c>
      <c r="CB76" s="20">
        <f t="shared" si="64"/>
        <v>421.69323961894656</v>
      </c>
      <c r="CC76" s="59">
        <f t="shared" si="65"/>
        <v>715.02657295227982</v>
      </c>
      <c r="CD76" s="59">
        <f ca="1">AVERAGE(OFFSET($CC$3,0,0,'Données projet'!$E$12+1,1))-AVERAGE(OFFSET($H$3,0,0,'Données projet'!$E$12+1,1))</f>
        <v>252.98248842635206</v>
      </c>
      <c r="CE76" s="59">
        <f t="shared" si="94"/>
        <v>207.11938580878308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1.33765072229205</v>
      </c>
      <c r="CL76" s="21">
        <f>EXP(-LN(2)/25)*CL75+(1-EXP(-LN(2)/25))/(LN(2)/25)*Calculateur!CG76*Calculateur!CI76*VLOOKUP('Données projet'!$B$12,Paramètres!$A$1:$I$89,3,0)*0.475*44/12</f>
        <v>2.3845161582915546</v>
      </c>
      <c r="CM76" s="21">
        <f>EXP(-LN(2)/2)*CM75+(1-EXP(-LN(2)/2))/(LN(2)/2)*CG76*CJ76*VLOOKUP('Données projet'!$B$12,Paramètres!$A$1:$I$89,3,0)*0.475*44/12</f>
        <v>3.3151620211792836E-6</v>
      </c>
      <c r="CN76" s="22">
        <f t="shared" si="66"/>
        <v>3.7221701957456261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10.4</v>
      </c>
      <c r="CT76" s="12">
        <f>IF('Données projet'!$A$140&gt;35,CT75+CS76-DB75,IF(A76&lt;'Données projet'!$A$140,$CQ$205^A76,IF(A76='Données projet'!$A$140,'Données projet'!$B$140,CT75+CS76-DB75)))</f>
        <v>578.19999999999959</v>
      </c>
      <c r="CU76" s="17">
        <f>CT76*VLOOKUP('Données projet'!$B$13,Paramètres!$A$1:$I$89,3,0)*VLOOKUP('Données projet'!$B$13,Paramètres!$A$1:$I$89,5,0)</f>
        <v>323.21379999999982</v>
      </c>
      <c r="CV76" s="13">
        <f t="shared" si="95"/>
        <v>76.021657849237485</v>
      </c>
      <c r="CW76" s="20">
        <f t="shared" si="67"/>
        <v>695.33508908742158</v>
      </c>
      <c r="CX76" s="59">
        <f t="shared" si="68"/>
        <v>988.66842242075495</v>
      </c>
      <c r="CY76" s="59">
        <f ca="1">AVERAGE(OFFSET($CX$3,0,0,'Données projet'!$E$13+1,1))-AVERAGE(OFFSET($H$3,0,0,'Données projet'!$E$13+1,1))</f>
        <v>356.67698551373468</v>
      </c>
      <c r="CZ76" s="59">
        <f t="shared" si="96"/>
        <v>353.21836615408171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1.9493239768090409</v>
      </c>
      <c r="DG76" s="21">
        <f>EXP(-LN(2)/25)*DG75+(1-EXP(-LN(2)/25))/(LN(2)/25)*Calculateur!DB76*Calculateur!DD76*VLOOKUP('Données projet'!$B$13,Paramètres!$A$1:$I$89,3,0)*0.475*44/12</f>
        <v>9.1589598586931142</v>
      </c>
      <c r="DH76" s="21">
        <f>EXP(-LN(2)/2)*DH75+(1-EXP(-LN(2)/2))/(LN(2)/2)*DB76*DE76*VLOOKUP('Données projet'!$B$13,Paramètres!$A$1:$I$89,3,0)*0.475*44/12</f>
        <v>1.0965628254453141E-5</v>
      </c>
      <c r="DI76" s="22">
        <f t="shared" si="69"/>
        <v>11.108294801130409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7.2</v>
      </c>
      <c r="DO76" s="12">
        <f>IF('Données projet'!$A$166&gt;35,DO75+DN76-DW75,IF(A76&lt;'Données projet'!$A$166,$DL$205^A76,IF(A76='Données projet'!$A$166,'Données projet'!$B$166,DO75+DN76-DW75)))</f>
        <v>399.59999999999962</v>
      </c>
      <c r="DP76" s="17">
        <f>DO76*VLOOKUP('Données projet'!$B$14,Paramètres!$A$1:$I$89,3,0)*VLOOKUP('Données projet'!$B$14,Paramètres!$A$1:$I$89,5,0)</f>
        <v>238.96079999999978</v>
      </c>
      <c r="DQ76" s="13">
        <f t="shared" si="97"/>
        <v>58.215885103108292</v>
      </c>
      <c r="DR76" s="20">
        <f t="shared" si="70"/>
        <v>517.58272655457984</v>
      </c>
      <c r="DS76" s="59">
        <f t="shared" si="71"/>
        <v>810.91605988791321</v>
      </c>
      <c r="DT76" s="59">
        <f ca="1">AVERAGE(OFFSET($DS$3,0,0,'Données projet'!$E$14+1,1))-AVERAGE(OFFSET($H$3,0,0,'Données projet'!$E$14+1,1))</f>
        <v>247.30892363953825</v>
      </c>
      <c r="DU76" s="59">
        <f t="shared" si="98"/>
        <v>248.38414731596578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3.9003775182250751</v>
      </c>
      <c r="EC76" s="21">
        <f>EXP(-LN(2)/2)*EC75+(1-EXP(-LN(2)/2))/(LN(2)/2)*DW76*DZ76*VLOOKUP('Données projet'!$B$14,Paramètres!$A$1:$I$89,3,0)*0.475*44/12</f>
        <v>8.0009418868986855E-6</v>
      </c>
      <c r="ED76" s="22">
        <f t="shared" si="72"/>
        <v>3.9003855191669619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7.2</v>
      </c>
      <c r="EJ76" s="12">
        <f>IF('Données projet'!$A$192&gt;35,EJ75+EI76-ER75,IF(A76&lt;'Données projet'!$A$192,$EG$205^A76,IF(A76='Données projet'!$A$192,'Données projet'!$B$192,EJ75+EI76-ER75)))</f>
        <v>399.59999999999962</v>
      </c>
      <c r="EK76" s="17">
        <f>EJ76*VLOOKUP('Données projet'!$B$15,Paramètres!$A$1:$I$89,3,0)*VLOOKUP('Données projet'!$B$15,Paramètres!$A$1:$I$89,5,0)</f>
        <v>238.96079999999978</v>
      </c>
      <c r="EL76" s="13">
        <f t="shared" si="99"/>
        <v>58.215885103108292</v>
      </c>
      <c r="EM76" s="20">
        <f t="shared" si="73"/>
        <v>517.58272655457984</v>
      </c>
      <c r="EN76" s="59">
        <f t="shared" si="74"/>
        <v>810.91605988791321</v>
      </c>
      <c r="EO76" s="59">
        <f ca="1">AVERAGE(OFFSET($EN$3,0,0,'Données projet'!$E$15+1,1))-AVERAGE(OFFSET($H$3,0,0,'Données projet'!$E$15+1,1))</f>
        <v>247.30892363953825</v>
      </c>
      <c r="EP76" s="59">
        <f t="shared" si="100"/>
        <v>248.38414731596578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3.9003775182250751</v>
      </c>
      <c r="EX76" s="21">
        <f>EXP(-LN(2)/2)*EX75+(1-EXP(-LN(2)/2))/(LN(2)/2)*ER76*EU76*VLOOKUP('Données projet'!$B$15,Paramètres!$A$1:$I$89,3,0)*0.475*44/12</f>
        <v>8.0009418868986855E-6</v>
      </c>
      <c r="EY76" s="22">
        <f t="shared" si="75"/>
        <v>3.9003855191669619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14.7</v>
      </c>
      <c r="FE76" s="12">
        <f>IF('Données projet'!$A$218&gt;35,FE75+FD76-FM75,IF(A76&lt;'Données projet'!$A$218,$FB$205^A76,IF(A76='Données projet'!$A$218,'Données projet'!$B$218,FE75+FD76-FM75)))</f>
        <v>650.10000000000036</v>
      </c>
      <c r="FF76" s="17">
        <f>FE76*VLOOKUP('Données projet'!$B$16,Paramètres!$A$1:$I$89,3,0)*VLOOKUP('Données projet'!$B$16,Paramètres!$A$1:$I$89,5,0)</f>
        <v>312.69810000000018</v>
      </c>
      <c r="FG76" s="13">
        <f t="shared" si="101"/>
        <v>73.832016335235011</v>
      </c>
      <c r="FH76" s="20">
        <f t="shared" si="76"/>
        <v>673.20661928386801</v>
      </c>
      <c r="FI76" s="59">
        <f t="shared" si="77"/>
        <v>966.53995261720138</v>
      </c>
      <c r="FJ76" s="59">
        <f ca="1">AVERAGE(OFFSET($FI$3,0,0,'Données projet'!$E$16+1,1))-AVERAGE(OFFSET($H$3,0,0,'Données projet'!$E$16+1,1))</f>
        <v>322.54393676667081</v>
      </c>
      <c r="FK76" s="59">
        <f t="shared" si="102"/>
        <v>296.73904998640018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2.8754147697781178</v>
      </c>
      <c r="FR76" s="21">
        <f>EXP(-LN(2)/25)*FR75+(1-EXP(-LN(2)/25))/(LN(2)/25)*Calculateur!FM76*Calculateur!FO76*VLOOKUP('Données projet'!$B$16,Paramètres!$A$1:$I$89,3,0)*0.475*44/12</f>
        <v>4.0745757485938068</v>
      </c>
      <c r="FS76" s="21">
        <f>EXP(-LN(2)/2)*FS75+(1-EXP(-LN(2)/2))/(LN(2)/2)*FM76*FP76*VLOOKUP('Données projet'!$B$16,Paramètres!$A$1:$I$89,3,0)*0.475*44/12</f>
        <v>7.0512633207269157E-6</v>
      </c>
      <c r="FT76" s="22">
        <f t="shared" si="78"/>
        <v>6.9499975696352454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1071.5919602652932</v>
      </c>
      <c r="S77" s="59">
        <f ca="1">AVERAGE(OFFSET($R$3,0,0,'Données projet'!$E$9+1,1))-AVERAGE(OFFSET($H$3,0,0,'Données projet'!$E$9+1,1))</f>
        <v>401.06118089678654</v>
      </c>
      <c r="T77" s="59">
        <f t="shared" si="88"/>
        <v>399.58193819355591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5.0999999999999996</v>
      </c>
      <c r="AI77" s="13">
        <f>IF('Données projet'!$A$62&gt;35,AI76+AH77-AQ76,IF(A77&lt;'Données projet'!$A$62,$AF$205^A77,IF(A77='Données projet'!$A$62,'Données projet'!$B$62,AI76+AH77-AQ76)))</f>
        <v>356.40000000000049</v>
      </c>
      <c r="AJ77" s="13">
        <f>AI77*VLOOKUP('Données projet'!$B$10,Paramètres!$A$1:$I$89,3,0)*VLOOKUP('Données projet'!$B$10,Paramètres!$A$1:$I$89,5,0)</f>
        <v>222.3936000000003</v>
      </c>
      <c r="AK77" s="13">
        <f t="shared" si="89"/>
        <v>54.634794757949336</v>
      </c>
      <c r="AL77" s="20">
        <f t="shared" si="58"/>
        <v>482.49112087009553</v>
      </c>
      <c r="AM77" s="59">
        <f t="shared" si="59"/>
        <v>775.82445420342879</v>
      </c>
      <c r="AN77" s="59">
        <f ca="1">AVERAGE(OFFSET($AM$3,0,0,'Données projet'!$E$10+1,1))-AVERAGE(OFFSET($H$3,0,0,'Données projet'!$E$10+1,1))</f>
        <v>240.30073883588199</v>
      </c>
      <c r="AO77" s="59">
        <f t="shared" si="90"/>
        <v>263.20351282678843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2.9090723557456823</v>
      </c>
      <c r="AV77" s="21">
        <f>EXP(-LN(2)/25)*AV76+(1-EXP(-LN(2)/25))/(LN(2)/25)*Calculateur!AQ77*Calculateur!AS77*VLOOKUP('Données projet'!$B$10,Paramètres!$A$1:$I$89,3,0)*0.475*44/12</f>
        <v>6.1375918337947395</v>
      </c>
      <c r="AW77" s="21">
        <f>EXP(-LN(2)/2)*AW76+(1-EXP(-LN(2)/2))/(LN(2)/2)*AQ77*AT77*VLOOKUP('Données projet'!$B$10,Paramètres!$A$1:$I$89,3,0)*0.475*44/12</f>
        <v>4.813865543297554E-6</v>
      </c>
      <c r="AX77" s="21">
        <f t="shared" si="60"/>
        <v>9.0466690034059649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16.3</v>
      </c>
      <c r="BD77" s="12">
        <f>IF('Données projet'!$A$88&gt;35,BD76+BC77-BL76,IF(A77&lt;'Données projet'!$A$88,$BA$205^A77,IF(A77='Données projet'!$A$88,'Données projet'!$B$88,BD76+BC77-BL76)))</f>
        <v>728.2</v>
      </c>
      <c r="BE77" s="13">
        <f>BD77*VLOOKUP('Données projet'!$B$11,Paramètres!$A$1:$I$89,3,0)*VLOOKUP('Données projet'!$B$11,Paramètres!$A$1:$I$89,5,0)</f>
        <v>350.26420000000007</v>
      </c>
      <c r="BF77" s="13">
        <f t="shared" si="91"/>
        <v>81.616910372573855</v>
      </c>
      <c r="BG77" s="20">
        <f t="shared" si="61"/>
        <v>752.19293389889947</v>
      </c>
      <c r="BH77" s="59">
        <f t="shared" si="62"/>
        <v>1045.5262672322328</v>
      </c>
      <c r="BI77" s="59">
        <f ca="1">AVERAGE(OFFSET($BH$3,0,0,'Données projet'!$E$11+1,1))-AVERAGE(OFFSET($H$3,0,0,'Données projet'!$E$11+1,1))</f>
        <v>364.67510777943329</v>
      </c>
      <c r="BJ77" s="59">
        <f t="shared" si="92"/>
        <v>352.13878061387169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3.6999764024640425</v>
      </c>
      <c r="BQ77" s="21">
        <f>EXP(-LN(2)/25)*BQ76+(1-EXP(-LN(2)/25))/(LN(2)/25)*Calculateur!BL77*Calculateur!BN77*VLOOKUP('Données projet'!$B$11,Paramètres!$A$1:$I$89,3,0)*0.475*44/12</f>
        <v>5.3189672324932067</v>
      </c>
      <c r="BR77" s="21">
        <f>EXP(-LN(2)/2)*BR76+(1-EXP(-LN(2)/2))/(LN(2)/2)*BL77*BO77*VLOOKUP('Données projet'!$B$11,Paramètres!$A$1:$I$89,3,0)*0.475*44/12</f>
        <v>6.5502063154313385E-6</v>
      </c>
      <c r="BS77" s="22">
        <f t="shared" si="63"/>
        <v>9.0189501851635647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430.99999999999989</v>
      </c>
      <c r="BZ77" s="13">
        <f>BY77*VLOOKUP('Données projet'!$B$12,Paramètres!$A$1:$I$89,3,0)*VLOOKUP('Données projet'!$B$12,Paramètres!$A$1:$I$89,5,0)</f>
        <v>201.70799999999994</v>
      </c>
      <c r="CA77" s="13">
        <f t="shared" si="93"/>
        <v>50.119348451854243</v>
      </c>
      <c r="CB77" s="20">
        <f t="shared" si="64"/>
        <v>438.59929855364607</v>
      </c>
      <c r="CC77" s="59">
        <f t="shared" si="65"/>
        <v>731.93263188697938</v>
      </c>
      <c r="CD77" s="59">
        <f ca="1">AVERAGE(OFFSET($CC$3,0,0,'Données projet'!$E$12+1,1))-AVERAGE(OFFSET($H$3,0,0,'Données projet'!$E$12+1,1))</f>
        <v>252.98248842635206</v>
      </c>
      <c r="CE77" s="59">
        <f t="shared" si="94"/>
        <v>207.11938580878308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1.3114202075142813</v>
      </c>
      <c r="CL77" s="21">
        <f>EXP(-LN(2)/25)*CL76+(1-EXP(-LN(2)/25))/(LN(2)/25)*Calculateur!CG77*Calculateur!CI77*VLOOKUP('Données projet'!$B$12,Paramètres!$A$1:$I$89,3,0)*0.475*44/12</f>
        <v>2.319311438546817</v>
      </c>
      <c r="CM77" s="21">
        <f>EXP(-LN(2)/2)*CM76+(1-EXP(-LN(2)/2))/(LN(2)/2)*CG77*CJ77*VLOOKUP('Données projet'!$B$12,Paramètres!$A$1:$I$89,3,0)*0.475*44/12</f>
        <v>2.3441735459079723E-6</v>
      </c>
      <c r="CN77" s="22">
        <f t="shared" si="66"/>
        <v>3.6307339902346443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10.4</v>
      </c>
      <c r="CT77" s="12">
        <f>IF('Données projet'!$A$140&gt;35,CT76+CS77-DB76,IF(A77&lt;'Données projet'!$A$140,$CQ$205^A77,IF(A77='Données projet'!$A$140,'Données projet'!$B$140,CT76+CS77-DB76)))</f>
        <v>588.59999999999957</v>
      </c>
      <c r="CU77" s="17">
        <f>CT77*VLOOKUP('Données projet'!$B$13,Paramètres!$A$1:$I$89,3,0)*VLOOKUP('Données projet'!$B$13,Paramètres!$A$1:$I$89,5,0)</f>
        <v>329.02739999999977</v>
      </c>
      <c r="CV77" s="13">
        <f t="shared" si="95"/>
        <v>77.228627751120342</v>
      </c>
      <c r="CW77" s="20">
        <f t="shared" si="67"/>
        <v>707.56258166653413</v>
      </c>
      <c r="CX77" s="59">
        <f t="shared" si="68"/>
        <v>1000.8959149998675</v>
      </c>
      <c r="CY77" s="59">
        <f ca="1">AVERAGE(OFFSET($CX$3,0,0,'Données projet'!$E$13+1,1))-AVERAGE(OFFSET($H$3,0,0,'Données projet'!$E$13+1,1))</f>
        <v>356.67698551373468</v>
      </c>
      <c r="CZ77" s="59">
        <f t="shared" si="96"/>
        <v>353.21836615408171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1.9110989225940405</v>
      </c>
      <c r="DG77" s="21">
        <f>EXP(-LN(2)/25)*DG76+(1-EXP(-LN(2)/25))/(LN(2)/25)*Calculateur!DB77*Calculateur!DD77*VLOOKUP('Données projet'!$B$13,Paramètres!$A$1:$I$89,3,0)*0.475*44/12</f>
        <v>8.9085076197083843</v>
      </c>
      <c r="DH77" s="21">
        <f>EXP(-LN(2)/2)*DH76+(1-EXP(-LN(2)/2))/(LN(2)/2)*DB77*DE77*VLOOKUP('Données projet'!$B$13,Paramètres!$A$1:$I$89,3,0)*0.475*44/12</f>
        <v>7.7538700986946205E-6</v>
      </c>
      <c r="DI77" s="22">
        <f t="shared" si="69"/>
        <v>10.819614296172524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7.2</v>
      </c>
      <c r="DO77" s="12">
        <f>IF('Données projet'!$A$166&gt;35,DO76+DN77-DW76,IF(A77&lt;'Données projet'!$A$166,$DL$205^A77,IF(A77='Données projet'!$A$166,'Données projet'!$B$166,DO76+DN77-DW76)))</f>
        <v>406.79999999999961</v>
      </c>
      <c r="DP77" s="17">
        <f>DO77*VLOOKUP('Données projet'!$B$14,Paramètres!$A$1:$I$89,3,0)*VLOOKUP('Données projet'!$B$14,Paramètres!$A$1:$I$89,5,0)</f>
        <v>243.26639999999981</v>
      </c>
      <c r="DQ77" s="13">
        <f t="shared" si="97"/>
        <v>59.141758478481755</v>
      </c>
      <c r="DR77" s="20">
        <f t="shared" si="70"/>
        <v>526.69420935002211</v>
      </c>
      <c r="DS77" s="59">
        <f t="shared" si="71"/>
        <v>820.02754268335548</v>
      </c>
      <c r="DT77" s="59">
        <f ca="1">AVERAGE(OFFSET($DS$3,0,0,'Données projet'!$E$14+1,1))-AVERAGE(OFFSET($H$3,0,0,'Données projet'!$E$14+1,1))</f>
        <v>247.30892363953825</v>
      </c>
      <c r="DU77" s="59">
        <f t="shared" si="98"/>
        <v>248.38414731596578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3.7937214898772713</v>
      </c>
      <c r="EC77" s="21">
        <f>EXP(-LN(2)/2)*EC76+(1-EXP(-LN(2)/2))/(LN(2)/2)*DW77*DZ77*VLOOKUP('Données projet'!$B$14,Paramètres!$A$1:$I$89,3,0)*0.475*44/12</f>
        <v>5.6575202641055516E-6</v>
      </c>
      <c r="ED77" s="22">
        <f t="shared" si="72"/>
        <v>3.7937271473975356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7.2</v>
      </c>
      <c r="EJ77" s="12">
        <f>IF('Données projet'!$A$192&gt;35,EJ76+EI77-ER76,IF(A77&lt;'Données projet'!$A$192,$EG$205^A77,IF(A77='Données projet'!$A$192,'Données projet'!$B$192,EJ76+EI77-ER76)))</f>
        <v>406.79999999999961</v>
      </c>
      <c r="EK77" s="17">
        <f>EJ77*VLOOKUP('Données projet'!$B$15,Paramètres!$A$1:$I$89,3,0)*VLOOKUP('Données projet'!$B$15,Paramètres!$A$1:$I$89,5,0)</f>
        <v>243.26639999999981</v>
      </c>
      <c r="EL77" s="13">
        <f t="shared" si="99"/>
        <v>59.141758478481755</v>
      </c>
      <c r="EM77" s="20">
        <f t="shared" si="73"/>
        <v>526.69420935002211</v>
      </c>
      <c r="EN77" s="59">
        <f t="shared" si="74"/>
        <v>820.02754268335548</v>
      </c>
      <c r="EO77" s="59">
        <f ca="1">AVERAGE(OFFSET($EN$3,0,0,'Données projet'!$E$15+1,1))-AVERAGE(OFFSET($H$3,0,0,'Données projet'!$E$15+1,1))</f>
        <v>247.30892363953825</v>
      </c>
      <c r="EP77" s="59">
        <f t="shared" si="100"/>
        <v>248.38414731596578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3.7937214898772713</v>
      </c>
      <c r="EX77" s="21">
        <f>EXP(-LN(2)/2)*EX76+(1-EXP(-LN(2)/2))/(LN(2)/2)*ER77*EU77*VLOOKUP('Données projet'!$B$15,Paramètres!$A$1:$I$89,3,0)*0.475*44/12</f>
        <v>5.6575202641055516E-6</v>
      </c>
      <c r="EY77" s="22">
        <f t="shared" si="75"/>
        <v>3.7937271473975356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14.7</v>
      </c>
      <c r="FE77" s="12">
        <f>IF('Données projet'!$A$218&gt;35,FE76+FD77-FM76,IF(A77&lt;'Données projet'!$A$218,$FB$205^A77,IF(A77='Données projet'!$A$218,'Données projet'!$B$218,FE76+FD77-FM76)))</f>
        <v>664.80000000000041</v>
      </c>
      <c r="FF77" s="17">
        <f>FE77*VLOOKUP('Données projet'!$B$16,Paramètres!$A$1:$I$89,3,0)*VLOOKUP('Données projet'!$B$16,Paramètres!$A$1:$I$89,5,0)</f>
        <v>319.76880000000017</v>
      </c>
      <c r="FG77" s="13">
        <f t="shared" si="101"/>
        <v>75.305245983134625</v>
      </c>
      <c r="FH77" s="20">
        <f t="shared" si="76"/>
        <v>688.08729675395978</v>
      </c>
      <c r="FI77" s="59">
        <f t="shared" si="77"/>
        <v>981.42063008729315</v>
      </c>
      <c r="FJ77" s="59">
        <f ca="1">AVERAGE(OFFSET($FI$3,0,0,'Données projet'!$E$16+1,1))-AVERAGE(OFFSET($H$3,0,0,'Données projet'!$E$16+1,1))</f>
        <v>322.54393676667081</v>
      </c>
      <c r="FK77" s="59">
        <f t="shared" si="102"/>
        <v>296.73904998640018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2.819029639972602</v>
      </c>
      <c r="FR77" s="21">
        <f>EXP(-LN(2)/25)*FR76+(1-EXP(-LN(2)/25))/(LN(2)/25)*Calculateur!FM77*Calculateur!FO77*VLOOKUP('Données projet'!$B$16,Paramètres!$A$1:$I$89,3,0)*0.475*44/12</f>
        <v>3.9631562604758832</v>
      </c>
      <c r="FS77" s="21">
        <f>EXP(-LN(2)/2)*FS76+(1-EXP(-LN(2)/2))/(LN(2)/2)*FM77*FP77*VLOOKUP('Données projet'!$B$16,Paramètres!$A$1:$I$89,3,0)*0.475*44/12</f>
        <v>4.9859961100179756E-6</v>
      </c>
      <c r="FT77" s="22">
        <f t="shared" si="78"/>
        <v>6.7821908864445959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1085.3163818909791</v>
      </c>
      <c r="S78" s="59">
        <f ca="1">AVERAGE(OFFSET($R$3,0,0,'Données projet'!$E$9+1,1))-AVERAGE(OFFSET($H$3,0,0,'Données projet'!$E$9+1,1))</f>
        <v>401.06118089678654</v>
      </c>
      <c r="T78" s="59">
        <f t="shared" si="88"/>
        <v>399.58193819355591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5.0999999999999996</v>
      </c>
      <c r="AI78" s="13">
        <f>IF('Données projet'!$A$62&gt;35,AI77+AH78-AQ77,IF(A78&lt;'Données projet'!$A$62,$AF$205^A78,IF(A78='Données projet'!$A$62,'Données projet'!$B$62,AI77+AH78-AQ77)))</f>
        <v>361.50000000000051</v>
      </c>
      <c r="AJ78" s="13">
        <f>AI78*VLOOKUP('Données projet'!$B$10,Paramètres!$A$1:$I$89,3,0)*VLOOKUP('Données projet'!$B$10,Paramètres!$A$1:$I$89,5,0)</f>
        <v>225.57600000000031</v>
      </c>
      <c r="AK78" s="13">
        <f t="shared" si="89"/>
        <v>55.325030705506045</v>
      </c>
      <c r="AL78" s="20">
        <f t="shared" si="58"/>
        <v>489.23596181209018</v>
      </c>
      <c r="AM78" s="59">
        <f t="shared" si="59"/>
        <v>782.56929514542344</v>
      </c>
      <c r="AN78" s="59">
        <f ca="1">AVERAGE(OFFSET($AM$3,0,0,'Données projet'!$E$10+1,1))-AVERAGE(OFFSET($H$3,0,0,'Données projet'!$E$10+1,1))</f>
        <v>240.30073883588199</v>
      </c>
      <c r="AO78" s="59">
        <f t="shared" si="90"/>
        <v>263.20351282678843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2.8520272212084432</v>
      </c>
      <c r="AV78" s="21">
        <f>EXP(-LN(2)/25)*AV77+(1-EXP(-LN(2)/25))/(LN(2)/25)*Calculateur!AQ78*Calculateur!AS78*VLOOKUP('Données projet'!$B$10,Paramètres!$A$1:$I$89,3,0)*0.475*44/12</f>
        <v>5.9697590623376957</v>
      </c>
      <c r="AW78" s="21">
        <f>EXP(-LN(2)/2)*AW77+(1-EXP(-LN(2)/2))/(LN(2)/2)*AQ78*AT78*VLOOKUP('Données projet'!$B$10,Paramètres!$A$1:$I$89,3,0)*0.475*44/12</f>
        <v>3.4039169693859643E-6</v>
      </c>
      <c r="AX78" s="21">
        <f t="shared" si="60"/>
        <v>8.8217896874631077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16.3</v>
      </c>
      <c r="BD78" s="12">
        <f>IF('Données projet'!$A$88&gt;35,BD77+BC78-BL77,IF(A78&lt;'Données projet'!$A$88,$BA$205^A78,IF(A78='Données projet'!$A$88,'Données projet'!$B$88,BD77+BC78-BL77)))</f>
        <v>744.5</v>
      </c>
      <c r="BE78" s="13">
        <f>BD78*VLOOKUP('Données projet'!$B$11,Paramètres!$A$1:$I$89,3,0)*VLOOKUP('Données projet'!$B$11,Paramètres!$A$1:$I$89,5,0)</f>
        <v>358.10449999999997</v>
      </c>
      <c r="BF78" s="13">
        <f t="shared" si="91"/>
        <v>83.229082122619729</v>
      </c>
      <c r="BG78" s="20">
        <f t="shared" si="61"/>
        <v>768.65598886356258</v>
      </c>
      <c r="BH78" s="59">
        <f t="shared" si="62"/>
        <v>1061.989322196896</v>
      </c>
      <c r="BI78" s="59">
        <f ca="1">AVERAGE(OFFSET($BH$3,0,0,'Données projet'!$E$11+1,1))-AVERAGE(OFFSET($H$3,0,0,'Données projet'!$E$11+1,1))</f>
        <v>364.67510777943329</v>
      </c>
      <c r="BJ78" s="59">
        <f t="shared" si="92"/>
        <v>352.13878061387169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3.6274221219744911</v>
      </c>
      <c r="BQ78" s="21">
        <f>EXP(-LN(2)/25)*BQ77+(1-EXP(-LN(2)/25))/(LN(2)/25)*Calculateur!BL78*Calculateur!BN78*VLOOKUP('Données projet'!$B$11,Paramètres!$A$1:$I$89,3,0)*0.475*44/12</f>
        <v>5.1735197938083495</v>
      </c>
      <c r="BR78" s="21">
        <f>EXP(-LN(2)/2)*BR77+(1-EXP(-LN(2)/2))/(LN(2)/2)*BL78*BO78*VLOOKUP('Données projet'!$B$11,Paramètres!$A$1:$I$89,3,0)*0.475*44/12</f>
        <v>4.6316953038124491E-6</v>
      </c>
      <c r="BS78" s="22">
        <f t="shared" si="63"/>
        <v>8.8009465474781443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447.99999999999989</v>
      </c>
      <c r="BZ78" s="13">
        <f>BY78*VLOOKUP('Données projet'!$B$12,Paramètres!$A$1:$I$89,3,0)*VLOOKUP('Données projet'!$B$12,Paramètres!$A$1:$I$89,5,0)</f>
        <v>209.66399999999993</v>
      </c>
      <c r="CA78" s="13">
        <f t="shared" si="93"/>
        <v>51.862154403304487</v>
      </c>
      <c r="CB78" s="20">
        <f t="shared" si="64"/>
        <v>455.49138558575515</v>
      </c>
      <c r="CC78" s="59">
        <f t="shared" si="65"/>
        <v>748.82471891908847</v>
      </c>
      <c r="CD78" s="59">
        <f ca="1">AVERAGE(OFFSET($CC$3,0,0,'Données projet'!$E$12+1,1))-AVERAGE(OFFSET($H$3,0,0,'Données projet'!$E$12+1,1))</f>
        <v>252.98248842635206</v>
      </c>
      <c r="CE78" s="59">
        <f t="shared" si="94"/>
        <v>207.11938580878308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1.2857040571322707</v>
      </c>
      <c r="CL78" s="21">
        <f>EXP(-LN(2)/25)*CL77+(1-EXP(-LN(2)/25))/(LN(2)/25)*Calculateur!CG78*Calculateur!CI78*VLOOKUP('Données projet'!$B$12,Paramètres!$A$1:$I$89,3,0)*0.475*44/12</f>
        <v>2.2558897452924667</v>
      </c>
      <c r="CM78" s="21">
        <f>EXP(-LN(2)/2)*CM77+(1-EXP(-LN(2)/2))/(LN(2)/2)*CG78*CJ78*VLOOKUP('Données projet'!$B$12,Paramètres!$A$1:$I$89,3,0)*0.475*44/12</f>
        <v>1.6575810105896418E-6</v>
      </c>
      <c r="CN78" s="22">
        <f t="shared" si="66"/>
        <v>3.5415954600057478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10.4</v>
      </c>
      <c r="CT78" s="12">
        <f>IF('Données projet'!$A$140&gt;35,CT77+CS78-DB77,IF(A78&lt;'Données projet'!$A$140,$CQ$205^A78,IF(A78='Données projet'!$A$140,'Données projet'!$B$140,CT77+CS78-DB77)))</f>
        <v>598.99999999999955</v>
      </c>
      <c r="CU78" s="17">
        <f>CT78*VLOOKUP('Données projet'!$B$13,Paramètres!$A$1:$I$89,3,0)*VLOOKUP('Données projet'!$B$13,Paramètres!$A$1:$I$89,5,0)</f>
        <v>334.84099999999978</v>
      </c>
      <c r="CV78" s="13">
        <f t="shared" si="95"/>
        <v>78.433117720461652</v>
      </c>
      <c r="CW78" s="20">
        <f t="shared" si="67"/>
        <v>719.78575502980368</v>
      </c>
      <c r="CX78" s="59">
        <f t="shared" si="68"/>
        <v>1013.1190883631371</v>
      </c>
      <c r="CY78" s="59">
        <f ca="1">AVERAGE(OFFSET($CX$3,0,0,'Données projet'!$E$13+1,1))-AVERAGE(OFFSET($H$3,0,0,'Données projet'!$E$13+1,1))</f>
        <v>356.67698551373468</v>
      </c>
      <c r="CZ78" s="59">
        <f t="shared" si="96"/>
        <v>353.21836615408171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1.8736234383772152</v>
      </c>
      <c r="DG78" s="21">
        <f>EXP(-LN(2)/25)*DG77+(1-EXP(-LN(2)/25))/(LN(2)/25)*Calculateur!DB78*Calculateur!DD78*VLOOKUP('Données projet'!$B$13,Paramètres!$A$1:$I$89,3,0)*0.475*44/12</f>
        <v>8.6649040103694031</v>
      </c>
      <c r="DH78" s="21">
        <f>EXP(-LN(2)/2)*DH77+(1-EXP(-LN(2)/2))/(LN(2)/2)*DB78*DE78*VLOOKUP('Données projet'!$B$13,Paramètres!$A$1:$I$89,3,0)*0.475*44/12</f>
        <v>5.4828141272265707E-6</v>
      </c>
      <c r="DI78" s="22">
        <f t="shared" si="69"/>
        <v>10.538532931560747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7.2</v>
      </c>
      <c r="DO78" s="12">
        <f>IF('Données projet'!$A$166&gt;35,DO77+DN78-DW77,IF(A78&lt;'Données projet'!$A$166,$DL$205^A78,IF(A78='Données projet'!$A$166,'Données projet'!$B$166,DO77+DN78-DW77)))</f>
        <v>413.9999999999996</v>
      </c>
      <c r="DP78" s="17">
        <f>DO78*VLOOKUP('Données projet'!$B$14,Paramètres!$A$1:$I$89,3,0)*VLOOKUP('Données projet'!$B$14,Paramètres!$A$1:$I$89,5,0)</f>
        <v>247.57199999999978</v>
      </c>
      <c r="DQ78" s="13">
        <f t="shared" si="97"/>
        <v>60.065726249156526</v>
      </c>
      <c r="DR78" s="20">
        <f t="shared" si="70"/>
        <v>535.80237321728055</v>
      </c>
      <c r="DS78" s="59">
        <f t="shared" si="71"/>
        <v>829.1357065506138</v>
      </c>
      <c r="DT78" s="59">
        <f ca="1">AVERAGE(OFFSET($DS$3,0,0,'Données projet'!$E$14+1,1))-AVERAGE(OFFSET($H$3,0,0,'Données projet'!$E$14+1,1))</f>
        <v>247.30892363953825</v>
      </c>
      <c r="DU78" s="59">
        <f t="shared" si="98"/>
        <v>248.38414731596578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3.6899819762334349</v>
      </c>
      <c r="EC78" s="21">
        <f>EXP(-LN(2)/2)*EC77+(1-EXP(-LN(2)/2))/(LN(2)/2)*DW78*DZ78*VLOOKUP('Données projet'!$B$14,Paramètres!$A$1:$I$89,3,0)*0.475*44/12</f>
        <v>4.0004709434493427E-6</v>
      </c>
      <c r="ED78" s="22">
        <f t="shared" si="72"/>
        <v>3.6899859767043783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7.2</v>
      </c>
      <c r="EJ78" s="12">
        <f>IF('Données projet'!$A$192&gt;35,EJ77+EI78-ER77,IF(A78&lt;'Données projet'!$A$192,$EG$205^A78,IF(A78='Données projet'!$A$192,'Données projet'!$B$192,EJ77+EI78-ER77)))</f>
        <v>413.9999999999996</v>
      </c>
      <c r="EK78" s="17">
        <f>EJ78*VLOOKUP('Données projet'!$B$15,Paramètres!$A$1:$I$89,3,0)*VLOOKUP('Données projet'!$B$15,Paramètres!$A$1:$I$89,5,0)</f>
        <v>247.57199999999978</v>
      </c>
      <c r="EL78" s="13">
        <f t="shared" si="99"/>
        <v>60.065726249156526</v>
      </c>
      <c r="EM78" s="20">
        <f t="shared" si="73"/>
        <v>535.80237321728055</v>
      </c>
      <c r="EN78" s="59">
        <f t="shared" si="74"/>
        <v>829.1357065506138</v>
      </c>
      <c r="EO78" s="59">
        <f ca="1">AVERAGE(OFFSET($EN$3,0,0,'Données projet'!$E$15+1,1))-AVERAGE(OFFSET($H$3,0,0,'Données projet'!$E$15+1,1))</f>
        <v>247.30892363953825</v>
      </c>
      <c r="EP78" s="59">
        <f t="shared" si="100"/>
        <v>248.38414731596578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3.6899819762334349</v>
      </c>
      <c r="EX78" s="21">
        <f>EXP(-LN(2)/2)*EX77+(1-EXP(-LN(2)/2))/(LN(2)/2)*ER78*EU78*VLOOKUP('Données projet'!$B$15,Paramètres!$A$1:$I$89,3,0)*0.475*44/12</f>
        <v>4.0004709434493427E-6</v>
      </c>
      <c r="EY78" s="22">
        <f t="shared" si="75"/>
        <v>3.6899859767043783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14.7</v>
      </c>
      <c r="FE78" s="12">
        <f>IF('Données projet'!$A$218&gt;35,FE77+FD78-FM77,IF(A78&lt;'Données projet'!$A$218,$FB$205^A78,IF(A78='Données projet'!$A$218,'Données projet'!$B$218,FE77+FD78-FM77)))</f>
        <v>679.50000000000045</v>
      </c>
      <c r="FF78" s="17">
        <f>FE78*VLOOKUP('Données projet'!$B$16,Paramètres!$A$1:$I$89,3,0)*VLOOKUP('Données projet'!$B$16,Paramètres!$A$1:$I$89,5,0)</f>
        <v>326.83950000000021</v>
      </c>
      <c r="FG78" s="13">
        <f t="shared" si="101"/>
        <v>76.774688342587709</v>
      </c>
      <c r="FH78" s="20">
        <f t="shared" si="76"/>
        <v>702.96137803000727</v>
      </c>
      <c r="FI78" s="59">
        <f t="shared" si="77"/>
        <v>996.29471136334064</v>
      </c>
      <c r="FJ78" s="59">
        <f ca="1">AVERAGE(OFFSET($FI$3,0,0,'Données projet'!$E$16+1,1))-AVERAGE(OFFSET($H$3,0,0,'Données projet'!$E$16+1,1))</f>
        <v>322.54393676667081</v>
      </c>
      <c r="FK78" s="59">
        <f t="shared" si="102"/>
        <v>296.73904998640018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2.7637501881710391</v>
      </c>
      <c r="FR78" s="21">
        <f>EXP(-LN(2)/25)*FR77+(1-EXP(-LN(2)/25))/(LN(2)/25)*Calculateur!FM78*Calculateur!FO78*VLOOKUP('Données projet'!$B$16,Paramètres!$A$1:$I$89,3,0)*0.475*44/12</f>
        <v>3.8547835441198401</v>
      </c>
      <c r="FS78" s="21">
        <f>EXP(-LN(2)/2)*FS77+(1-EXP(-LN(2)/2))/(LN(2)/2)*FM78*FP78*VLOOKUP('Données projet'!$B$16,Paramètres!$A$1:$I$89,3,0)*0.475*44/12</f>
        <v>3.5256316603634579E-6</v>
      </c>
      <c r="FT78" s="22">
        <f t="shared" si="78"/>
        <v>6.6185372579225401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1099.0359969894541</v>
      </c>
      <c r="S79" s="59">
        <f ca="1">AVERAGE(OFFSET($R$3,0,0,'Données projet'!$E$9+1,1))-AVERAGE(OFFSET($H$3,0,0,'Données projet'!$E$9+1,1))</f>
        <v>401.06118089678654</v>
      </c>
      <c r="T79" s="59">
        <f t="shared" si="88"/>
        <v>399.58193819355591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5.0999999999999996</v>
      </c>
      <c r="AI79" s="13">
        <f>IF('Données projet'!$A$62&gt;35,AI78+AH79-AQ78,IF(A79&lt;'Données projet'!$A$62,$AF$205^A79,IF(A79='Données projet'!$A$62,'Données projet'!$B$62,AI78+AH79-AQ78)))</f>
        <v>366.60000000000053</v>
      </c>
      <c r="AJ79" s="13">
        <f>AI79*VLOOKUP('Données projet'!$B$10,Paramètres!$A$1:$I$89,3,0)*VLOOKUP('Données projet'!$B$10,Paramètres!$A$1:$I$89,5,0)</f>
        <v>228.75840000000034</v>
      </c>
      <c r="AK79" s="13">
        <f t="shared" si="89"/>
        <v>56.014134067241066</v>
      </c>
      <c r="AL79" s="20">
        <f t="shared" si="58"/>
        <v>495.97883016711211</v>
      </c>
      <c r="AM79" s="59">
        <f t="shared" si="59"/>
        <v>789.31216350044542</v>
      </c>
      <c r="AN79" s="59">
        <f ca="1">AVERAGE(OFFSET($AM$3,0,0,'Données projet'!$E$10+1,1))-AVERAGE(OFFSET($H$3,0,0,'Données projet'!$E$10+1,1))</f>
        <v>240.30073883588199</v>
      </c>
      <c r="AO79" s="59">
        <f t="shared" si="90"/>
        <v>263.20351282678843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2.7961007069653827</v>
      </c>
      <c r="AV79" s="21">
        <f>EXP(-LN(2)/25)*AV78+(1-EXP(-LN(2)/25))/(LN(2)/25)*Calculateur!AQ79*Calculateur!AS79*VLOOKUP('Données projet'!$B$10,Paramètres!$A$1:$I$89,3,0)*0.475*44/12</f>
        <v>5.8065156868420864</v>
      </c>
      <c r="AW79" s="21">
        <f>EXP(-LN(2)/2)*AW78+(1-EXP(-LN(2)/2))/(LN(2)/2)*AQ79*AT79*VLOOKUP('Données projet'!$B$10,Paramètres!$A$1:$I$89,3,0)*0.475*44/12</f>
        <v>2.406932771648777E-6</v>
      </c>
      <c r="AX79" s="21">
        <f t="shared" si="60"/>
        <v>8.6026188007402418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16.3</v>
      </c>
      <c r="BD79" s="12">
        <f>IF('Données projet'!$A$88&gt;35,BD78+BC79-BL78,IF(A79&lt;'Données projet'!$A$88,$BA$205^A79,IF(A79='Données projet'!$A$88,'Données projet'!$B$88,BD78+BC79-BL78)))</f>
        <v>760.8</v>
      </c>
      <c r="BE79" s="13">
        <f>BD79*VLOOKUP('Données projet'!$B$11,Paramètres!$A$1:$I$89,3,0)*VLOOKUP('Données projet'!$B$11,Paramètres!$A$1:$I$89,5,0)</f>
        <v>365.94479999999999</v>
      </c>
      <c r="BF79" s="13">
        <f t="shared" si="91"/>
        <v>84.837150220020803</v>
      </c>
      <c r="BG79" s="20">
        <f t="shared" si="61"/>
        <v>785.11189663320283</v>
      </c>
      <c r="BH79" s="59">
        <f t="shared" si="62"/>
        <v>1078.4452299665361</v>
      </c>
      <c r="BI79" s="59">
        <f ca="1">AVERAGE(OFFSET($BH$3,0,0,'Données projet'!$E$11+1,1))-AVERAGE(OFFSET($H$3,0,0,'Données projet'!$E$11+1,1))</f>
        <v>364.67510777943329</v>
      </c>
      <c r="BJ79" s="59">
        <f t="shared" si="92"/>
        <v>352.13878061387169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3.5562905866715986</v>
      </c>
      <c r="BQ79" s="21">
        <f>EXP(-LN(2)/25)*BQ78+(1-EXP(-LN(2)/25))/(LN(2)/25)*Calculateur!BL79*Calculateur!BN79*VLOOKUP('Données projet'!$B$11,Paramètres!$A$1:$I$89,3,0)*0.475*44/12</f>
        <v>5.0320496229830782</v>
      </c>
      <c r="BR79" s="21">
        <f>EXP(-LN(2)/2)*BR78+(1-EXP(-LN(2)/2))/(LN(2)/2)*BL79*BO79*VLOOKUP('Données projet'!$B$11,Paramètres!$A$1:$I$89,3,0)*0.475*44/12</f>
        <v>3.2751031577156693E-6</v>
      </c>
      <c r="BS79" s="22">
        <f t="shared" si="63"/>
        <v>8.5883434847578339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464.99999999999989</v>
      </c>
      <c r="BZ79" s="13">
        <f>BY79*VLOOKUP('Données projet'!$B$12,Paramètres!$A$1:$I$89,3,0)*VLOOKUP('Données projet'!$B$12,Paramètres!$A$1:$I$89,5,0)</f>
        <v>217.61999999999995</v>
      </c>
      <c r="CA79" s="13">
        <f t="shared" si="93"/>
        <v>53.597277471320098</v>
      </c>
      <c r="CB79" s="20">
        <f t="shared" si="64"/>
        <v>472.37009159588234</v>
      </c>
      <c r="CC79" s="59">
        <f t="shared" si="65"/>
        <v>765.70342492921566</v>
      </c>
      <c r="CD79" s="59">
        <f ca="1">AVERAGE(OFFSET($CC$3,0,0,'Données projet'!$E$12+1,1))-AVERAGE(OFFSET($H$3,0,0,'Données projet'!$E$12+1,1))</f>
        <v>252.98248842635206</v>
      </c>
      <c r="CE79" s="59">
        <f t="shared" si="94"/>
        <v>207.11938580878308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1.2604921847739481</v>
      </c>
      <c r="CL79" s="21">
        <f>EXP(-LN(2)/25)*CL78+(1-EXP(-LN(2)/25))/(LN(2)/25)*Calculateur!CG79*Calculateur!CI79*VLOOKUP('Données projet'!$B$12,Paramètres!$A$1:$I$89,3,0)*0.475*44/12</f>
        <v>2.1942023215753585</v>
      </c>
      <c r="CM79" s="21">
        <f>EXP(-LN(2)/2)*CM78+(1-EXP(-LN(2)/2))/(LN(2)/2)*CG79*CJ79*VLOOKUP('Données projet'!$B$12,Paramètres!$A$1:$I$89,3,0)*0.475*44/12</f>
        <v>1.1720867729539862E-6</v>
      </c>
      <c r="CN79" s="22">
        <f t="shared" si="66"/>
        <v>3.4546956784360794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10.4</v>
      </c>
      <c r="CT79" s="12">
        <f>IF('Données projet'!$A$140&gt;35,CT78+CS79-DB78,IF(A79&lt;'Données projet'!$A$140,$CQ$205^A79,IF(A79='Données projet'!$A$140,'Données projet'!$B$140,CT78+CS79-DB78)))</f>
        <v>609.39999999999952</v>
      </c>
      <c r="CU79" s="17">
        <f>CT79*VLOOKUP('Données projet'!$B$13,Paramètres!$A$1:$I$89,3,0)*VLOOKUP('Données projet'!$B$13,Paramètres!$A$1:$I$89,5,0)</f>
        <v>340.65459999999973</v>
      </c>
      <c r="CV79" s="13">
        <f t="shared" si="95"/>
        <v>79.635175782709197</v>
      </c>
      <c r="CW79" s="20">
        <f t="shared" si="67"/>
        <v>732.00469282155143</v>
      </c>
      <c r="CX79" s="59">
        <f t="shared" si="68"/>
        <v>1025.3380261548848</v>
      </c>
      <c r="CY79" s="59">
        <f ca="1">AVERAGE(OFFSET($CX$3,0,0,'Données projet'!$E$13+1,1))-AVERAGE(OFFSET($H$3,0,0,'Données projet'!$E$13+1,1))</f>
        <v>356.67698551373468</v>
      </c>
      <c r="CZ79" s="59">
        <f t="shared" si="96"/>
        <v>353.21836615408171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1.8368828255480936</v>
      </c>
      <c r="DG79" s="21">
        <f>EXP(-LN(2)/25)*DG78+(1-EXP(-LN(2)/25))/(LN(2)/25)*Calculateur!DB79*Calculateur!DD79*VLOOKUP('Données projet'!$B$13,Paramètres!$A$1:$I$89,3,0)*0.475*44/12</f>
        <v>8.4279617545383534</v>
      </c>
      <c r="DH79" s="21">
        <f>EXP(-LN(2)/2)*DH78+(1-EXP(-LN(2)/2))/(LN(2)/2)*DB79*DE79*VLOOKUP('Données projet'!$B$13,Paramètres!$A$1:$I$89,3,0)*0.475*44/12</f>
        <v>3.8769350493473103E-6</v>
      </c>
      <c r="DI79" s="22">
        <f t="shared" si="69"/>
        <v>10.264848457021495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7.2</v>
      </c>
      <c r="DO79" s="12">
        <f>IF('Données projet'!$A$166&gt;35,DO78+DN79-DW78,IF(A79&lt;'Données projet'!$A$166,$DL$205^A79,IF(A79='Données projet'!$A$166,'Données projet'!$B$166,DO78+DN79-DW78)))</f>
        <v>421.19999999999959</v>
      </c>
      <c r="DP79" s="17">
        <f>DO79*VLOOKUP('Données projet'!$B$14,Paramètres!$A$1:$I$89,3,0)*VLOOKUP('Données projet'!$B$14,Paramètres!$A$1:$I$89,5,0)</f>
        <v>251.87759999999977</v>
      </c>
      <c r="DQ79" s="13">
        <f t="shared" si="97"/>
        <v>60.987825380023018</v>
      </c>
      <c r="DR79" s="20">
        <f t="shared" si="70"/>
        <v>544.90728253687291</v>
      </c>
      <c r="DS79" s="59">
        <f t="shared" si="71"/>
        <v>838.24061587020628</v>
      </c>
      <c r="DT79" s="59">
        <f ca="1">AVERAGE(OFFSET($DS$3,0,0,'Données projet'!$E$14+1,1))-AVERAGE(OFFSET($H$3,0,0,'Données projet'!$E$14+1,1))</f>
        <v>247.30892363953825</v>
      </c>
      <c r="DU79" s="59">
        <f t="shared" si="98"/>
        <v>248.38414731596578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3.5890792250456132</v>
      </c>
      <c r="EC79" s="21">
        <f>EXP(-LN(2)/2)*EC78+(1-EXP(-LN(2)/2))/(LN(2)/2)*DW79*DZ79*VLOOKUP('Données projet'!$B$14,Paramètres!$A$1:$I$89,3,0)*0.475*44/12</f>
        <v>2.8287601320527758E-6</v>
      </c>
      <c r="ED79" s="22">
        <f t="shared" si="72"/>
        <v>3.5890820538057451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7.2</v>
      </c>
      <c r="EJ79" s="12">
        <f>IF('Données projet'!$A$192&gt;35,EJ78+EI79-ER78,IF(A79&lt;'Données projet'!$A$192,$EG$205^A79,IF(A79='Données projet'!$A$192,'Données projet'!$B$192,EJ78+EI79-ER78)))</f>
        <v>421.19999999999959</v>
      </c>
      <c r="EK79" s="17">
        <f>EJ79*VLOOKUP('Données projet'!$B$15,Paramètres!$A$1:$I$89,3,0)*VLOOKUP('Données projet'!$B$15,Paramètres!$A$1:$I$89,5,0)</f>
        <v>251.87759999999977</v>
      </c>
      <c r="EL79" s="13">
        <f t="shared" si="99"/>
        <v>60.987825380023018</v>
      </c>
      <c r="EM79" s="20">
        <f t="shared" si="73"/>
        <v>544.90728253687291</v>
      </c>
      <c r="EN79" s="59">
        <f t="shared" si="74"/>
        <v>838.24061587020628</v>
      </c>
      <c r="EO79" s="59">
        <f ca="1">AVERAGE(OFFSET($EN$3,0,0,'Données projet'!$E$15+1,1))-AVERAGE(OFFSET($H$3,0,0,'Données projet'!$E$15+1,1))</f>
        <v>247.30892363953825</v>
      </c>
      <c r="EP79" s="59">
        <f t="shared" si="100"/>
        <v>248.38414731596578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3.5890792250456132</v>
      </c>
      <c r="EX79" s="21">
        <f>EXP(-LN(2)/2)*EX78+(1-EXP(-LN(2)/2))/(LN(2)/2)*ER79*EU79*VLOOKUP('Données projet'!$B$15,Paramètres!$A$1:$I$89,3,0)*0.475*44/12</f>
        <v>2.8287601320527758E-6</v>
      </c>
      <c r="EY79" s="22">
        <f t="shared" si="75"/>
        <v>3.5890820538057451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14.7</v>
      </c>
      <c r="FE79" s="12">
        <f>IF('Données projet'!$A$218&gt;35,FE78+FD79-FM78,IF(A79&lt;'Données projet'!$A$218,$FB$205^A79,IF(A79='Données projet'!$A$218,'Données projet'!$B$218,FE78+FD79-FM78)))</f>
        <v>694.2000000000005</v>
      </c>
      <c r="FF79" s="17">
        <f>FE79*VLOOKUP('Données projet'!$B$16,Paramètres!$A$1:$I$89,3,0)*VLOOKUP('Données projet'!$B$16,Paramètres!$A$1:$I$89,5,0)</f>
        <v>333.9102000000002</v>
      </c>
      <c r="FG79" s="13">
        <f t="shared" si="101"/>
        <v>78.240434782372716</v>
      </c>
      <c r="FH79" s="20">
        <f t="shared" si="76"/>
        <v>717.82902224596603</v>
      </c>
      <c r="FI79" s="59">
        <f t="shared" si="77"/>
        <v>1011.1623555792994</v>
      </c>
      <c r="FJ79" s="59">
        <f ca="1">AVERAGE(OFFSET($FI$3,0,0,'Données projet'!$E$16+1,1))-AVERAGE(OFFSET($H$3,0,0,'Données projet'!$E$16+1,1))</f>
        <v>322.54393676667081</v>
      </c>
      <c r="FK79" s="59">
        <f t="shared" si="102"/>
        <v>296.73904998640018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2.7095547327021685</v>
      </c>
      <c r="FR79" s="21">
        <f>EXP(-LN(2)/25)*FR78+(1-EXP(-LN(2)/25))/(LN(2)/25)*Calculateur!FM79*Calculateur!FO79*VLOOKUP('Données projet'!$B$16,Paramètres!$A$1:$I$89,3,0)*0.475*44/12</f>
        <v>3.7493742853916268</v>
      </c>
      <c r="FS79" s="21">
        <f>EXP(-LN(2)/2)*FS78+(1-EXP(-LN(2)/2))/(LN(2)/2)*FM79*FP79*VLOOKUP('Données projet'!$B$16,Paramètres!$A$1:$I$89,3,0)*0.475*44/12</f>
        <v>2.4929980550089878E-6</v>
      </c>
      <c r="FT79" s="22">
        <f t="shared" si="78"/>
        <v>6.4589315110918504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1112.7508988738839</v>
      </c>
      <c r="S80" s="59">
        <f ca="1">AVERAGE(OFFSET($R$3,0,0,'Données projet'!$E$9+1,1))-AVERAGE(OFFSET($H$3,0,0,'Données projet'!$E$9+1,1))</f>
        <v>401.06118089678654</v>
      </c>
      <c r="T80" s="59">
        <f t="shared" si="88"/>
        <v>399.58193819355591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5.0999999999999996</v>
      </c>
      <c r="AI80" s="13">
        <f>IF('Données projet'!$A$62&gt;35,AI79+AH80-AQ79,IF(A80&lt;'Données projet'!$A$62,$AF$205^A80,IF(A80='Données projet'!$A$62,'Données projet'!$B$62,AI79+AH80-AQ79)))</f>
        <v>371.70000000000056</v>
      </c>
      <c r="AJ80" s="13">
        <f>AI80*VLOOKUP('Données projet'!$B$10,Paramètres!$A$1:$I$89,3,0)*VLOOKUP('Données projet'!$B$10,Paramètres!$A$1:$I$89,5,0)</f>
        <v>231.94080000000034</v>
      </c>
      <c r="AK80" s="13">
        <f t="shared" si="89"/>
        <v>56.702122420175556</v>
      </c>
      <c r="AL80" s="20">
        <f t="shared" si="58"/>
        <v>502.71975654847284</v>
      </c>
      <c r="AM80" s="59">
        <f t="shared" si="59"/>
        <v>796.05308988180616</v>
      </c>
      <c r="AN80" s="59">
        <f ca="1">AVERAGE(OFFSET($AM$3,0,0,'Données projet'!$E$10+1,1))-AVERAGE(OFFSET($H$3,0,0,'Données projet'!$E$10+1,1))</f>
        <v>240.30073883588199</v>
      </c>
      <c r="AO80" s="59">
        <f t="shared" si="90"/>
        <v>263.20351282678843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2.7412708775548231</v>
      </c>
      <c r="AV80" s="21">
        <f>EXP(-LN(2)/25)*AV79+(1-EXP(-LN(2)/25))/(LN(2)/25)*Calculateur!AQ80*Calculateur!AS80*VLOOKUP('Données projet'!$B$10,Paramètres!$A$1:$I$89,3,0)*0.475*44/12</f>
        <v>5.6477362100340009</v>
      </c>
      <c r="AW80" s="21">
        <f>EXP(-LN(2)/2)*AW79+(1-EXP(-LN(2)/2))/(LN(2)/2)*AQ80*AT80*VLOOKUP('Données projet'!$B$10,Paramètres!$A$1:$I$89,3,0)*0.475*44/12</f>
        <v>1.7019584846929821E-6</v>
      </c>
      <c r="AX80" s="21">
        <f t="shared" si="60"/>
        <v>8.3890087895473098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16.3</v>
      </c>
      <c r="BD80" s="12">
        <f>IF('Données projet'!$A$88&gt;35,BD79+BC80-BL79,IF(A80&lt;'Données projet'!$A$88,$BA$205^A80,IF(A80='Données projet'!$A$88,'Données projet'!$B$88,BD79+BC80-BL79)))</f>
        <v>777.09999999999991</v>
      </c>
      <c r="BE80" s="13">
        <f>BD80*VLOOKUP('Données projet'!$B$11,Paramètres!$A$1:$I$89,3,0)*VLOOKUP('Données projet'!$B$11,Paramètres!$A$1:$I$89,5,0)</f>
        <v>373.7851</v>
      </c>
      <c r="BF80" s="13">
        <f t="shared" si="91"/>
        <v>86.441212711528081</v>
      </c>
      <c r="BG80" s="20">
        <f t="shared" si="61"/>
        <v>801.56082797257807</v>
      </c>
      <c r="BH80" s="59">
        <f t="shared" si="62"/>
        <v>1094.8941613059114</v>
      </c>
      <c r="BI80" s="59">
        <f ca="1">AVERAGE(OFFSET($BH$3,0,0,'Données projet'!$E$11+1,1))-AVERAGE(OFFSET($H$3,0,0,'Données projet'!$E$11+1,1))</f>
        <v>364.67510777943329</v>
      </c>
      <c r="BJ80" s="59">
        <f t="shared" si="92"/>
        <v>352.13878061387169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3.4865538973900434</v>
      </c>
      <c r="BQ80" s="21">
        <f>EXP(-LN(2)/25)*BQ79+(1-EXP(-LN(2)/25))/(LN(2)/25)*Calculateur!BL80*Calculateur!BN80*VLOOKUP('Données projet'!$B$11,Paramètres!$A$1:$I$89,3,0)*0.475*44/12</f>
        <v>4.8944479614186172</v>
      </c>
      <c r="BR80" s="21">
        <f>EXP(-LN(2)/2)*BR79+(1-EXP(-LN(2)/2))/(LN(2)/2)*BL80*BO80*VLOOKUP('Données projet'!$B$11,Paramètres!$A$1:$I$89,3,0)*0.475*44/12</f>
        <v>2.3158476519062245E-6</v>
      </c>
      <c r="BS80" s="22">
        <f t="shared" si="63"/>
        <v>8.3810041746563133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481.99999999999989</v>
      </c>
      <c r="BZ80" s="13">
        <f>BY80*VLOOKUP('Données projet'!$B$12,Paramètres!$A$1:$I$89,3,0)*VLOOKUP('Données projet'!$B$12,Paramètres!$A$1:$I$89,5,0)</f>
        <v>225.57599999999994</v>
      </c>
      <c r="CA80" s="13">
        <f t="shared" si="93"/>
        <v>55.325030705505945</v>
      </c>
      <c r="CB80" s="20">
        <f t="shared" si="64"/>
        <v>489.23596181208933</v>
      </c>
      <c r="CC80" s="59">
        <f t="shared" si="65"/>
        <v>782.56929514542264</v>
      </c>
      <c r="CD80" s="59">
        <f ca="1">AVERAGE(OFFSET($CC$3,0,0,'Données projet'!$E$12+1,1))-AVERAGE(OFFSET($H$3,0,0,'Données projet'!$E$12+1,1))</f>
        <v>252.98248842635206</v>
      </c>
      <c r="CE80" s="59">
        <f t="shared" si="94"/>
        <v>207.11938580878308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1.2357747018548486</v>
      </c>
      <c r="CL80" s="21">
        <f>EXP(-LN(2)/25)*CL79+(1-EXP(-LN(2)/25))/(LN(2)/25)*Calculateur!CG80*Calculateur!CI80*VLOOKUP('Données projet'!$B$12,Paramètres!$A$1:$I$89,3,0)*0.475*44/12</f>
        <v>2.134201743703795</v>
      </c>
      <c r="CM80" s="21">
        <f>EXP(-LN(2)/2)*CM79+(1-EXP(-LN(2)/2))/(LN(2)/2)*CG80*CJ80*VLOOKUP('Données projet'!$B$12,Paramètres!$A$1:$I$89,3,0)*0.475*44/12</f>
        <v>8.2879050529482091E-7</v>
      </c>
      <c r="CN80" s="22">
        <f t="shared" si="66"/>
        <v>3.3699772743491487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10.4</v>
      </c>
      <c r="CT80" s="12">
        <f>IF('Données projet'!$A$140&gt;35,CT79+CS80-DB79,IF(A80&lt;'Données projet'!$A$140,$CQ$205^A80,IF(A80='Données projet'!$A$140,'Données projet'!$B$140,CT79+CS80-DB79)))</f>
        <v>619.7999999999995</v>
      </c>
      <c r="CU80" s="17">
        <f>CT80*VLOOKUP('Données projet'!$B$13,Paramètres!$A$1:$I$89,3,0)*VLOOKUP('Données projet'!$B$13,Paramètres!$A$1:$I$89,5,0)</f>
        <v>346.46819999999974</v>
      </c>
      <c r="CV80" s="13">
        <f t="shared" si="95"/>
        <v>80.834848230178139</v>
      </c>
      <c r="CW80" s="20">
        <f t="shared" si="67"/>
        <v>744.21947566755978</v>
      </c>
      <c r="CX80" s="59">
        <f t="shared" si="68"/>
        <v>1037.5528090008931</v>
      </c>
      <c r="CY80" s="59">
        <f ca="1">AVERAGE(OFFSET($CX$3,0,0,'Données projet'!$E$13+1,1))-AVERAGE(OFFSET($H$3,0,0,'Données projet'!$E$13+1,1))</f>
        <v>356.67698551373468</v>
      </c>
      <c r="CZ80" s="59">
        <f t="shared" si="96"/>
        <v>353.21836615408171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1.8008626737269899</v>
      </c>
      <c r="DG80" s="21">
        <f>EXP(-LN(2)/25)*DG79+(1-EXP(-LN(2)/25))/(LN(2)/25)*Calculateur!DB80*Calculateur!DD80*VLOOKUP('Données projet'!$B$13,Paramètres!$A$1:$I$89,3,0)*0.475*44/12</f>
        <v>8.1974986971532555</v>
      </c>
      <c r="DH80" s="21">
        <f>EXP(-LN(2)/2)*DH79+(1-EXP(-LN(2)/2))/(LN(2)/2)*DB80*DE80*VLOOKUP('Données projet'!$B$13,Paramètres!$A$1:$I$89,3,0)*0.475*44/12</f>
        <v>2.7414070636132853E-6</v>
      </c>
      <c r="DI80" s="22">
        <f t="shared" si="69"/>
        <v>9.9983641122873088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7.2</v>
      </c>
      <c r="DO80" s="12">
        <f>IF('Données projet'!$A$166&gt;35,DO79+DN80-DW79,IF(A80&lt;'Données projet'!$A$166,$DL$205^A80,IF(A80='Données projet'!$A$166,'Données projet'!$B$166,DO79+DN80-DW79)))</f>
        <v>428.39999999999958</v>
      </c>
      <c r="DP80" s="17">
        <f>DO80*VLOOKUP('Données projet'!$B$14,Paramètres!$A$1:$I$89,3,0)*VLOOKUP('Données projet'!$B$14,Paramètres!$A$1:$I$89,5,0)</f>
        <v>256.18319999999977</v>
      </c>
      <c r="DQ80" s="13">
        <f t="shared" si="97"/>
        <v>61.90809149979912</v>
      </c>
      <c r="DR80" s="20">
        <f t="shared" si="70"/>
        <v>554.00899936214978</v>
      </c>
      <c r="DS80" s="59">
        <f t="shared" si="71"/>
        <v>847.34233269548304</v>
      </c>
      <c r="DT80" s="59">
        <f ca="1">AVERAGE(OFFSET($DS$3,0,0,'Données projet'!$E$14+1,1))-AVERAGE(OFFSET($H$3,0,0,'Données projet'!$E$14+1,1))</f>
        <v>247.30892363953825</v>
      </c>
      <c r="DU80" s="59">
        <f t="shared" si="98"/>
        <v>248.38414731596578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3.4909356648952672</v>
      </c>
      <c r="EC80" s="21">
        <f>EXP(-LN(2)/2)*EC79+(1-EXP(-LN(2)/2))/(LN(2)/2)*DW80*DZ80*VLOOKUP('Données projet'!$B$14,Paramètres!$A$1:$I$89,3,0)*0.475*44/12</f>
        <v>2.0002354717246714E-6</v>
      </c>
      <c r="ED80" s="22">
        <f t="shared" si="72"/>
        <v>3.4909376651307391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7.2</v>
      </c>
      <c r="EJ80" s="12">
        <f>IF('Données projet'!$A$192&gt;35,EJ79+EI80-ER79,IF(A80&lt;'Données projet'!$A$192,$EG$205^A80,IF(A80='Données projet'!$A$192,'Données projet'!$B$192,EJ79+EI80-ER79)))</f>
        <v>428.39999999999958</v>
      </c>
      <c r="EK80" s="17">
        <f>EJ80*VLOOKUP('Données projet'!$B$15,Paramètres!$A$1:$I$89,3,0)*VLOOKUP('Données projet'!$B$15,Paramètres!$A$1:$I$89,5,0)</f>
        <v>256.18319999999977</v>
      </c>
      <c r="EL80" s="13">
        <f t="shared" si="99"/>
        <v>61.90809149979912</v>
      </c>
      <c r="EM80" s="20">
        <f t="shared" si="73"/>
        <v>554.00899936214978</v>
      </c>
      <c r="EN80" s="59">
        <f t="shared" si="74"/>
        <v>847.34233269548304</v>
      </c>
      <c r="EO80" s="59">
        <f ca="1">AVERAGE(OFFSET($EN$3,0,0,'Données projet'!$E$15+1,1))-AVERAGE(OFFSET($H$3,0,0,'Données projet'!$E$15+1,1))</f>
        <v>247.30892363953825</v>
      </c>
      <c r="EP80" s="59">
        <f t="shared" si="100"/>
        <v>248.38414731596578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3.4909356648952672</v>
      </c>
      <c r="EX80" s="21">
        <f>EXP(-LN(2)/2)*EX79+(1-EXP(-LN(2)/2))/(LN(2)/2)*ER80*EU80*VLOOKUP('Données projet'!$B$15,Paramètres!$A$1:$I$89,3,0)*0.475*44/12</f>
        <v>2.0002354717246714E-6</v>
      </c>
      <c r="EY80" s="22">
        <f t="shared" si="75"/>
        <v>3.4909376651307391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14.7</v>
      </c>
      <c r="FE80" s="12">
        <f>IF('Données projet'!$A$218&gt;35,FE79+FD80-FM79,IF(A80&lt;'Données projet'!$A$218,$FB$205^A80,IF(A80='Données projet'!$A$218,'Données projet'!$B$218,FE79+FD80-FM79)))</f>
        <v>708.90000000000055</v>
      </c>
      <c r="FF80" s="17">
        <f>FE80*VLOOKUP('Données projet'!$B$16,Paramètres!$A$1:$I$89,3,0)*VLOOKUP('Données projet'!$B$16,Paramètres!$A$1:$I$89,5,0)</f>
        <v>340.98090000000025</v>
      </c>
      <c r="FG80" s="13">
        <f t="shared" si="101"/>
        <v>79.702572580633841</v>
      </c>
      <c r="FH80" s="20">
        <f t="shared" si="76"/>
        <v>732.69038141127101</v>
      </c>
      <c r="FI80" s="59">
        <f t="shared" si="77"/>
        <v>1026.0237147446044</v>
      </c>
      <c r="FJ80" s="59">
        <f ca="1">AVERAGE(OFFSET($FI$3,0,0,'Données projet'!$E$16+1,1))-AVERAGE(OFFSET($H$3,0,0,'Données projet'!$E$16+1,1))</f>
        <v>322.54393676667081</v>
      </c>
      <c r="FK80" s="59">
        <f t="shared" si="102"/>
        <v>296.73904998640018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2.6564220170590787</v>
      </c>
      <c r="FR80" s="21">
        <f>EXP(-LN(2)/25)*FR79+(1-EXP(-LN(2)/25))/(LN(2)/25)*Calculateur!FM80*Calculateur!FO80*VLOOKUP('Données projet'!$B$16,Paramètres!$A$1:$I$89,3,0)*0.475*44/12</f>
        <v>3.6468474483865685</v>
      </c>
      <c r="FS80" s="21">
        <f>EXP(-LN(2)/2)*FS79+(1-EXP(-LN(2)/2))/(LN(2)/2)*FM80*FP80*VLOOKUP('Données projet'!$B$16,Paramètres!$A$1:$I$89,3,0)*0.475*44/12</f>
        <v>1.7628158301817289E-6</v>
      </c>
      <c r="FT80" s="22">
        <f t="shared" si="78"/>
        <v>6.3032712282614769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1126.4611774817261</v>
      </c>
      <c r="S81" s="59">
        <f ca="1">AVERAGE(OFFSET($R$3,0,0,'Données projet'!$E$9+1,1))-AVERAGE(OFFSET($H$3,0,0,'Données projet'!$E$9+1,1))</f>
        <v>401.06118089678654</v>
      </c>
      <c r="T81" s="59">
        <f t="shared" si="88"/>
        <v>399.58193819355591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5.0999999999999996</v>
      </c>
      <c r="AI81" s="13">
        <f>IF('Données projet'!$A$62&gt;35,AI80+AH81-AQ80,IF(A81&lt;'Données projet'!$A$62,$AF$205^A81,IF(A81='Données projet'!$A$62,'Données projet'!$B$62,AI80+AH81-AQ80)))</f>
        <v>376.80000000000058</v>
      </c>
      <c r="AJ81" s="13">
        <f>AI81*VLOOKUP('Données projet'!$B$10,Paramètres!$A$1:$I$89,3,0)*VLOOKUP('Données projet'!$B$10,Paramètres!$A$1:$I$89,5,0)</f>
        <v>235.12320000000034</v>
      </c>
      <c r="AK81" s="13">
        <f t="shared" si="89"/>
        <v>57.389012831278578</v>
      </c>
      <c r="AL81" s="20">
        <f t="shared" si="58"/>
        <v>509.45877068114413</v>
      </c>
      <c r="AM81" s="59">
        <f t="shared" si="59"/>
        <v>802.79210401447745</v>
      </c>
      <c r="AN81" s="59">
        <f ca="1">AVERAGE(OFFSET($AM$3,0,0,'Données projet'!$E$10+1,1))-AVERAGE(OFFSET($H$3,0,0,'Données projet'!$E$10+1,1))</f>
        <v>240.30073883588199</v>
      </c>
      <c r="AO81" s="59">
        <f t="shared" si="90"/>
        <v>263.20351282678843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2.6875162276561109</v>
      </c>
      <c r="AV81" s="21">
        <f>EXP(-LN(2)/25)*AV80+(1-EXP(-LN(2)/25))/(LN(2)/25)*Calculateur!AQ81*Calculateur!AS81*VLOOKUP('Données projet'!$B$10,Paramètres!$A$1:$I$89,3,0)*0.475*44/12</f>
        <v>5.4932985663690816</v>
      </c>
      <c r="AW81" s="21">
        <f>EXP(-LN(2)/2)*AW80+(1-EXP(-LN(2)/2))/(LN(2)/2)*AQ81*AT81*VLOOKUP('Données projet'!$B$10,Paramètres!$A$1:$I$89,3,0)*0.475*44/12</f>
        <v>1.2034663858243885E-6</v>
      </c>
      <c r="AX81" s="21">
        <f t="shared" si="60"/>
        <v>8.1808159974915782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16.3</v>
      </c>
      <c r="BD81" s="12">
        <f>IF('Données projet'!$A$88&gt;35,BD80+BC81-BL80,IF(A81&lt;'Données projet'!$A$88,$BA$205^A81,IF(A81='Données projet'!$A$88,'Données projet'!$B$88,BD80+BC81-BL80)))</f>
        <v>793.39999999999986</v>
      </c>
      <c r="BE81" s="13">
        <f>BD81*VLOOKUP('Données projet'!$B$11,Paramètres!$A$1:$I$89,3,0)*VLOOKUP('Données projet'!$B$11,Paramètres!$A$1:$I$89,5,0)</f>
        <v>381.62539999999996</v>
      </c>
      <c r="BF81" s="13">
        <f t="shared" si="91"/>
        <v>88.041363295715925</v>
      </c>
      <c r="BG81" s="20">
        <f t="shared" si="61"/>
        <v>818.00294607337173</v>
      </c>
      <c r="BH81" s="59">
        <f t="shared" si="62"/>
        <v>1111.336279406705</v>
      </c>
      <c r="BI81" s="59">
        <f ca="1">AVERAGE(OFFSET($BH$3,0,0,'Données projet'!$E$11+1,1))-AVERAGE(OFFSET($H$3,0,0,'Données projet'!$E$11+1,1))</f>
        <v>364.67510777943329</v>
      </c>
      <c r="BJ81" s="59">
        <f t="shared" si="92"/>
        <v>352.13878061387169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3.418184702050119</v>
      </c>
      <c r="BQ81" s="21">
        <f>EXP(-LN(2)/25)*BQ80+(1-EXP(-LN(2)/25))/(LN(2)/25)*Calculateur!BL81*Calculateur!BN81*VLOOKUP('Données projet'!$B$11,Paramètres!$A$1:$I$89,3,0)*0.475*44/12</f>
        <v>4.7606090245257935</v>
      </c>
      <c r="BR81" s="21">
        <f>EXP(-LN(2)/2)*BR80+(1-EXP(-LN(2)/2))/(LN(2)/2)*BL81*BO81*VLOOKUP('Données projet'!$B$11,Paramètres!$A$1:$I$89,3,0)*0.475*44/12</f>
        <v>1.6375515788578346E-6</v>
      </c>
      <c r="BS81" s="22">
        <f t="shared" si="63"/>
        <v>8.1787953641274918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498.99999999999989</v>
      </c>
      <c r="BZ81" s="13">
        <f>BY81*VLOOKUP('Données projet'!$B$12,Paramètres!$A$1:$I$89,3,0)*VLOOKUP('Données projet'!$B$12,Paramètres!$A$1:$I$89,5,0)</f>
        <v>233.53199999999995</v>
      </c>
      <c r="CA81" s="13">
        <f t="shared" si="93"/>
        <v>57.04570382109808</v>
      </c>
      <c r="CB81" s="20">
        <f t="shared" si="64"/>
        <v>506.08950082174573</v>
      </c>
      <c r="CC81" s="59">
        <f t="shared" si="65"/>
        <v>799.42283415507904</v>
      </c>
      <c r="CD81" s="59">
        <f ca="1">AVERAGE(OFFSET($CC$3,0,0,'Données projet'!$E$12+1,1))-AVERAGE(OFFSET($H$3,0,0,'Données projet'!$E$12+1,1))</f>
        <v>252.98248842635206</v>
      </c>
      <c r="CE81" s="59">
        <f t="shared" si="94"/>
        <v>207.11938580878308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1.2115419136996166</v>
      </c>
      <c r="CL81" s="21">
        <f>EXP(-LN(2)/25)*CL80+(1-EXP(-LN(2)/25))/(LN(2)/25)*Calculateur!CG81*Calculateur!CI81*VLOOKUP('Données projet'!$B$12,Paramètres!$A$1:$I$89,3,0)*0.475*44/12</f>
        <v>2.0758418847894227</v>
      </c>
      <c r="CM81" s="21">
        <f>EXP(-LN(2)/2)*CM80+(1-EXP(-LN(2)/2))/(LN(2)/2)*CG81*CJ81*VLOOKUP('Données projet'!$B$12,Paramètres!$A$1:$I$89,3,0)*0.475*44/12</f>
        <v>5.8604338647699308E-7</v>
      </c>
      <c r="CN81" s="22">
        <f t="shared" si="66"/>
        <v>3.2873843845324258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10.4</v>
      </c>
      <c r="CT81" s="12">
        <f>IF('Données projet'!$A$140&gt;35,CT80+CS81-DB80,IF(A81&lt;'Données projet'!$A$140,$CQ$205^A81,IF(A81='Données projet'!$A$140,'Données projet'!$B$140,CT80+CS81-DB80)))</f>
        <v>630.19999999999948</v>
      </c>
      <c r="CU81" s="17">
        <f>CT81*VLOOKUP('Données projet'!$B$13,Paramètres!$A$1:$I$89,3,0)*VLOOKUP('Données projet'!$B$13,Paramètres!$A$1:$I$89,5,0)</f>
        <v>352.28179999999969</v>
      </c>
      <c r="CV81" s="13">
        <f t="shared" si="95"/>
        <v>82.032179712608126</v>
      </c>
      <c r="CW81" s="20">
        <f t="shared" si="67"/>
        <v>756.4301813327919</v>
      </c>
      <c r="CX81" s="59">
        <f t="shared" si="68"/>
        <v>1049.7635146661253</v>
      </c>
      <c r="CY81" s="59">
        <f ca="1">AVERAGE(OFFSET($CX$3,0,0,'Données projet'!$E$13+1,1))-AVERAGE(OFFSET($H$3,0,0,'Données projet'!$E$13+1,1))</f>
        <v>356.67698551373468</v>
      </c>
      <c r="CZ81" s="59">
        <f t="shared" si="96"/>
        <v>353.21836615408171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1.765548855112975</v>
      </c>
      <c r="DG81" s="21">
        <f>EXP(-LN(2)/25)*DG80+(1-EXP(-LN(2)/25))/(LN(2)/25)*Calculateur!DB81*Calculateur!DD81*VLOOKUP('Données projet'!$B$13,Paramètres!$A$1:$I$89,3,0)*0.475*44/12</f>
        <v>7.9733376641918792</v>
      </c>
      <c r="DH81" s="21">
        <f>EXP(-LN(2)/2)*DH80+(1-EXP(-LN(2)/2))/(LN(2)/2)*DB81*DE81*VLOOKUP('Données projet'!$B$13,Paramètres!$A$1:$I$89,3,0)*0.475*44/12</f>
        <v>1.9384675246736551E-6</v>
      </c>
      <c r="DI81" s="22">
        <f t="shared" si="69"/>
        <v>9.7388884577723793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7.2</v>
      </c>
      <c r="DO81" s="12">
        <f>IF('Données projet'!$A$166&gt;35,DO80+DN81-DW80,IF(A81&lt;'Données projet'!$A$166,$DL$205^A81,IF(A81='Données projet'!$A$166,'Données projet'!$B$166,DO80+DN81-DW80)))</f>
        <v>435.59999999999957</v>
      </c>
      <c r="DP81" s="17">
        <f>DO81*VLOOKUP('Données projet'!$B$14,Paramètres!$A$1:$I$89,3,0)*VLOOKUP('Données projet'!$B$14,Paramètres!$A$1:$I$89,5,0)</f>
        <v>260.48879999999974</v>
      </c>
      <c r="DQ81" s="13">
        <f t="shared" si="97"/>
        <v>62.826558970958764</v>
      </c>
      <c r="DR81" s="20">
        <f t="shared" si="70"/>
        <v>563.107583541086</v>
      </c>
      <c r="DS81" s="59">
        <f t="shared" si="71"/>
        <v>856.44091687441937</v>
      </c>
      <c r="DT81" s="59">
        <f ca="1">AVERAGE(OFFSET($DS$3,0,0,'Données projet'!$E$14+1,1))-AVERAGE(OFFSET($H$3,0,0,'Données projet'!$E$14+1,1))</f>
        <v>247.30892363953825</v>
      </c>
      <c r="DU81" s="59">
        <f t="shared" si="98"/>
        <v>248.38414731596578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3.3954758455583782</v>
      </c>
      <c r="EC81" s="21">
        <f>EXP(-LN(2)/2)*EC80+(1-EXP(-LN(2)/2))/(LN(2)/2)*DW81*DZ81*VLOOKUP('Données projet'!$B$14,Paramètres!$A$1:$I$89,3,0)*0.475*44/12</f>
        <v>1.4143800660263879E-6</v>
      </c>
      <c r="ED81" s="22">
        <f t="shared" si="72"/>
        <v>3.3954772599384442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7.2</v>
      </c>
      <c r="EJ81" s="12">
        <f>IF('Données projet'!$A$192&gt;35,EJ80+EI81-ER80,IF(A81&lt;'Données projet'!$A$192,$EG$205^A81,IF(A81='Données projet'!$A$192,'Données projet'!$B$192,EJ80+EI81-ER80)))</f>
        <v>435.59999999999957</v>
      </c>
      <c r="EK81" s="17">
        <f>EJ81*VLOOKUP('Données projet'!$B$15,Paramètres!$A$1:$I$89,3,0)*VLOOKUP('Données projet'!$B$15,Paramètres!$A$1:$I$89,5,0)</f>
        <v>260.48879999999974</v>
      </c>
      <c r="EL81" s="13">
        <f t="shared" si="99"/>
        <v>62.826558970958764</v>
      </c>
      <c r="EM81" s="20">
        <f t="shared" si="73"/>
        <v>563.107583541086</v>
      </c>
      <c r="EN81" s="59">
        <f t="shared" si="74"/>
        <v>856.44091687441937</v>
      </c>
      <c r="EO81" s="59">
        <f ca="1">AVERAGE(OFFSET($EN$3,0,0,'Données projet'!$E$15+1,1))-AVERAGE(OFFSET($H$3,0,0,'Données projet'!$E$15+1,1))</f>
        <v>247.30892363953825</v>
      </c>
      <c r="EP81" s="59">
        <f t="shared" si="100"/>
        <v>248.38414731596578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3.3954758455583782</v>
      </c>
      <c r="EX81" s="21">
        <f>EXP(-LN(2)/2)*EX80+(1-EXP(-LN(2)/2))/(LN(2)/2)*ER81*EU81*VLOOKUP('Données projet'!$B$15,Paramètres!$A$1:$I$89,3,0)*0.475*44/12</f>
        <v>1.4143800660263879E-6</v>
      </c>
      <c r="EY81" s="22">
        <f t="shared" si="75"/>
        <v>3.3954772599384442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14.7</v>
      </c>
      <c r="FE81" s="12">
        <f>IF('Données projet'!$A$218&gt;35,FE80+FD81-FM80,IF(A81&lt;'Données projet'!$A$218,$FB$205^A81,IF(A81='Données projet'!$A$218,'Données projet'!$B$218,FE80+FD81-FM80)))</f>
        <v>723.60000000000059</v>
      </c>
      <c r="FF81" s="17">
        <f>FE81*VLOOKUP('Données projet'!$B$16,Paramètres!$A$1:$I$89,3,0)*VLOOKUP('Données projet'!$B$16,Paramètres!$A$1:$I$89,5,0)</f>
        <v>348.05160000000029</v>
      </c>
      <c r="FG81" s="13">
        <f t="shared" si="101"/>
        <v>81.161185188985826</v>
      </c>
      <c r="FH81" s="20">
        <f t="shared" si="76"/>
        <v>747.54560087081745</v>
      </c>
      <c r="FI81" s="59">
        <f t="shared" si="77"/>
        <v>1040.8789342041507</v>
      </c>
      <c r="FJ81" s="59">
        <f ca="1">AVERAGE(OFFSET($FI$3,0,0,'Données projet'!$E$16+1,1))-AVERAGE(OFFSET($H$3,0,0,'Données projet'!$E$16+1,1))</f>
        <v>322.54393676667081</v>
      </c>
      <c r="FK81" s="59">
        <f t="shared" si="102"/>
        <v>296.73904998640018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2.6043312015619935</v>
      </c>
      <c r="FR81" s="21">
        <f>EXP(-LN(2)/25)*FR80+(1-EXP(-LN(2)/25))/(LN(2)/25)*Calculateur!FM81*Calculateur!FO81*VLOOKUP('Données projet'!$B$16,Paramètres!$A$1:$I$89,3,0)*0.475*44/12</f>
        <v>3.5471242131310654</v>
      </c>
      <c r="FS81" s="21">
        <f>EXP(-LN(2)/2)*FS80+(1-EXP(-LN(2)/2))/(LN(2)/2)*FM81*FP81*VLOOKUP('Données projet'!$B$16,Paramètres!$A$1:$I$89,3,0)*0.475*44/12</f>
        <v>1.2464990275044939E-6</v>
      </c>
      <c r="FT81" s="22">
        <f t="shared" si="78"/>
        <v>6.1514566611920865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1140.1669195515369</v>
      </c>
      <c r="S82" s="59">
        <f ca="1">AVERAGE(OFFSET($R$3,0,0,'Données projet'!$E$9+1,1))-AVERAGE(OFFSET($H$3,0,0,'Données projet'!$E$9+1,1))</f>
        <v>401.06118089678654</v>
      </c>
      <c r="T82" s="59">
        <f t="shared" si="88"/>
        <v>399.58193819355591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5.0999999999999996</v>
      </c>
      <c r="AI82" s="13">
        <f>IF('Données projet'!$A$62&gt;35,AI81+AH82-AQ81,IF(A82&lt;'Données projet'!$A$62,$AF$205^A82,IF(A82='Données projet'!$A$62,'Données projet'!$B$62,AI81+AH82-AQ81)))</f>
        <v>381.9000000000006</v>
      </c>
      <c r="AJ82" s="13">
        <f>AI82*VLOOKUP('Données projet'!$B$10,Paramètres!$A$1:$I$89,3,0)*VLOOKUP('Données projet'!$B$10,Paramètres!$A$1:$I$89,5,0)</f>
        <v>238.3056000000004</v>
      </c>
      <c r="AK82" s="13">
        <f t="shared" si="89"/>
        <v>58.074821878967199</v>
      </c>
      <c r="AL82" s="20">
        <f t="shared" si="58"/>
        <v>516.19590143920186</v>
      </c>
      <c r="AM82" s="59">
        <f t="shared" si="59"/>
        <v>809.52923477253512</v>
      </c>
      <c r="AN82" s="59">
        <f ca="1">AVERAGE(OFFSET($AM$3,0,0,'Données projet'!$E$10+1,1))-AVERAGE(OFFSET($H$3,0,0,'Données projet'!$E$10+1,1))</f>
        <v>240.30073883588199</v>
      </c>
      <c r="AO82" s="59">
        <f t="shared" si="90"/>
        <v>263.20351282678843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2.6348156736548134</v>
      </c>
      <c r="AV82" s="21">
        <f>EXP(-LN(2)/25)*AV81+(1-EXP(-LN(2)/25))/(LN(2)/25)*Calculateur!AQ82*Calculateur!AS82*VLOOKUP('Données projet'!$B$10,Paramètres!$A$1:$I$89,3,0)*0.475*44/12</f>
        <v>5.3430840281917025</v>
      </c>
      <c r="AW82" s="21">
        <f>EXP(-LN(2)/2)*AW81+(1-EXP(-LN(2)/2))/(LN(2)/2)*AQ82*AT82*VLOOKUP('Données projet'!$B$10,Paramètres!$A$1:$I$89,3,0)*0.475*44/12</f>
        <v>8.5097924234649107E-7</v>
      </c>
      <c r="AX82" s="21">
        <f t="shared" si="60"/>
        <v>7.9779005528257585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16.3</v>
      </c>
      <c r="BD82" s="12">
        <f>IF('Données projet'!$A$88&gt;35,BD81+BC82-BL81,IF(A82&lt;'Données projet'!$A$88,$BA$205^A82,IF(A82='Données projet'!$A$88,'Données projet'!$B$88,BD81+BC82-BL81)))</f>
        <v>809.69999999999982</v>
      </c>
      <c r="BE82" s="13">
        <f>BD82*VLOOKUP('Données projet'!$B$11,Paramètres!$A$1:$I$89,3,0)*VLOOKUP('Données projet'!$B$11,Paramètres!$A$1:$I$89,5,0)</f>
        <v>389.46569999999991</v>
      </c>
      <c r="BF82" s="13">
        <f t="shared" si="91"/>
        <v>89.637691601118703</v>
      </c>
      <c r="BG82" s="20">
        <f t="shared" si="61"/>
        <v>834.43840703861497</v>
      </c>
      <c r="BH82" s="59">
        <f t="shared" si="62"/>
        <v>1127.7717403719482</v>
      </c>
      <c r="BI82" s="59">
        <f ca="1">AVERAGE(OFFSET($BH$3,0,0,'Données projet'!$E$11+1,1))-AVERAGE(OFFSET($H$3,0,0,'Données projet'!$E$11+1,1))</f>
        <v>364.67510777943329</v>
      </c>
      <c r="BJ82" s="59">
        <f t="shared" si="92"/>
        <v>352.13878061387169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3.3511561849297191</v>
      </c>
      <c r="BQ82" s="21">
        <f>EXP(-LN(2)/25)*BQ81+(1-EXP(-LN(2)/25))/(LN(2)/25)*Calculateur!BL82*Calculateur!BN82*VLOOKUP('Données projet'!$B$11,Paramètres!$A$1:$I$89,3,0)*0.475*44/12</f>
        <v>4.6304299204005872</v>
      </c>
      <c r="BR82" s="21">
        <f>EXP(-LN(2)/2)*BR81+(1-EXP(-LN(2)/2))/(LN(2)/2)*BL82*BO82*VLOOKUP('Données projet'!$B$11,Paramètres!$A$1:$I$89,3,0)*0.475*44/12</f>
        <v>1.1579238259531123E-6</v>
      </c>
      <c r="BS82" s="22">
        <f t="shared" si="63"/>
        <v>7.9815872632541325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515.99999999999989</v>
      </c>
      <c r="BZ82" s="13">
        <f>BY82*VLOOKUP('Données projet'!$B$12,Paramètres!$A$1:$I$89,3,0)*VLOOKUP('Données projet'!$B$12,Paramètres!$A$1:$I$89,5,0)</f>
        <v>241.48799999999997</v>
      </c>
      <c r="CA82" s="13">
        <f t="shared" si="93"/>
        <v>58.759565673424916</v>
      </c>
      <c r="CB82" s="20">
        <f t="shared" si="64"/>
        <v>522.93117688121504</v>
      </c>
      <c r="CC82" s="59">
        <f t="shared" si="65"/>
        <v>816.26451021454841</v>
      </c>
      <c r="CD82" s="59">
        <f ca="1">AVERAGE(OFFSET($CC$3,0,0,'Données projet'!$E$12+1,1))-AVERAGE(OFFSET($H$3,0,0,'Données projet'!$E$12+1,1))</f>
        <v>252.98248842635206</v>
      </c>
      <c r="CE82" s="59">
        <f t="shared" si="94"/>
        <v>207.11938580878308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1.1877843157395676</v>
      </c>
      <c r="CL82" s="21">
        <f>EXP(-LN(2)/25)*CL81+(1-EXP(-LN(2)/25))/(LN(2)/25)*Calculateur!CG82*Calculateur!CI82*VLOOKUP('Données projet'!$B$12,Paramètres!$A$1:$I$89,3,0)*0.475*44/12</f>
        <v>2.0190778792860757</v>
      </c>
      <c r="CM82" s="21">
        <f>EXP(-LN(2)/2)*CM81+(1-EXP(-LN(2)/2))/(LN(2)/2)*CG82*CJ82*VLOOKUP('Données projet'!$B$12,Paramètres!$A$1:$I$89,3,0)*0.475*44/12</f>
        <v>4.1439525264741046E-7</v>
      </c>
      <c r="CN82" s="22">
        <f t="shared" si="66"/>
        <v>3.2068626094208961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10.4</v>
      </c>
      <c r="CT82" s="12">
        <f>IF('Données projet'!$A$140&gt;35,CT81+CS82-DB81,IF(A82&lt;'Données projet'!$A$140,$CQ$205^A82,IF(A82='Données projet'!$A$140,'Données projet'!$B$140,CT81+CS82-DB81)))</f>
        <v>640.59999999999945</v>
      </c>
      <c r="CU82" s="17">
        <f>CT82*VLOOKUP('Données projet'!$B$13,Paramètres!$A$1:$I$89,3,0)*VLOOKUP('Données projet'!$B$13,Paramètres!$A$1:$I$89,5,0)</f>
        <v>358.0953999999997</v>
      </c>
      <c r="CV82" s="13">
        <f t="shared" si="95"/>
        <v>83.227213321573814</v>
      </c>
      <c r="CW82" s="20">
        <f t="shared" si="67"/>
        <v>768.63688486840704</v>
      </c>
      <c r="CX82" s="59">
        <f t="shared" si="68"/>
        <v>1061.9702182017404</v>
      </c>
      <c r="CY82" s="59">
        <f ca="1">AVERAGE(OFFSET($CX$3,0,0,'Données projet'!$E$13+1,1))-AVERAGE(OFFSET($H$3,0,0,'Données projet'!$E$13+1,1))</f>
        <v>356.67698551373468</v>
      </c>
      <c r="CZ82" s="59">
        <f t="shared" si="96"/>
        <v>353.21836615408171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1.7309275189426783</v>
      </c>
      <c r="DG82" s="21">
        <f>EXP(-LN(2)/25)*DG81+(1-EXP(-LN(2)/25))/(LN(2)/25)*Calculateur!DB82*Calculateur!DD82*VLOOKUP('Données projet'!$B$13,Paramètres!$A$1:$I$89,3,0)*0.475*44/12</f>
        <v>7.7553063264649476</v>
      </c>
      <c r="DH82" s="21">
        <f>EXP(-LN(2)/2)*DH81+(1-EXP(-LN(2)/2))/(LN(2)/2)*DB82*DE82*VLOOKUP('Données projet'!$B$13,Paramètres!$A$1:$I$89,3,0)*0.475*44/12</f>
        <v>1.3707035318066427E-6</v>
      </c>
      <c r="DI82" s="22">
        <f t="shared" si="69"/>
        <v>9.4862352161111563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7.2</v>
      </c>
      <c r="DO82" s="12">
        <f>IF('Données projet'!$A$166&gt;35,DO81+DN82-DW81,IF(A82&lt;'Données projet'!$A$166,$DL$205^A82,IF(A82='Données projet'!$A$166,'Données projet'!$B$166,DO81+DN82-DW81)))</f>
        <v>442.79999999999956</v>
      </c>
      <c r="DP82" s="17">
        <f>DO82*VLOOKUP('Données projet'!$B$14,Paramètres!$A$1:$I$89,3,0)*VLOOKUP('Données projet'!$B$14,Paramètres!$A$1:$I$89,5,0)</f>
        <v>264.79439999999977</v>
      </c>
      <c r="DQ82" s="13">
        <f t="shared" si="97"/>
        <v>63.74326095490612</v>
      </c>
      <c r="DR82" s="20">
        <f t="shared" si="70"/>
        <v>572.2030928297944</v>
      </c>
      <c r="DS82" s="59">
        <f t="shared" si="71"/>
        <v>865.53642616312777</v>
      </c>
      <c r="DT82" s="59">
        <f ca="1">AVERAGE(OFFSET($DS$3,0,0,'Données projet'!$E$14+1,1))-AVERAGE(OFFSET($H$3,0,0,'Données projet'!$E$14+1,1))</f>
        <v>247.30892363953825</v>
      </c>
      <c r="DU82" s="59">
        <f t="shared" si="98"/>
        <v>248.38414731596578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3.3026263800012701</v>
      </c>
      <c r="EC82" s="21">
        <f>EXP(-LN(2)/2)*EC81+(1-EXP(-LN(2)/2))/(LN(2)/2)*DW82*DZ82*VLOOKUP('Données projet'!$B$14,Paramètres!$A$1:$I$89,3,0)*0.475*44/12</f>
        <v>1.0001177358623357E-6</v>
      </c>
      <c r="ED82" s="22">
        <f t="shared" si="72"/>
        <v>3.3026273801190058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7.2</v>
      </c>
      <c r="EJ82" s="12">
        <f>IF('Données projet'!$A$192&gt;35,EJ81+EI82-ER81,IF(A82&lt;'Données projet'!$A$192,$EG$205^A82,IF(A82='Données projet'!$A$192,'Données projet'!$B$192,EJ81+EI82-ER81)))</f>
        <v>442.79999999999956</v>
      </c>
      <c r="EK82" s="17">
        <f>EJ82*VLOOKUP('Données projet'!$B$15,Paramètres!$A$1:$I$89,3,0)*VLOOKUP('Données projet'!$B$15,Paramètres!$A$1:$I$89,5,0)</f>
        <v>264.79439999999977</v>
      </c>
      <c r="EL82" s="13">
        <f t="shared" si="99"/>
        <v>63.74326095490612</v>
      </c>
      <c r="EM82" s="20">
        <f t="shared" si="73"/>
        <v>572.2030928297944</v>
      </c>
      <c r="EN82" s="59">
        <f t="shared" si="74"/>
        <v>865.53642616312777</v>
      </c>
      <c r="EO82" s="59">
        <f ca="1">AVERAGE(OFFSET($EN$3,0,0,'Données projet'!$E$15+1,1))-AVERAGE(OFFSET($H$3,0,0,'Données projet'!$E$15+1,1))</f>
        <v>247.30892363953825</v>
      </c>
      <c r="EP82" s="59">
        <f t="shared" si="100"/>
        <v>248.38414731596578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3.3026263800012701</v>
      </c>
      <c r="EX82" s="21">
        <f>EXP(-LN(2)/2)*EX81+(1-EXP(-LN(2)/2))/(LN(2)/2)*ER82*EU82*VLOOKUP('Données projet'!$B$15,Paramètres!$A$1:$I$89,3,0)*0.475*44/12</f>
        <v>1.0001177358623357E-6</v>
      </c>
      <c r="EY82" s="22">
        <f t="shared" si="75"/>
        <v>3.3026273801190058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14.7</v>
      </c>
      <c r="FE82" s="12">
        <f>IF('Données projet'!$A$218&gt;35,FE81+FD82-FM81,IF(A82&lt;'Données projet'!$A$218,$FB$205^A82,IF(A82='Données projet'!$A$218,'Données projet'!$B$218,FE81+FD82-FM81)))</f>
        <v>738.30000000000064</v>
      </c>
      <c r="FF82" s="17">
        <f>FE82*VLOOKUP('Données projet'!$B$16,Paramètres!$A$1:$I$89,3,0)*VLOOKUP('Données projet'!$B$16,Paramètres!$A$1:$I$89,5,0)</f>
        <v>355.12230000000028</v>
      </c>
      <c r="FG82" s="13">
        <f t="shared" si="101"/>
        <v>82.616352474552542</v>
      </c>
      <c r="FH82" s="20">
        <f t="shared" si="76"/>
        <v>762.39481972651276</v>
      </c>
      <c r="FI82" s="59">
        <f t="shared" si="77"/>
        <v>1055.7281530598461</v>
      </c>
      <c r="FJ82" s="59">
        <f ca="1">AVERAGE(OFFSET($FI$3,0,0,'Données projet'!$E$16+1,1))-AVERAGE(OFFSET($H$3,0,0,'Données projet'!$E$16+1,1))</f>
        <v>322.54393676667081</v>
      </c>
      <c r="FK82" s="59">
        <f t="shared" si="102"/>
        <v>296.73904998640018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2.5532618551845458</v>
      </c>
      <c r="FR82" s="21">
        <f>EXP(-LN(2)/25)*FR81+(1-EXP(-LN(2)/25))/(LN(2)/25)*Calculateur!FM82*Calculateur!FO82*VLOOKUP('Données projet'!$B$16,Paramètres!$A$1:$I$89,3,0)*0.475*44/12</f>
        <v>3.4501279149878412</v>
      </c>
      <c r="FS82" s="21">
        <f>EXP(-LN(2)/2)*FS81+(1-EXP(-LN(2)/2))/(LN(2)/2)*FM82*FP82*VLOOKUP('Données projet'!$B$16,Paramètres!$A$1:$I$89,3,0)*0.475*44/12</f>
        <v>8.8140791509086446E-7</v>
      </c>
      <c r="FT82" s="22">
        <f t="shared" si="78"/>
        <v>6.0033906515803013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1153.8682087877489</v>
      </c>
      <c r="S83" s="59">
        <f ca="1">AVERAGE(OFFSET($R$3,0,0,'Données projet'!$E$9+1,1))-AVERAGE(OFFSET($H$3,0,0,'Données projet'!$E$9+1,1))</f>
        <v>401.06118089678654</v>
      </c>
      <c r="T83" s="59">
        <f t="shared" si="88"/>
        <v>399.58193819355591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387</v>
      </c>
      <c r="AG83" s="12">
        <f>VLOOKUP(A83,'Données projet'!$A$61:$I$81,9,0)</f>
        <v>5.0999999999999996</v>
      </c>
      <c r="AH83" s="12">
        <f t="array" ref="AH83">INDEX(AG:AG,MIN(IF(ISNUMBER(AG83:AG279),ROW(AG83:AG279),"")))</f>
        <v>5.0999999999999996</v>
      </c>
      <c r="AI83" s="13">
        <f>IF('Données projet'!$A$62&gt;35,AI82+AH83-AQ82,IF(A83&lt;'Données projet'!$A$62,$AF$205^A83,IF(A83='Données projet'!$A$62,'Données projet'!$B$62,AI82+AH83-AQ82)))</f>
        <v>387.00000000000063</v>
      </c>
      <c r="AJ83" s="13">
        <f>AI83*VLOOKUP('Données projet'!$B$10,Paramètres!$A$1:$I$89,3,0)*VLOOKUP('Données projet'!$B$10,Paramètres!$A$1:$I$89,5,0)</f>
        <v>241.4880000000004</v>
      </c>
      <c r="AK83" s="13">
        <f t="shared" si="89"/>
        <v>58.759565673425016</v>
      </c>
      <c r="AL83" s="20">
        <f t="shared" si="58"/>
        <v>522.93117688121595</v>
      </c>
      <c r="AM83" s="59">
        <f t="shared" si="59"/>
        <v>816.26451021454932</v>
      </c>
      <c r="AN83" s="59">
        <f ca="1">AVERAGE(OFFSET($AM$3,0,0,'Données projet'!$E$10+1,1))-AVERAGE(OFFSET($H$3,0,0,'Données projet'!$E$10+1,1))</f>
        <v>240.30073883588199</v>
      </c>
      <c r="AO83" s="59">
        <f t="shared" si="90"/>
        <v>263.20351282678843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387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2.5831485453733176</v>
      </c>
      <c r="AV83" s="21">
        <f>EXP(-LN(2)/25)*AV82+(1-EXP(-LN(2)/25))/(LN(2)/25)*Calculateur!AQ83*Calculateur!AS83*VLOOKUP('Données projet'!$B$10,Paramètres!$A$1:$I$89,3,0)*0.475*44/12</f>
        <v>5.196977114460223</v>
      </c>
      <c r="AW83" s="21">
        <f>EXP(-LN(2)/2)*AW82+(1-EXP(-LN(2)/2))/(LN(2)/2)*AQ83*AT83*VLOOKUP('Données projet'!$B$10,Paramètres!$A$1:$I$89,3,0)*0.475*44/12</f>
        <v>6.0173319291219425E-7</v>
      </c>
      <c r="AX83" s="21">
        <f t="shared" si="60"/>
        <v>7.7801262615667337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826</v>
      </c>
      <c r="BB83" s="12">
        <f>VLOOKUP(A83,'Données projet'!$A$87:$I$107,9,0)</f>
        <v>16.3</v>
      </c>
      <c r="BC83" s="12">
        <f t="array" ref="BC83">INDEX(BB:BB,MIN(IF(ISNUMBER(BB83:BB279),ROW(BB83:BB279),"")))</f>
        <v>16.3</v>
      </c>
      <c r="BD83" s="12">
        <f>IF('Données projet'!$A$88&gt;35,BD82+BC83-BL82,IF(A83&lt;'Données projet'!$A$88,$BA$205^A83,IF(A83='Données projet'!$A$88,'Données projet'!$B$88,BD82+BC83-BL82)))</f>
        <v>825.99999999999977</v>
      </c>
      <c r="BE83" s="13">
        <f>BD83*VLOOKUP('Données projet'!$B$11,Paramètres!$A$1:$I$89,3,0)*VLOOKUP('Données projet'!$B$11,Paramètres!$A$1:$I$89,5,0)</f>
        <v>397.30599999999987</v>
      </c>
      <c r="BF83" s="13">
        <f t="shared" si="91"/>
        <v>91.230283441338727</v>
      </c>
      <c r="BG83" s="20">
        <f t="shared" si="61"/>
        <v>850.86736032699798</v>
      </c>
      <c r="BH83" s="59">
        <f t="shared" si="62"/>
        <v>1144.2006936603314</v>
      </c>
      <c r="BI83" s="59">
        <f ca="1">AVERAGE(OFFSET($BH$3,0,0,'Données projet'!$E$11+1,1))-AVERAGE(OFFSET($H$3,0,0,'Données projet'!$E$11+1,1))</f>
        <v>364.67510777943329</v>
      </c>
      <c r="BJ83" s="59">
        <f t="shared" si="92"/>
        <v>352.13878061387169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826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3.2854420561466915</v>
      </c>
      <c r="BQ83" s="21">
        <f>EXP(-LN(2)/25)*BQ82+(1-EXP(-LN(2)/25))/(LN(2)/25)*Calculateur!BL83*Calculateur!BN83*VLOOKUP('Données projet'!$B$11,Paramètres!$A$1:$I$89,3,0)*0.475*44/12</f>
        <v>4.5038105707235063</v>
      </c>
      <c r="BR83" s="21">
        <f>EXP(-LN(2)/2)*BR82+(1-EXP(-LN(2)/2))/(LN(2)/2)*BL83*BO83*VLOOKUP('Données projet'!$B$11,Paramètres!$A$1:$I$89,3,0)*0.475*44/12</f>
        <v>8.1877578942891732E-7</v>
      </c>
      <c r="BS83" s="22">
        <f t="shared" si="63"/>
        <v>7.7892534456459872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533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532.99999999999989</v>
      </c>
      <c r="BZ83" s="13">
        <f>BY83*VLOOKUP('Données projet'!$B$12,Paramètres!$A$1:$I$89,3,0)*VLOOKUP('Données projet'!$B$12,Paramètres!$A$1:$I$89,5,0)</f>
        <v>249.44399999999993</v>
      </c>
      <c r="CA83" s="13">
        <f t="shared" si="93"/>
        <v>60.466866397117599</v>
      </c>
      <c r="CB83" s="20">
        <f t="shared" si="64"/>
        <v>539.76142564164627</v>
      </c>
      <c r="CC83" s="59">
        <f t="shared" si="65"/>
        <v>833.09475897497964</v>
      </c>
      <c r="CD83" s="59">
        <f ca="1">AVERAGE(OFFSET($CC$3,0,0,'Données projet'!$E$12+1,1))-AVERAGE(OFFSET($H$3,0,0,'Données projet'!$E$12+1,1))</f>
        <v>252.98248842635206</v>
      </c>
      <c r="CE83" s="59">
        <f t="shared" si="94"/>
        <v>207.11938580878308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83.4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1.1644925897848111</v>
      </c>
      <c r="CL83" s="21">
        <f>EXP(-LN(2)/25)*CL82+(1-EXP(-LN(2)/25))/(LN(2)/25)*Calculateur!CG83*Calculateur!CI83*VLOOKUP('Données projet'!$B$12,Paramètres!$A$1:$I$89,3,0)*0.475*44/12</f>
        <v>1.963866088498307</v>
      </c>
      <c r="CM83" s="21">
        <f>EXP(-LN(2)/2)*CM82+(1-EXP(-LN(2)/2))/(LN(2)/2)*CG83*CJ83*VLOOKUP('Données projet'!$B$12,Paramètres!$A$1:$I$89,3,0)*0.475*44/12</f>
        <v>2.9302169323849654E-7</v>
      </c>
      <c r="CN83" s="22">
        <f t="shared" si="66"/>
        <v>3.1283589713048112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651</v>
      </c>
      <c r="CR83" s="12">
        <f>VLOOKUP(A83,'Données projet'!$A$139:$I$159,9,0)</f>
        <v>10.4</v>
      </c>
      <c r="CS83" s="12">
        <f t="array" ref="CS83">INDEX(CR:CR,MIN(IF(ISNUMBER(CR83:CR279),ROW(CR83:CR279),"")))</f>
        <v>10.4</v>
      </c>
      <c r="CT83" s="12">
        <f>IF('Données projet'!$A$140&gt;35,CT82+CS83-DB82,IF(A83&lt;'Données projet'!$A$140,$CQ$205^A83,IF(A83='Données projet'!$A$140,'Données projet'!$B$140,CT82+CS83-DB82)))</f>
        <v>650.99999999999943</v>
      </c>
      <c r="CU83" s="17">
        <f>CT83*VLOOKUP('Données projet'!$B$13,Paramètres!$A$1:$I$89,3,0)*VLOOKUP('Données projet'!$B$13,Paramètres!$A$1:$I$89,5,0)</f>
        <v>363.90899999999971</v>
      </c>
      <c r="CV83" s="13">
        <f t="shared" si="95"/>
        <v>84.4199906692578</v>
      </c>
      <c r="CW83" s="20">
        <f t="shared" si="67"/>
        <v>780.83965874895682</v>
      </c>
      <c r="CX83" s="59">
        <f t="shared" si="68"/>
        <v>1074.1729920822902</v>
      </c>
      <c r="CY83" s="59">
        <f ca="1">AVERAGE(OFFSET($CX$3,0,0,'Données projet'!$E$13+1,1))-AVERAGE(OFFSET($H$3,0,0,'Données projet'!$E$13+1,1))</f>
        <v>356.67698551373468</v>
      </c>
      <c r="CZ83" s="59">
        <f t="shared" si="96"/>
        <v>353.21836615408171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651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1.6969850860577511</v>
      </c>
      <c r="DG83" s="21">
        <f>EXP(-LN(2)/25)*DG82+(1-EXP(-LN(2)/25))/(LN(2)/25)*Calculateur!DB83*Calculateur!DD83*VLOOKUP('Données projet'!$B$13,Paramètres!$A$1:$I$89,3,0)*0.475*44/12</f>
        <v>7.5432370671339291</v>
      </c>
      <c r="DH83" s="21">
        <f>EXP(-LN(2)/2)*DH82+(1-EXP(-LN(2)/2))/(LN(2)/2)*DB83*DE83*VLOOKUP('Données projet'!$B$13,Paramètres!$A$1:$I$89,3,0)*0.475*44/12</f>
        <v>9.6923376233682757E-7</v>
      </c>
      <c r="DI83" s="22">
        <f t="shared" si="69"/>
        <v>9.2402231224254425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450</v>
      </c>
      <c r="DM83" s="12">
        <f>VLOOKUP(A83,'Données projet'!$A$165:$I$185,9,0)</f>
        <v>7.2</v>
      </c>
      <c r="DN83" s="12">
        <f t="array" ref="DN83">INDEX(DM:DM,MIN(IF(ISNUMBER(DM83:DM279),ROW(DM83:DM279),"")))</f>
        <v>7.2</v>
      </c>
      <c r="DO83" s="12">
        <f>IF('Données projet'!$A$166&gt;35,DO82+DN83-DW82,IF(A83&lt;'Données projet'!$A$166,$DL$205^A83,IF(A83='Données projet'!$A$166,'Données projet'!$B$166,DO82+DN83-DW82)))</f>
        <v>449.99999999999955</v>
      </c>
      <c r="DP83" s="17">
        <f>DO83*VLOOKUP('Données projet'!$B$14,Paramètres!$A$1:$I$89,3,0)*VLOOKUP('Données projet'!$B$14,Paramètres!$A$1:$I$89,5,0)</f>
        <v>269.09999999999974</v>
      </c>
      <c r="DQ83" s="13">
        <f t="shared" si="97"/>
        <v>64.658229472790936</v>
      </c>
      <c r="DR83" s="20">
        <f t="shared" si="70"/>
        <v>581.29558299844382</v>
      </c>
      <c r="DS83" s="59">
        <f t="shared" si="71"/>
        <v>874.62891633177719</v>
      </c>
      <c r="DT83" s="59">
        <f ca="1">AVERAGE(OFFSET($DS$3,0,0,'Données projet'!$E$14+1,1))-AVERAGE(OFFSET($H$3,0,0,'Données projet'!$E$14+1,1))</f>
        <v>247.30892363953825</v>
      </c>
      <c r="DU83" s="59">
        <f t="shared" si="98"/>
        <v>248.38414731596578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450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3.2123158879625624</v>
      </c>
      <c r="EC83" s="21">
        <f>EXP(-LN(2)/2)*EC82+(1-EXP(-LN(2)/2))/(LN(2)/2)*DW83*DZ83*VLOOKUP('Données projet'!$B$14,Paramètres!$A$1:$I$89,3,0)*0.475*44/12</f>
        <v>7.0719003301319395E-7</v>
      </c>
      <c r="ED83" s="22">
        <f t="shared" si="72"/>
        <v>3.2123165951525956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450</v>
      </c>
      <c r="EH83" s="12">
        <f>VLOOKUP(A83,'Données projet'!$A$191:$I$211,9,0)</f>
        <v>7.2</v>
      </c>
      <c r="EI83" s="12">
        <f t="array" ref="EI83">INDEX(EH:EH,MIN(IF(ISNUMBER(EH83:EH279),ROW(EH83:EH279),"")))</f>
        <v>7.2</v>
      </c>
      <c r="EJ83" s="12">
        <f>IF('Données projet'!$A$192&gt;35,EJ82+EI83-ER82,IF(A83&lt;'Données projet'!$A$192,$EG$205^A83,IF(A83='Données projet'!$A$192,'Données projet'!$B$192,EJ82+EI83-ER82)))</f>
        <v>449.99999999999955</v>
      </c>
      <c r="EK83" s="17">
        <f>EJ83*VLOOKUP('Données projet'!$B$15,Paramètres!$A$1:$I$89,3,0)*VLOOKUP('Données projet'!$B$15,Paramètres!$A$1:$I$89,5,0)</f>
        <v>269.09999999999974</v>
      </c>
      <c r="EL83" s="13">
        <f t="shared" si="99"/>
        <v>64.658229472790936</v>
      </c>
      <c r="EM83" s="20">
        <f t="shared" si="73"/>
        <v>581.29558299844382</v>
      </c>
      <c r="EN83" s="59">
        <f t="shared" si="74"/>
        <v>874.62891633177719</v>
      </c>
      <c r="EO83" s="59">
        <f ca="1">AVERAGE(OFFSET($EN$3,0,0,'Données projet'!$E$15+1,1))-AVERAGE(OFFSET($H$3,0,0,'Données projet'!$E$15+1,1))</f>
        <v>247.30892363953825</v>
      </c>
      <c r="EP83" s="59">
        <f t="shared" si="100"/>
        <v>248.38414731596578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450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3.2123158879625624</v>
      </c>
      <c r="EX83" s="21">
        <f>EXP(-LN(2)/2)*EX82+(1-EXP(-LN(2)/2))/(LN(2)/2)*ER83*EU83*VLOOKUP('Données projet'!$B$15,Paramètres!$A$1:$I$89,3,0)*0.475*44/12</f>
        <v>7.0719003301319395E-7</v>
      </c>
      <c r="EY83" s="22">
        <f t="shared" si="75"/>
        <v>3.2123165951525956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753</v>
      </c>
      <c r="FC83" s="12">
        <f>VLOOKUP(A83,'Données projet'!$A$217:$I$237,9,0)</f>
        <v>14.7</v>
      </c>
      <c r="FD83" s="12">
        <f t="array" ref="FD83">INDEX(FC:FC,MIN(IF(ISNUMBER(FC83:FC279),ROW(FC83:FC279),"")))</f>
        <v>14.7</v>
      </c>
      <c r="FE83" s="12">
        <f>IF('Données projet'!$A$218&gt;35,FE82+FD83-FM82,IF(A83&lt;'Données projet'!$A$218,$FB$205^A83,IF(A83='Données projet'!$A$218,'Données projet'!$B$218,FE82+FD83-FM82)))</f>
        <v>753.00000000000068</v>
      </c>
      <c r="FF83" s="17">
        <f>FE83*VLOOKUP('Données projet'!$B$16,Paramètres!$A$1:$I$89,3,0)*VLOOKUP('Données projet'!$B$16,Paramètres!$A$1:$I$89,5,0)</f>
        <v>362.19300000000032</v>
      </c>
      <c r="FG83" s="13">
        <f t="shared" si="101"/>
        <v>84.068150942182896</v>
      </c>
      <c r="FH83" s="20">
        <f t="shared" si="76"/>
        <v>777.23817122430239</v>
      </c>
      <c r="FI83" s="59">
        <f t="shared" si="77"/>
        <v>1070.5715045576358</v>
      </c>
      <c r="FJ83" s="59">
        <f ca="1">AVERAGE(OFFSET($FI$3,0,0,'Données projet'!$E$16+1,1))-AVERAGE(OFFSET($H$3,0,0,'Données projet'!$E$16+1,1))</f>
        <v>322.54393676667081</v>
      </c>
      <c r="FK83" s="59">
        <f t="shared" si="102"/>
        <v>296.73904998640018</v>
      </c>
      <c r="FL83" s="15">
        <f>IF(ISNA(VLOOKUP(A83,'Données projet'!$A$217:$I$237,3,0)),0,VLOOKUP(A83,'Données projet'!$A$217:$I$237,3,0))</f>
        <v>6</v>
      </c>
      <c r="FM83" s="15">
        <f>IF(ISNA(VLOOKUP(A83,'Données projet'!$A$217:$I$237,4,0)),0,VLOOKUP(A83,'Données projet'!$A$217:$I$237,4,0))</f>
        <v>753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2.5031939475403342</v>
      </c>
      <c r="FR83" s="21">
        <f>EXP(-LN(2)/25)*FR82+(1-EXP(-LN(2)/25))/(LN(2)/25)*Calculateur!FM83*Calculateur!FO83*VLOOKUP('Données projet'!$B$16,Paramètres!$A$1:$I$89,3,0)*0.475*44/12</f>
        <v>3.3557839857181571</v>
      </c>
      <c r="FS83" s="21">
        <f>EXP(-LN(2)/2)*FS82+(1-EXP(-LN(2)/2))/(LN(2)/2)*FM83*FP83*VLOOKUP('Données projet'!$B$16,Paramètres!$A$1:$I$89,3,0)*0.475*44/12</f>
        <v>6.2324951375224695E-7</v>
      </c>
      <c r="FT83" s="22">
        <f t="shared" si="78"/>
        <v>5.8589785565080046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293.33333333333974</v>
      </c>
      <c r="S84" s="59">
        <f ca="1">AVERAGE(OFFSET($R$3,0,0,'Données projet'!$E$9+1,1))-AVERAGE(OFFSET($H$3,0,0,'Données projet'!$E$9+1,1))</f>
        <v>401.06118089678654</v>
      </c>
      <c r="T84" s="59">
        <f t="shared" si="88"/>
        <v>399.58193819355591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6.2527760746888816E-13</v>
      </c>
      <c r="AJ84" s="13">
        <f>AI84*VLOOKUP('Données projet'!$B$10,Paramètres!$A$1:$I$89,3,0)*VLOOKUP('Données projet'!$B$10,Paramètres!$A$1:$I$89,5,0)</f>
        <v>3.9017322706058616E-13</v>
      </c>
      <c r="AK84" s="13">
        <f t="shared" si="89"/>
        <v>5.0025007393608908E-12</v>
      </c>
      <c r="AL84" s="20">
        <f t="shared" si="58"/>
        <v>9.3922404915174053E-12</v>
      </c>
      <c r="AM84" s="59">
        <f t="shared" si="59"/>
        <v>293.33333333334269</v>
      </c>
      <c r="AN84" s="59">
        <f ca="1">AVERAGE(OFFSET($AM$3,0,0,'Données projet'!$E$10+1,1))-AVERAGE(OFFSET($H$3,0,0,'Données projet'!$E$10+1,1))</f>
        <v>240.30073883588199</v>
      </c>
      <c r="AO84" s="59">
        <f t="shared" si="90"/>
        <v>263.20351282678843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2.5324945779635852</v>
      </c>
      <c r="AV84" s="21">
        <f>EXP(-LN(2)/25)*AV83+(1-EXP(-LN(2)/25))/(LN(2)/25)*Calculateur!AQ84*Calculateur!AS84*VLOOKUP('Données projet'!$B$10,Paramètres!$A$1:$I$89,3,0)*0.475*44/12</f>
        <v>5.0548655019681599</v>
      </c>
      <c r="AW84" s="21">
        <f>EXP(-LN(2)/2)*AW83+(1-EXP(-LN(2)/2))/(LN(2)/2)*AQ84*AT84*VLOOKUP('Données projet'!$B$10,Paramètres!$A$1:$I$89,3,0)*0.475*44/12</f>
        <v>4.2548962117324554E-7</v>
      </c>
      <c r="AX84" s="21">
        <f t="shared" si="60"/>
        <v>7.5873605054213664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-1.0936673788819462E-13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364.67510777943329</v>
      </c>
      <c r="BJ84" s="59">
        <f t="shared" si="92"/>
        <v>352.13878061387169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3.2210165413474381</v>
      </c>
      <c r="BQ84" s="21">
        <f>EXP(-LN(2)/25)*BQ83+(1-EXP(-LN(2)/25))/(LN(2)/25)*Calculateur!BL84*Calculateur!BN84*VLOOKUP('Données projet'!$B$11,Paramètres!$A$1:$I$89,3,0)*0.475*44/12</f>
        <v>4.3806536338219679</v>
      </c>
      <c r="BR84" s="21">
        <f>EXP(-LN(2)/2)*BR83+(1-EXP(-LN(2)/2))/(LN(2)/2)*BL84*BO84*VLOOKUP('Données projet'!$B$11,Paramètres!$A$1:$I$89,3,0)*0.475*44/12</f>
        <v>5.7896191297655613E-7</v>
      </c>
      <c r="BS84" s="22">
        <f t="shared" si="63"/>
        <v>7.6016707541313195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17.5</v>
      </c>
      <c r="BY84" s="12">
        <f>IF('Données projet'!$A$114&gt;35,BY83+BX84-CG83,IF(A84&lt;'Données projet'!$A$114,$BV$205^A84,IF(A84='Données projet'!$A$114,'Données projet'!$B$114,BY83+BX84-CG83)))</f>
        <v>467.09999999999991</v>
      </c>
      <c r="BZ84" s="13">
        <f>BY84*VLOOKUP('Données projet'!$B$12,Paramètres!$A$1:$I$89,3,0)*VLOOKUP('Données projet'!$B$12,Paramètres!$A$1:$I$89,5,0)</f>
        <v>218.60279999999995</v>
      </c>
      <c r="CA84" s="13">
        <f t="shared" si="93"/>
        <v>53.811098692658383</v>
      </c>
      <c r="CB84" s="20">
        <f t="shared" si="64"/>
        <v>474.45420688971325</v>
      </c>
      <c r="CC84" s="59">
        <f t="shared" si="65"/>
        <v>767.78754022304656</v>
      </c>
      <c r="CD84" s="59">
        <f ca="1">AVERAGE(OFFSET($CC$3,0,0,'Données projet'!$E$12+1,1))-AVERAGE(OFFSET($H$3,0,0,'Données projet'!$E$12+1,1))</f>
        <v>252.98248842635206</v>
      </c>
      <c r="CE84" s="59">
        <f t="shared" si="94"/>
        <v>207.11938580878308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1.1416576003694774</v>
      </c>
      <c r="CL84" s="21">
        <f>EXP(-LN(2)/25)*CL83+(1-EXP(-LN(2)/25))/(LN(2)/25)*Calculateur!CG84*Calculateur!CI84*VLOOKUP('Données projet'!$B$12,Paramètres!$A$1:$I$89,3,0)*0.475*44/12</f>
        <v>1.9101640670330917</v>
      </c>
      <c r="CM84" s="21">
        <f>EXP(-LN(2)/2)*CM83+(1-EXP(-LN(2)/2))/(LN(2)/2)*CG84*CJ84*VLOOKUP('Données projet'!$B$12,Paramètres!$A$1:$I$89,3,0)*0.475*44/12</f>
        <v>2.0719762632370523E-7</v>
      </c>
      <c r="CN84" s="22">
        <f t="shared" si="66"/>
        <v>3.0518218746001953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-5.6843418860808015E-13</v>
      </c>
      <c r="CU84" s="17">
        <f>CT84*VLOOKUP('Données projet'!$B$13,Paramètres!$A$1:$I$89,3,0)*VLOOKUP('Données projet'!$B$13,Paramètres!$A$1:$I$89,5,0)</f>
        <v>-3.177547114319168E-13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356.67698551373468</v>
      </c>
      <c r="CZ84" s="59">
        <f t="shared" si="96"/>
        <v>353.21836615408171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1.6637082435788575</v>
      </c>
      <c r="DG84" s="21">
        <f>EXP(-LN(2)/25)*DG83+(1-EXP(-LN(2)/25))/(LN(2)/25)*Calculateur!DB84*Calculateur!DD84*VLOOKUP('Données projet'!$B$13,Paramètres!$A$1:$I$89,3,0)*0.475*44/12</f>
        <v>7.336966852851555</v>
      </c>
      <c r="DH84" s="21">
        <f>EXP(-LN(2)/2)*DH83+(1-EXP(-LN(2)/2))/(LN(2)/2)*DB84*DE84*VLOOKUP('Données projet'!$B$13,Paramètres!$A$1:$I$89,3,0)*0.475*44/12</f>
        <v>6.8535176590332133E-7</v>
      </c>
      <c r="DI84" s="22">
        <f t="shared" si="69"/>
        <v>9.0006757817821796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-4.5474735088646412E-13</v>
      </c>
      <c r="DP84" s="17">
        <f>DO84*VLOOKUP('Données projet'!$B$14,Paramètres!$A$1:$I$89,3,0)*VLOOKUP('Données projet'!$B$14,Paramètres!$A$1:$I$89,5,0)</f>
        <v>-2.7193891583010558E-13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247.30892363953825</v>
      </c>
      <c r="DU84" s="59">
        <f t="shared" si="98"/>
        <v>248.38414731596578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3.1244749410778754</v>
      </c>
      <c r="EC84" s="21">
        <f>EXP(-LN(2)/2)*EC83+(1-EXP(-LN(2)/2))/(LN(2)/2)*DW84*DZ84*VLOOKUP('Données projet'!$B$14,Paramètres!$A$1:$I$89,3,0)*0.475*44/12</f>
        <v>5.0005886793116784E-7</v>
      </c>
      <c r="ED84" s="22">
        <f t="shared" si="72"/>
        <v>3.1244754411367435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-4.5474735088646412E-13</v>
      </c>
      <c r="EK84" s="17">
        <f>EJ84*VLOOKUP('Données projet'!$B$15,Paramètres!$A$1:$I$89,3,0)*VLOOKUP('Données projet'!$B$15,Paramètres!$A$1:$I$89,5,0)</f>
        <v>-2.7193891583010558E-13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247.30892363953825</v>
      </c>
      <c r="EP84" s="59">
        <f t="shared" si="100"/>
        <v>248.38414731596578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3.1244749410778754</v>
      </c>
      <c r="EX84" s="21">
        <f>EXP(-LN(2)/2)*EX83+(1-EXP(-LN(2)/2))/(LN(2)/2)*ER84*EU84*VLOOKUP('Données projet'!$B$15,Paramètres!$A$1:$I$89,3,0)*0.475*44/12</f>
        <v>5.0005886793116784E-7</v>
      </c>
      <c r="EY84" s="22">
        <f t="shared" si="75"/>
        <v>3.1244754411367435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6.8212102632969618E-13</v>
      </c>
      <c r="FF84" s="17">
        <f>FE84*VLOOKUP('Données projet'!$B$16,Paramètres!$A$1:$I$89,3,0)*VLOOKUP('Données projet'!$B$16,Paramètres!$A$1:$I$89,5,0)</f>
        <v>3.2810021366458383E-13</v>
      </c>
      <c r="FG84" s="13">
        <f t="shared" si="101"/>
        <v>4.2923528923937213E-12</v>
      </c>
      <c r="FH84" s="20">
        <f t="shared" si="76"/>
        <v>8.0472891597182151E-12</v>
      </c>
      <c r="FI84" s="59">
        <f t="shared" si="77"/>
        <v>293.33333333334139</v>
      </c>
      <c r="FJ84" s="59">
        <f ca="1">AVERAGE(OFFSET($FI$3,0,0,'Données projet'!$E$16+1,1))-AVERAGE(OFFSET($H$3,0,0,'Données projet'!$E$16+1,1))</f>
        <v>322.54393676667081</v>
      </c>
      <c r="FK84" s="59">
        <f t="shared" si="102"/>
        <v>296.73904998640018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2.4541078410266177</v>
      </c>
      <c r="FR84" s="21">
        <f>EXP(-LN(2)/25)*FR83+(1-EXP(-LN(2)/25))/(LN(2)/25)*Calculateur!FM84*Calculateur!FO84*VLOOKUP('Données projet'!$B$16,Paramètres!$A$1:$I$89,3,0)*0.475*44/12</f>
        <v>3.2640198961556841</v>
      </c>
      <c r="FS84" s="21">
        <f>EXP(-LN(2)/2)*FS83+(1-EXP(-LN(2)/2))/(LN(2)/2)*FM84*FP84*VLOOKUP('Données projet'!$B$16,Paramètres!$A$1:$I$89,3,0)*0.475*44/12</f>
        <v>4.4070395754543223E-7</v>
      </c>
      <c r="FT84" s="22">
        <f t="shared" si="78"/>
        <v>5.7181281778862596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293.33333333333974</v>
      </c>
      <c r="S85" s="59">
        <f ca="1">AVERAGE(OFFSET($R$3,0,0,'Données projet'!$E$9+1,1))-AVERAGE(OFFSET($H$3,0,0,'Données projet'!$E$9+1,1))</f>
        <v>401.06118089678654</v>
      </c>
      <c r="T85" s="59">
        <f t="shared" si="88"/>
        <v>399.58193819355591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6.2527760746888816E-13</v>
      </c>
      <c r="AJ85" s="13">
        <f>AI85*VLOOKUP('Données projet'!$B$10,Paramètres!$A$1:$I$89,3,0)*VLOOKUP('Données projet'!$B$10,Paramètres!$A$1:$I$89,5,0)</f>
        <v>3.9017322706058616E-13</v>
      </c>
      <c r="AK85" s="13">
        <f t="shared" si="89"/>
        <v>5.0025007393608908E-12</v>
      </c>
      <c r="AL85" s="20">
        <f t="shared" si="58"/>
        <v>9.3922404915174053E-12</v>
      </c>
      <c r="AM85" s="59">
        <f t="shared" si="59"/>
        <v>293.33333333334269</v>
      </c>
      <c r="AN85" s="59">
        <f ca="1">AVERAGE(OFFSET($AM$3,0,0,'Données projet'!$E$10+1,1))-AVERAGE(OFFSET($H$3,0,0,'Données projet'!$E$10+1,1))</f>
        <v>240.30073883588199</v>
      </c>
      <c r="AO85" s="59">
        <f t="shared" si="90"/>
        <v>263.20351282678843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2.4828339039588885</v>
      </c>
      <c r="AV85" s="21">
        <f>EXP(-LN(2)/25)*AV84+(1-EXP(-LN(2)/25))/(LN(2)/25)*Calculateur!AQ85*Calculateur!AS85*VLOOKUP('Données projet'!$B$10,Paramètres!$A$1:$I$89,3,0)*0.475*44/12</f>
        <v>4.9166399389930167</v>
      </c>
      <c r="AW85" s="21">
        <f>EXP(-LN(2)/2)*AW84+(1-EXP(-LN(2)/2))/(LN(2)/2)*AQ85*AT85*VLOOKUP('Données projet'!$B$10,Paramètres!$A$1:$I$89,3,0)*0.475*44/12</f>
        <v>3.0086659645609713E-7</v>
      </c>
      <c r="AX85" s="21">
        <f t="shared" si="60"/>
        <v>7.3994741438185017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-1.0936673788819462E-13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364.67510777943329</v>
      </c>
      <c r="BJ85" s="59">
        <f t="shared" si="92"/>
        <v>352.13878061387169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3.1578543715977143</v>
      </c>
      <c r="BQ85" s="21">
        <f>EXP(-LN(2)/25)*BQ84+(1-EXP(-LN(2)/25))/(LN(2)/25)*Calculateur!BL85*Calculateur!BN85*VLOOKUP('Données projet'!$B$11,Paramètres!$A$1:$I$89,3,0)*0.475*44/12</f>
        <v>4.2608644298365439</v>
      </c>
      <c r="BR85" s="21">
        <f>EXP(-LN(2)/2)*BR84+(1-EXP(-LN(2)/2))/(LN(2)/2)*BL85*BO85*VLOOKUP('Données projet'!$B$11,Paramètres!$A$1:$I$89,3,0)*0.475*44/12</f>
        <v>4.0938789471445866E-7</v>
      </c>
      <c r="BS85" s="22">
        <f t="shared" si="63"/>
        <v>7.4187192108221529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17.5</v>
      </c>
      <c r="BY85" s="12">
        <f>IF('Données projet'!$A$114&gt;35,BY84+BX85-CG84,IF(A85&lt;'Données projet'!$A$114,$BV$205^A85,IF(A85='Données projet'!$A$114,'Données projet'!$B$114,BY84+BX85-CG84)))</f>
        <v>484.59999999999991</v>
      </c>
      <c r="BZ85" s="13">
        <f>BY85*VLOOKUP('Données projet'!$B$12,Paramètres!$A$1:$I$89,3,0)*VLOOKUP('Données projet'!$B$12,Paramètres!$A$1:$I$89,5,0)</f>
        <v>226.79279999999994</v>
      </c>
      <c r="CA85" s="13">
        <f t="shared" si="93"/>
        <v>55.588644170072158</v>
      </c>
      <c r="CB85" s="20">
        <f t="shared" si="64"/>
        <v>491.8143485962089</v>
      </c>
      <c r="CC85" s="59">
        <f t="shared" si="65"/>
        <v>785.14768192954216</v>
      </c>
      <c r="CD85" s="59">
        <f ca="1">AVERAGE(OFFSET($CC$3,0,0,'Données projet'!$E$12+1,1))-AVERAGE(OFFSET($H$3,0,0,'Données projet'!$E$12+1,1))</f>
        <v>252.98248842635206</v>
      </c>
      <c r="CE85" s="59">
        <f t="shared" si="94"/>
        <v>207.11938580878308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1.1192703911686102</v>
      </c>
      <c r="CL85" s="21">
        <f>EXP(-LN(2)/25)*CL84+(1-EXP(-LN(2)/25))/(LN(2)/25)*Calculateur!CG85*Calculateur!CI85*VLOOKUP('Données projet'!$B$12,Paramètres!$A$1:$I$89,3,0)*0.475*44/12</f>
        <v>1.8579305301689093</v>
      </c>
      <c r="CM85" s="21">
        <f>EXP(-LN(2)/2)*CM84+(1-EXP(-LN(2)/2))/(LN(2)/2)*CG85*CJ85*VLOOKUP('Données projet'!$B$12,Paramètres!$A$1:$I$89,3,0)*0.475*44/12</f>
        <v>1.4651084661924827E-7</v>
      </c>
      <c r="CN85" s="22">
        <f t="shared" si="66"/>
        <v>2.977201067848366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-5.6843418860808015E-13</v>
      </c>
      <c r="CU85" s="17">
        <f>CT85*VLOOKUP('Données projet'!$B$13,Paramètres!$A$1:$I$89,3,0)*VLOOKUP('Données projet'!$B$13,Paramètres!$A$1:$I$89,5,0)</f>
        <v>-3.177547114319168E-13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356.67698551373468</v>
      </c>
      <c r="CZ85" s="59">
        <f t="shared" si="96"/>
        <v>353.21836615408171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1.6310839396841053</v>
      </c>
      <c r="DG85" s="21">
        <f>EXP(-LN(2)/25)*DG84+(1-EXP(-LN(2)/25))/(LN(2)/25)*Calculateur!DB85*Calculateur!DD85*VLOOKUP('Données projet'!$B$13,Paramètres!$A$1:$I$89,3,0)*0.475*44/12</f>
        <v>7.1363371084260114</v>
      </c>
      <c r="DH85" s="21">
        <f>EXP(-LN(2)/2)*DH84+(1-EXP(-LN(2)/2))/(LN(2)/2)*DB85*DE85*VLOOKUP('Données projet'!$B$13,Paramètres!$A$1:$I$89,3,0)*0.475*44/12</f>
        <v>4.8461688116841378E-7</v>
      </c>
      <c r="DI85" s="22">
        <f t="shared" si="69"/>
        <v>8.7674215327269991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-4.5474735088646412E-13</v>
      </c>
      <c r="DP85" s="17">
        <f>DO85*VLOOKUP('Données projet'!$B$14,Paramètres!$A$1:$I$89,3,0)*VLOOKUP('Données projet'!$B$14,Paramètres!$A$1:$I$89,5,0)</f>
        <v>-2.7193891583010558E-13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247.30892363953825</v>
      </c>
      <c r="DU85" s="59">
        <f t="shared" si="98"/>
        <v>248.38414731596578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3.039036009505105</v>
      </c>
      <c r="EC85" s="21">
        <f>EXP(-LN(2)/2)*EC84+(1-EXP(-LN(2)/2))/(LN(2)/2)*DW85*DZ85*VLOOKUP('Données projet'!$B$14,Paramètres!$A$1:$I$89,3,0)*0.475*44/12</f>
        <v>3.5359501650659697E-7</v>
      </c>
      <c r="ED85" s="22">
        <f t="shared" si="72"/>
        <v>3.0390363631001214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-4.5474735088646412E-13</v>
      </c>
      <c r="EK85" s="17">
        <f>EJ85*VLOOKUP('Données projet'!$B$15,Paramètres!$A$1:$I$89,3,0)*VLOOKUP('Données projet'!$B$15,Paramètres!$A$1:$I$89,5,0)</f>
        <v>-2.7193891583010558E-13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247.30892363953825</v>
      </c>
      <c r="EP85" s="59">
        <f t="shared" si="100"/>
        <v>248.38414731596578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3.039036009505105</v>
      </c>
      <c r="EX85" s="21">
        <f>EXP(-LN(2)/2)*EX84+(1-EXP(-LN(2)/2))/(LN(2)/2)*ER85*EU85*VLOOKUP('Données projet'!$B$15,Paramètres!$A$1:$I$89,3,0)*0.475*44/12</f>
        <v>3.5359501650659697E-7</v>
      </c>
      <c r="EY85" s="22">
        <f t="shared" si="75"/>
        <v>3.0390363631001214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6.8212102632969618E-13</v>
      </c>
      <c r="FF85" s="17">
        <f>FE85*VLOOKUP('Données projet'!$B$16,Paramètres!$A$1:$I$89,3,0)*VLOOKUP('Données projet'!$B$16,Paramètres!$A$1:$I$89,5,0)</f>
        <v>3.2810021366458383E-13</v>
      </c>
      <c r="FG85" s="13">
        <f t="shared" si="101"/>
        <v>4.2923528923937213E-12</v>
      </c>
      <c r="FH85" s="20">
        <f t="shared" si="76"/>
        <v>8.0472891597182151E-12</v>
      </c>
      <c r="FI85" s="59">
        <f t="shared" si="77"/>
        <v>293.33333333334139</v>
      </c>
      <c r="FJ85" s="59">
        <f ca="1">AVERAGE(OFFSET($FI$3,0,0,'Données projet'!$E$16+1,1))-AVERAGE(OFFSET($H$3,0,0,'Données projet'!$E$16+1,1))</f>
        <v>322.54393676667081</v>
      </c>
      <c r="FK85" s="59">
        <f t="shared" si="102"/>
        <v>296.73904998640018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2.4059842831220664</v>
      </c>
      <c r="FR85" s="21">
        <f>EXP(-LN(2)/25)*FR84+(1-EXP(-LN(2)/25))/(LN(2)/25)*Calculateur!FM85*Calculateur!FO85*VLOOKUP('Données projet'!$B$16,Paramètres!$A$1:$I$89,3,0)*0.475*44/12</f>
        <v>3.1747651004479605</v>
      </c>
      <c r="FS85" s="21">
        <f>EXP(-LN(2)/2)*FS84+(1-EXP(-LN(2)/2))/(LN(2)/2)*FM85*FP85*VLOOKUP('Données projet'!$B$16,Paramètres!$A$1:$I$89,3,0)*0.475*44/12</f>
        <v>3.1162475687612347E-7</v>
      </c>
      <c r="FT85" s="22">
        <f t="shared" si="78"/>
        <v>5.5807496951947835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293.33333333333974</v>
      </c>
      <c r="S86" s="59">
        <f ca="1">AVERAGE(OFFSET($R$3,0,0,'Données projet'!$E$9+1,1))-AVERAGE(OFFSET($H$3,0,0,'Données projet'!$E$9+1,1))</f>
        <v>401.06118089678654</v>
      </c>
      <c r="T86" s="59">
        <f t="shared" si="88"/>
        <v>399.58193819355591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6.2527760746888816E-13</v>
      </c>
      <c r="AJ86" s="13">
        <f>AI86*VLOOKUP('Données projet'!$B$10,Paramètres!$A$1:$I$89,3,0)*VLOOKUP('Données projet'!$B$10,Paramètres!$A$1:$I$89,5,0)</f>
        <v>3.9017322706058616E-13</v>
      </c>
      <c r="AK86" s="13">
        <f t="shared" si="89"/>
        <v>5.0025007393608908E-12</v>
      </c>
      <c r="AL86" s="20">
        <f t="shared" si="58"/>
        <v>9.3922404915174053E-12</v>
      </c>
      <c r="AM86" s="59">
        <f t="shared" si="59"/>
        <v>293.33333333334269</v>
      </c>
      <c r="AN86" s="59">
        <f ca="1">AVERAGE(OFFSET($AM$3,0,0,'Données projet'!$E$10+1,1))-AVERAGE(OFFSET($H$3,0,0,'Données projet'!$E$10+1,1))</f>
        <v>240.30073883588199</v>
      </c>
      <c r="AO86" s="59">
        <f t="shared" si="90"/>
        <v>263.20351282678843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2.4341470454814034</v>
      </c>
      <c r="AV86" s="21">
        <f>EXP(-LN(2)/25)*AV85+(1-EXP(-LN(2)/25))/(LN(2)/25)*Calculateur!AQ86*Calculateur!AS86*VLOOKUP('Données projet'!$B$10,Paramètres!$A$1:$I$89,3,0)*0.475*44/12</f>
        <v>4.7821941613063954</v>
      </c>
      <c r="AW86" s="21">
        <f>EXP(-LN(2)/2)*AW85+(1-EXP(-LN(2)/2))/(LN(2)/2)*AQ86*AT86*VLOOKUP('Données projet'!$B$10,Paramètres!$A$1:$I$89,3,0)*0.475*44/12</f>
        <v>2.1274481058662277E-7</v>
      </c>
      <c r="AX86" s="21">
        <f t="shared" si="60"/>
        <v>7.2163414195326094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-1.0936673788819462E-13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364.67510777943329</v>
      </c>
      <c r="BJ86" s="59">
        <f t="shared" si="92"/>
        <v>352.13878061387169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3.0959307734716632</v>
      </c>
      <c r="BQ86" s="21">
        <f>EXP(-LN(2)/25)*BQ85+(1-EXP(-LN(2)/25))/(LN(2)/25)*Calculateur!BL86*Calculateur!BN86*VLOOKUP('Données projet'!$B$11,Paramètres!$A$1:$I$89,3,0)*0.475*44/12</f>
        <v>4.1443508679335412</v>
      </c>
      <c r="BR86" s="21">
        <f>EXP(-LN(2)/2)*BR85+(1-EXP(-LN(2)/2))/(LN(2)/2)*BL86*BO86*VLOOKUP('Données projet'!$B$11,Paramètres!$A$1:$I$89,3,0)*0.475*44/12</f>
        <v>2.8948095648827807E-7</v>
      </c>
      <c r="BS86" s="22">
        <f t="shared" si="63"/>
        <v>7.2402819308861606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17.5</v>
      </c>
      <c r="BY86" s="12">
        <f>IF('Données projet'!$A$114&gt;35,BY85+BX86-CG85,IF(A86&lt;'Données projet'!$A$114,$BV$205^A86,IF(A86='Données projet'!$A$114,'Données projet'!$B$114,BY85+BX86-CG85)))</f>
        <v>502.09999999999991</v>
      </c>
      <c r="BZ86" s="13">
        <f>BY86*VLOOKUP('Données projet'!$B$12,Paramètres!$A$1:$I$89,3,0)*VLOOKUP('Données projet'!$B$12,Paramètres!$A$1:$I$89,5,0)</f>
        <v>234.98279999999997</v>
      </c>
      <c r="CA86" s="13">
        <f t="shared" si="93"/>
        <v>57.358731763746825</v>
      </c>
      <c r="CB86" s="20">
        <f t="shared" si="64"/>
        <v>509.16150115519235</v>
      </c>
      <c r="CC86" s="59">
        <f t="shared" si="65"/>
        <v>802.49483448852561</v>
      </c>
      <c r="CD86" s="59">
        <f ca="1">AVERAGE(OFFSET($CC$3,0,0,'Données projet'!$E$12+1,1))-AVERAGE(OFFSET($H$3,0,0,'Données projet'!$E$12+1,1))</f>
        <v>252.98248842635206</v>
      </c>
      <c r="CE86" s="59">
        <f t="shared" si="94"/>
        <v>207.11938580878308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1.0973221814853225</v>
      </c>
      <c r="CL86" s="21">
        <f>EXP(-LN(2)/25)*CL85+(1-EXP(-LN(2)/25))/(LN(2)/25)*Calculateur!CG86*Calculateur!CI86*VLOOKUP('Données projet'!$B$12,Paramètres!$A$1:$I$89,3,0)*0.475*44/12</f>
        <v>1.8071253221171202</v>
      </c>
      <c r="CM86" s="21">
        <f>EXP(-LN(2)/2)*CM85+(1-EXP(-LN(2)/2))/(LN(2)/2)*CG86*CJ86*VLOOKUP('Données projet'!$B$12,Paramètres!$A$1:$I$89,3,0)*0.475*44/12</f>
        <v>1.0359881316185261E-7</v>
      </c>
      <c r="CN86" s="22">
        <f t="shared" si="66"/>
        <v>2.9044476072012557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-5.6843418860808015E-13</v>
      </c>
      <c r="CU86" s="17">
        <f>CT86*VLOOKUP('Données projet'!$B$13,Paramètres!$A$1:$I$89,3,0)*VLOOKUP('Données projet'!$B$13,Paramètres!$A$1:$I$89,5,0)</f>
        <v>-3.177547114319168E-13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356.67698551373468</v>
      </c>
      <c r="CZ86" s="59">
        <f t="shared" si="96"/>
        <v>353.21836615408171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1.5990993784898686</v>
      </c>
      <c r="DG86" s="21">
        <f>EXP(-LN(2)/25)*DG85+(1-EXP(-LN(2)/25))/(LN(2)/25)*Calculateur!DB86*Calculateur!DD86*VLOOKUP('Données projet'!$B$13,Paramètres!$A$1:$I$89,3,0)*0.475*44/12</f>
        <v>6.9411935949124439</v>
      </c>
      <c r="DH86" s="21">
        <f>EXP(-LN(2)/2)*DH85+(1-EXP(-LN(2)/2))/(LN(2)/2)*DB86*DE86*VLOOKUP('Données projet'!$B$13,Paramètres!$A$1:$I$89,3,0)*0.475*44/12</f>
        <v>3.4267588295166067E-7</v>
      </c>
      <c r="DI86" s="22">
        <f t="shared" si="69"/>
        <v>8.5402933160781949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-4.5474735088646412E-13</v>
      </c>
      <c r="DP86" s="17">
        <f>DO86*VLOOKUP('Données projet'!$B$14,Paramètres!$A$1:$I$89,3,0)*VLOOKUP('Données projet'!$B$14,Paramètres!$A$1:$I$89,5,0)</f>
        <v>-2.7193891583010558E-13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247.30892363953825</v>
      </c>
      <c r="DU86" s="59">
        <f t="shared" si="98"/>
        <v>248.38414731596578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2.95593341000923</v>
      </c>
      <c r="EC86" s="21">
        <f>EXP(-LN(2)/2)*EC85+(1-EXP(-LN(2)/2))/(LN(2)/2)*DW86*DZ86*VLOOKUP('Données projet'!$B$14,Paramètres!$A$1:$I$89,3,0)*0.475*44/12</f>
        <v>2.5002943396558392E-7</v>
      </c>
      <c r="ED86" s="22">
        <f t="shared" si="72"/>
        <v>2.9559336600386641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-4.5474735088646412E-13</v>
      </c>
      <c r="EK86" s="17">
        <f>EJ86*VLOOKUP('Données projet'!$B$15,Paramètres!$A$1:$I$89,3,0)*VLOOKUP('Données projet'!$B$15,Paramètres!$A$1:$I$89,5,0)</f>
        <v>-2.7193891583010558E-13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247.30892363953825</v>
      </c>
      <c r="EP86" s="59">
        <f t="shared" si="100"/>
        <v>248.38414731596578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2.95593341000923</v>
      </c>
      <c r="EX86" s="21">
        <f>EXP(-LN(2)/2)*EX85+(1-EXP(-LN(2)/2))/(LN(2)/2)*ER86*EU86*VLOOKUP('Données projet'!$B$15,Paramètres!$A$1:$I$89,3,0)*0.475*44/12</f>
        <v>2.5002943396558392E-7</v>
      </c>
      <c r="EY86" s="22">
        <f t="shared" si="75"/>
        <v>2.9559336600386641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6.8212102632969618E-13</v>
      </c>
      <c r="FF86" s="17">
        <f>FE86*VLOOKUP('Données projet'!$B$16,Paramètres!$A$1:$I$89,3,0)*VLOOKUP('Données projet'!$B$16,Paramètres!$A$1:$I$89,5,0)</f>
        <v>3.2810021366458383E-13</v>
      </c>
      <c r="FG86" s="13">
        <f t="shared" si="101"/>
        <v>4.2923528923937213E-12</v>
      </c>
      <c r="FH86" s="20">
        <f t="shared" si="76"/>
        <v>8.0472891597182151E-12</v>
      </c>
      <c r="FI86" s="59">
        <f t="shared" si="77"/>
        <v>293.33333333334139</v>
      </c>
      <c r="FJ86" s="59">
        <f ca="1">AVERAGE(OFFSET($FI$3,0,0,'Données projet'!$E$16+1,1))-AVERAGE(OFFSET($H$3,0,0,'Données projet'!$E$16+1,1))</f>
        <v>322.54393676667081</v>
      </c>
      <c r="FK86" s="59">
        <f t="shared" si="102"/>
        <v>296.73904998640018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2.3588043988355514</v>
      </c>
      <c r="FR86" s="21">
        <f>EXP(-LN(2)/25)*FR85+(1-EXP(-LN(2)/25))/(LN(2)/25)*Calculateur!FM86*Calculateur!FO86*VLOOKUP('Données projet'!$B$16,Paramètres!$A$1:$I$89,3,0)*0.475*44/12</f>
        <v>3.0879509818225706</v>
      </c>
      <c r="FS86" s="21">
        <f>EXP(-LN(2)/2)*FS85+(1-EXP(-LN(2)/2))/(LN(2)/2)*FM86*FP86*VLOOKUP('Données projet'!$B$16,Paramètres!$A$1:$I$89,3,0)*0.475*44/12</f>
        <v>2.2035197877271612E-7</v>
      </c>
      <c r="FT86" s="22">
        <f t="shared" si="78"/>
        <v>5.4467556010100999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293.33333333333974</v>
      </c>
      <c r="S87" s="59">
        <f ca="1">AVERAGE(OFFSET($R$3,0,0,'Données projet'!$E$9+1,1))-AVERAGE(OFFSET($H$3,0,0,'Données projet'!$E$9+1,1))</f>
        <v>401.06118089678654</v>
      </c>
      <c r="T87" s="59">
        <f t="shared" si="88"/>
        <v>399.58193819355591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6.2527760746888816E-13</v>
      </c>
      <c r="AJ87" s="13">
        <f>AI87*VLOOKUP('Données projet'!$B$10,Paramètres!$A$1:$I$89,3,0)*VLOOKUP('Données projet'!$B$10,Paramètres!$A$1:$I$89,5,0)</f>
        <v>3.9017322706058616E-13</v>
      </c>
      <c r="AK87" s="13">
        <f t="shared" si="89"/>
        <v>5.0025007393608908E-12</v>
      </c>
      <c r="AL87" s="20">
        <f t="shared" si="58"/>
        <v>9.3922404915174053E-12</v>
      </c>
      <c r="AM87" s="59">
        <f t="shared" si="59"/>
        <v>293.33333333334269</v>
      </c>
      <c r="AN87" s="59">
        <f ca="1">AVERAGE(OFFSET($AM$3,0,0,'Données projet'!$E$10+1,1))-AVERAGE(OFFSET($H$3,0,0,'Données projet'!$E$10+1,1))</f>
        <v>240.30073883588199</v>
      </c>
      <c r="AO87" s="59">
        <f t="shared" si="90"/>
        <v>263.20351282678843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2.3864149066026106</v>
      </c>
      <c r="AV87" s="21">
        <f>EXP(-LN(2)/25)*AV86+(1-EXP(-LN(2)/25))/(LN(2)/25)*Calculateur!AQ87*Calculateur!AS87*VLOOKUP('Données projet'!$B$10,Paramètres!$A$1:$I$89,3,0)*0.475*44/12</f>
        <v>4.6514248104808109</v>
      </c>
      <c r="AW87" s="21">
        <f>EXP(-LN(2)/2)*AW86+(1-EXP(-LN(2)/2))/(LN(2)/2)*AQ87*AT87*VLOOKUP('Données projet'!$B$10,Paramètres!$A$1:$I$89,3,0)*0.475*44/12</f>
        <v>1.5043329822804856E-7</v>
      </c>
      <c r="AX87" s="21">
        <f t="shared" si="60"/>
        <v>7.0378398675167197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-1.0936673788819462E-13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364.67510777943329</v>
      </c>
      <c r="BJ87" s="59">
        <f t="shared" si="92"/>
        <v>352.13878061387169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3.0352214593351987</v>
      </c>
      <c r="BQ87" s="21">
        <f>EXP(-LN(2)/25)*BQ86+(1-EXP(-LN(2)/25))/(LN(2)/25)*Calculateur!BL87*Calculateur!BN87*VLOOKUP('Données projet'!$B$11,Paramètres!$A$1:$I$89,3,0)*0.475*44/12</f>
        <v>4.0310233755079583</v>
      </c>
      <c r="BR87" s="21">
        <f>EXP(-LN(2)/2)*BR86+(1-EXP(-LN(2)/2))/(LN(2)/2)*BL87*BO87*VLOOKUP('Données projet'!$B$11,Paramètres!$A$1:$I$89,3,0)*0.475*44/12</f>
        <v>2.0469394735722933E-7</v>
      </c>
      <c r="BS87" s="22">
        <f t="shared" si="63"/>
        <v>7.0662450395371046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17.5</v>
      </c>
      <c r="BY87" s="12">
        <f>IF('Données projet'!$A$114&gt;35,BY86+BX87-CG86,IF(A87&lt;'Données projet'!$A$114,$BV$205^A87,IF(A87='Données projet'!$A$114,'Données projet'!$B$114,BY86+BX87-CG86)))</f>
        <v>519.59999999999991</v>
      </c>
      <c r="BZ87" s="13">
        <f>BY87*VLOOKUP('Données projet'!$B$12,Paramètres!$A$1:$I$89,3,0)*VLOOKUP('Données projet'!$B$12,Paramètres!$A$1:$I$89,5,0)</f>
        <v>243.17279999999994</v>
      </c>
      <c r="CA87" s="13">
        <f t="shared" si="93"/>
        <v>59.121651195612671</v>
      </c>
      <c r="CB87" s="20">
        <f t="shared" si="64"/>
        <v>526.49616916569187</v>
      </c>
      <c r="CC87" s="59">
        <f t="shared" si="65"/>
        <v>819.82950249902524</v>
      </c>
      <c r="CD87" s="59">
        <f ca="1">AVERAGE(OFFSET($CC$3,0,0,'Données projet'!$E$12+1,1))-AVERAGE(OFFSET($H$3,0,0,'Données projet'!$E$12+1,1))</f>
        <v>252.98248842635206</v>
      </c>
      <c r="CE87" s="59">
        <f t="shared" si="94"/>
        <v>207.11938580878308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1.0758043628068381</v>
      </c>
      <c r="CL87" s="21">
        <f>EXP(-LN(2)/25)*CL86+(1-EXP(-LN(2)/25))/(LN(2)/25)*Calculateur!CG87*Calculateur!CI87*VLOOKUP('Données projet'!$B$12,Paramètres!$A$1:$I$89,3,0)*0.475*44/12</f>
        <v>1.7577093851512371</v>
      </c>
      <c r="CM87" s="21">
        <f>EXP(-LN(2)/2)*CM86+(1-EXP(-LN(2)/2))/(LN(2)/2)*CG87*CJ87*VLOOKUP('Données projet'!$B$12,Paramètres!$A$1:$I$89,3,0)*0.475*44/12</f>
        <v>7.3255423309624135E-8</v>
      </c>
      <c r="CN87" s="22">
        <f t="shared" si="66"/>
        <v>2.8335138212134985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-5.6843418860808015E-13</v>
      </c>
      <c r="CU87" s="17">
        <f>CT87*VLOOKUP('Données projet'!$B$13,Paramètres!$A$1:$I$89,3,0)*VLOOKUP('Données projet'!$B$13,Paramètres!$A$1:$I$89,5,0)</f>
        <v>-3.177547114319168E-13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356.67698551373468</v>
      </c>
      <c r="CZ87" s="59">
        <f t="shared" si="96"/>
        <v>353.21836615408171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1.567742015031995</v>
      </c>
      <c r="DG87" s="21">
        <f>EXP(-LN(2)/25)*DG86+(1-EXP(-LN(2)/25))/(LN(2)/25)*Calculateur!DB87*Calculateur!DD87*VLOOKUP('Données projet'!$B$13,Paramètres!$A$1:$I$89,3,0)*0.475*44/12</f>
        <v>6.751386291038056</v>
      </c>
      <c r="DH87" s="21">
        <f>EXP(-LN(2)/2)*DH86+(1-EXP(-LN(2)/2))/(LN(2)/2)*DB87*DE87*VLOOKUP('Données projet'!$B$13,Paramètres!$A$1:$I$89,3,0)*0.475*44/12</f>
        <v>2.4230844058420689E-7</v>
      </c>
      <c r="DI87" s="22">
        <f t="shared" si="69"/>
        <v>8.3191285483784903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-4.5474735088646412E-13</v>
      </c>
      <c r="DP87" s="17">
        <f>DO87*VLOOKUP('Données projet'!$B$14,Paramètres!$A$1:$I$89,3,0)*VLOOKUP('Données projet'!$B$14,Paramètres!$A$1:$I$89,5,0)</f>
        <v>-2.7193891583010558E-13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247.30892363953825</v>
      </c>
      <c r="DU87" s="59">
        <f t="shared" si="98"/>
        <v>248.38414731596578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2.8751032554667453</v>
      </c>
      <c r="EC87" s="21">
        <f>EXP(-LN(2)/2)*EC86+(1-EXP(-LN(2)/2))/(LN(2)/2)*DW87*DZ87*VLOOKUP('Données projet'!$B$14,Paramètres!$A$1:$I$89,3,0)*0.475*44/12</f>
        <v>1.7679750825329849E-7</v>
      </c>
      <c r="ED87" s="22">
        <f t="shared" si="72"/>
        <v>2.8751034322642535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-4.5474735088646412E-13</v>
      </c>
      <c r="EK87" s="17">
        <f>EJ87*VLOOKUP('Données projet'!$B$15,Paramètres!$A$1:$I$89,3,0)*VLOOKUP('Données projet'!$B$15,Paramètres!$A$1:$I$89,5,0)</f>
        <v>-2.7193891583010558E-13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247.30892363953825</v>
      </c>
      <c r="EP87" s="59">
        <f t="shared" si="100"/>
        <v>248.38414731596578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2.8751032554667453</v>
      </c>
      <c r="EX87" s="21">
        <f>EXP(-LN(2)/2)*EX86+(1-EXP(-LN(2)/2))/(LN(2)/2)*ER87*EU87*VLOOKUP('Données projet'!$B$15,Paramètres!$A$1:$I$89,3,0)*0.475*44/12</f>
        <v>1.7679750825329849E-7</v>
      </c>
      <c r="EY87" s="22">
        <f t="shared" si="75"/>
        <v>2.8751034322642535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6.8212102632969618E-13</v>
      </c>
      <c r="FF87" s="17">
        <f>FE87*VLOOKUP('Données projet'!$B$16,Paramètres!$A$1:$I$89,3,0)*VLOOKUP('Données projet'!$B$16,Paramètres!$A$1:$I$89,5,0)</f>
        <v>3.2810021366458383E-13</v>
      </c>
      <c r="FG87" s="13">
        <f t="shared" si="101"/>
        <v>4.2923528923937213E-12</v>
      </c>
      <c r="FH87" s="20">
        <f t="shared" si="76"/>
        <v>8.0472891597182151E-12</v>
      </c>
      <c r="FI87" s="59">
        <f t="shared" si="77"/>
        <v>293.33333333334139</v>
      </c>
      <c r="FJ87" s="59">
        <f ca="1">AVERAGE(OFFSET($FI$3,0,0,'Données projet'!$E$16+1,1))-AVERAGE(OFFSET($H$3,0,0,'Données projet'!$E$16+1,1))</f>
        <v>322.54393676667081</v>
      </c>
      <c r="FK87" s="59">
        <f t="shared" si="102"/>
        <v>296.73904998640018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2.3125496833030068</v>
      </c>
      <c r="FR87" s="21">
        <f>EXP(-LN(2)/25)*FR86+(1-EXP(-LN(2)/25))/(LN(2)/25)*Calculateur!FM87*Calculateur!FO87*VLOOKUP('Données projet'!$B$16,Paramètres!$A$1:$I$89,3,0)*0.475*44/12</f>
        <v>3.0035107998363477</v>
      </c>
      <c r="FS87" s="21">
        <f>EXP(-LN(2)/2)*FS86+(1-EXP(-LN(2)/2))/(LN(2)/2)*FM87*FP87*VLOOKUP('Données projet'!$B$16,Paramètres!$A$1:$I$89,3,0)*0.475*44/12</f>
        <v>1.5581237843806174E-7</v>
      </c>
      <c r="FT87" s="22">
        <f t="shared" si="78"/>
        <v>5.3160606389517326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293.33333333333974</v>
      </c>
      <c r="S88" s="59">
        <f ca="1">AVERAGE(OFFSET($R$3,0,0,'Données projet'!$E$9+1,1))-AVERAGE(OFFSET($H$3,0,0,'Données projet'!$E$9+1,1))</f>
        <v>401.06118089678654</v>
      </c>
      <c r="T88" s="59">
        <f t="shared" si="88"/>
        <v>399.58193819355591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6.2527760746888816E-13</v>
      </c>
      <c r="AJ88" s="13">
        <f>AI88*VLOOKUP('Données projet'!$B$10,Paramètres!$A$1:$I$89,3,0)*VLOOKUP('Données projet'!$B$10,Paramètres!$A$1:$I$89,5,0)</f>
        <v>3.9017322706058616E-13</v>
      </c>
      <c r="AK88" s="13">
        <f t="shared" si="89"/>
        <v>5.0025007393608908E-12</v>
      </c>
      <c r="AL88" s="20">
        <f t="shared" si="58"/>
        <v>9.3922404915174053E-12</v>
      </c>
      <c r="AM88" s="59">
        <f t="shared" si="59"/>
        <v>293.33333333334269</v>
      </c>
      <c r="AN88" s="59">
        <f ca="1">AVERAGE(OFFSET($AM$3,0,0,'Données projet'!$E$10+1,1))-AVERAGE(OFFSET($H$3,0,0,'Données projet'!$E$10+1,1))</f>
        <v>240.30073883588199</v>
      </c>
      <c r="AO88" s="59">
        <f t="shared" si="90"/>
        <v>263.20351282678843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2.3396187658535008</v>
      </c>
      <c r="AV88" s="21">
        <f>EXP(-LN(2)/25)*AV87+(1-EXP(-LN(2)/25))/(LN(2)/25)*Calculateur!AQ88*Calculateur!AS88*VLOOKUP('Données projet'!$B$10,Paramètres!$A$1:$I$89,3,0)*0.475*44/12</f>
        <v>4.5242313544304134</v>
      </c>
      <c r="AW88" s="21">
        <f>EXP(-LN(2)/2)*AW87+(1-EXP(-LN(2)/2))/(LN(2)/2)*AQ88*AT88*VLOOKUP('Données projet'!$B$10,Paramètres!$A$1:$I$89,3,0)*0.475*44/12</f>
        <v>1.0637240529331138E-7</v>
      </c>
      <c r="AX88" s="21">
        <f t="shared" si="60"/>
        <v>6.8638502266563188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-1.0936673788819462E-13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364.67510777943329</v>
      </c>
      <c r="BJ88" s="59">
        <f t="shared" si="92"/>
        <v>352.13878061387169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2.9757026178199246</v>
      </c>
      <c r="BQ88" s="21">
        <f>EXP(-LN(2)/25)*BQ87+(1-EXP(-LN(2)/25))/(LN(2)/25)*Calculateur!BL88*Calculateur!BN88*VLOOKUP('Données projet'!$B$11,Paramètres!$A$1:$I$89,3,0)*0.475*44/12</f>
        <v>3.9207948293223871</v>
      </c>
      <c r="BR88" s="21">
        <f>EXP(-LN(2)/2)*BR87+(1-EXP(-LN(2)/2))/(LN(2)/2)*BL88*BO88*VLOOKUP('Données projet'!$B$11,Paramètres!$A$1:$I$89,3,0)*0.475*44/12</f>
        <v>1.4474047824413903E-7</v>
      </c>
      <c r="BS88" s="22">
        <f t="shared" si="63"/>
        <v>6.89649759188279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17.5</v>
      </c>
      <c r="BY88" s="12">
        <f>IF('Données projet'!$A$114&gt;35,BY87+BX88-CG87,IF(A88&lt;'Données projet'!$A$114,$BV$205^A88,IF(A88='Données projet'!$A$114,'Données projet'!$B$114,BY87+BX88-CG87)))</f>
        <v>537.09999999999991</v>
      </c>
      <c r="BZ88" s="13">
        <f>BY88*VLOOKUP('Données projet'!$B$12,Paramètres!$A$1:$I$89,3,0)*VLOOKUP('Données projet'!$B$12,Paramètres!$A$1:$I$89,5,0)</f>
        <v>251.36279999999996</v>
      </c>
      <c r="CA88" s="13">
        <f t="shared" si="93"/>
        <v>60.877671564837158</v>
      </c>
      <c r="CB88" s="20">
        <f t="shared" si="64"/>
        <v>543.81882130875795</v>
      </c>
      <c r="CC88" s="59">
        <f t="shared" si="65"/>
        <v>837.15215464209132</v>
      </c>
      <c r="CD88" s="59">
        <f ca="1">AVERAGE(OFFSET($CC$3,0,0,'Données projet'!$E$12+1,1))-AVERAGE(OFFSET($H$3,0,0,'Données projet'!$E$12+1,1))</f>
        <v>252.98248842635206</v>
      </c>
      <c r="CE88" s="59">
        <f t="shared" si="94"/>
        <v>207.11938580878308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1.0547084954280654</v>
      </c>
      <c r="CL88" s="21">
        <f>EXP(-LN(2)/25)*CL87+(1-EXP(-LN(2)/25))/(LN(2)/25)*Calculateur!CG88*Calculateur!CI88*VLOOKUP('Données projet'!$B$12,Paramètres!$A$1:$I$89,3,0)*0.475*44/12</f>
        <v>1.7096447295803572</v>
      </c>
      <c r="CM88" s="21">
        <f>EXP(-LN(2)/2)*CM87+(1-EXP(-LN(2)/2))/(LN(2)/2)*CG88*CJ88*VLOOKUP('Données projet'!$B$12,Paramètres!$A$1:$I$89,3,0)*0.475*44/12</f>
        <v>5.1799406580926307E-8</v>
      </c>
      <c r="CN88" s="22">
        <f t="shared" si="66"/>
        <v>2.7643532768078289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-5.6843418860808015E-13</v>
      </c>
      <c r="CU88" s="17">
        <f>CT88*VLOOKUP('Données projet'!$B$13,Paramètres!$A$1:$I$89,3,0)*VLOOKUP('Données projet'!$B$13,Paramètres!$A$1:$I$89,5,0)</f>
        <v>-3.177547114319168E-13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356.67698551373468</v>
      </c>
      <c r="CZ88" s="59">
        <f t="shared" si="96"/>
        <v>353.21836615408171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1.536999550345427</v>
      </c>
      <c r="DG88" s="21">
        <f>EXP(-LN(2)/25)*DG87+(1-EXP(-LN(2)/25))/(LN(2)/25)*Calculateur!DB88*Calculateur!DD88*VLOOKUP('Données projet'!$B$13,Paramètres!$A$1:$I$89,3,0)*0.475*44/12</f>
        <v>6.5667692778696454</v>
      </c>
      <c r="DH88" s="21">
        <f>EXP(-LN(2)/2)*DH87+(1-EXP(-LN(2)/2))/(LN(2)/2)*DB88*DE88*VLOOKUP('Données projet'!$B$13,Paramètres!$A$1:$I$89,3,0)*0.475*44/12</f>
        <v>1.7133794147583033E-7</v>
      </c>
      <c r="DI88" s="22">
        <f t="shared" si="69"/>
        <v>8.1037689995530133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-4.5474735088646412E-13</v>
      </c>
      <c r="DP88" s="17">
        <f>DO88*VLOOKUP('Données projet'!$B$14,Paramètres!$A$1:$I$89,3,0)*VLOOKUP('Données projet'!$B$14,Paramètres!$A$1:$I$89,5,0)</f>
        <v>-2.7193891583010558E-13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247.30892363953825</v>
      </c>
      <c r="DU88" s="59">
        <f t="shared" si="98"/>
        <v>248.38414731596578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2.796483405750898</v>
      </c>
      <c r="EC88" s="21">
        <f>EXP(-LN(2)/2)*EC87+(1-EXP(-LN(2)/2))/(LN(2)/2)*DW88*DZ88*VLOOKUP('Données projet'!$B$14,Paramètres!$A$1:$I$89,3,0)*0.475*44/12</f>
        <v>1.2501471698279196E-7</v>
      </c>
      <c r="ED88" s="22">
        <f t="shared" si="72"/>
        <v>2.7964835307656148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-4.5474735088646412E-13</v>
      </c>
      <c r="EK88" s="17">
        <f>EJ88*VLOOKUP('Données projet'!$B$15,Paramètres!$A$1:$I$89,3,0)*VLOOKUP('Données projet'!$B$15,Paramètres!$A$1:$I$89,5,0)</f>
        <v>-2.7193891583010558E-13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247.30892363953825</v>
      </c>
      <c r="EP88" s="59">
        <f t="shared" si="100"/>
        <v>248.38414731596578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2.796483405750898</v>
      </c>
      <c r="EX88" s="21">
        <f>EXP(-LN(2)/2)*EX87+(1-EXP(-LN(2)/2))/(LN(2)/2)*ER88*EU88*VLOOKUP('Données projet'!$B$15,Paramètres!$A$1:$I$89,3,0)*0.475*44/12</f>
        <v>1.2501471698279196E-7</v>
      </c>
      <c r="EY88" s="22">
        <f t="shared" si="75"/>
        <v>2.7964835307656148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6.8212102632969618E-13</v>
      </c>
      <c r="FF88" s="17">
        <f>FE88*VLOOKUP('Données projet'!$B$16,Paramètres!$A$1:$I$89,3,0)*VLOOKUP('Données projet'!$B$16,Paramètres!$A$1:$I$89,5,0)</f>
        <v>3.2810021366458383E-13</v>
      </c>
      <c r="FG88" s="13">
        <f t="shared" si="101"/>
        <v>4.2923528923937213E-12</v>
      </c>
      <c r="FH88" s="20">
        <f t="shared" si="76"/>
        <v>8.0472891597182151E-12</v>
      </c>
      <c r="FI88" s="59">
        <f t="shared" si="77"/>
        <v>293.33333333334139</v>
      </c>
      <c r="FJ88" s="59">
        <f ca="1">AVERAGE(OFFSET($FI$3,0,0,'Données projet'!$E$16+1,1))-AVERAGE(OFFSET($H$3,0,0,'Données projet'!$E$16+1,1))</f>
        <v>322.54393676667081</v>
      </c>
      <c r="FK88" s="59">
        <f t="shared" si="102"/>
        <v>296.73904998640018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2.2672019945294646</v>
      </c>
      <c r="FR88" s="21">
        <f>EXP(-LN(2)/25)*FR87+(1-EXP(-LN(2)/25))/(LN(2)/25)*Calculateur!FM88*Calculateur!FO88*VLOOKUP('Données projet'!$B$16,Paramètres!$A$1:$I$89,3,0)*0.475*44/12</f>
        <v>2.9213796390670543</v>
      </c>
      <c r="FS88" s="21">
        <f>EXP(-LN(2)/2)*FS87+(1-EXP(-LN(2)/2))/(LN(2)/2)*FM88*FP88*VLOOKUP('Données projet'!$B$16,Paramètres!$A$1:$I$89,3,0)*0.475*44/12</f>
        <v>1.1017598938635806E-7</v>
      </c>
      <c r="FT88" s="22">
        <f t="shared" si="78"/>
        <v>5.1885817437725077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293.33333333333974</v>
      </c>
      <c r="S89" s="59">
        <f ca="1">AVERAGE(OFFSET($R$3,0,0,'Données projet'!$E$9+1,1))-AVERAGE(OFFSET($H$3,0,0,'Données projet'!$E$9+1,1))</f>
        <v>401.06118089678654</v>
      </c>
      <c r="T89" s="59">
        <f t="shared" si="88"/>
        <v>399.58193819355591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6.2527760746888816E-13</v>
      </c>
      <c r="AJ89" s="13">
        <f>AI89*VLOOKUP('Données projet'!$B$10,Paramètres!$A$1:$I$89,3,0)*VLOOKUP('Données projet'!$B$10,Paramètres!$A$1:$I$89,5,0)</f>
        <v>3.9017322706058616E-13</v>
      </c>
      <c r="AK89" s="13">
        <f t="shared" si="89"/>
        <v>5.0025007393608908E-12</v>
      </c>
      <c r="AL89" s="20">
        <f t="shared" si="58"/>
        <v>9.3922404915174053E-12</v>
      </c>
      <c r="AM89" s="59">
        <f t="shared" si="59"/>
        <v>293.33333333334269</v>
      </c>
      <c r="AN89" s="59">
        <f ca="1">AVERAGE(OFFSET($AM$3,0,0,'Données projet'!$E$10+1,1))-AVERAGE(OFFSET($H$3,0,0,'Données projet'!$E$10+1,1))</f>
        <v>240.30073883588199</v>
      </c>
      <c r="AO89" s="59">
        <f t="shared" si="90"/>
        <v>263.20351282678843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2.2937402688816535</v>
      </c>
      <c r="AV89" s="21">
        <f>EXP(-LN(2)/25)*AV88+(1-EXP(-LN(2)/25))/(LN(2)/25)*Calculateur!AQ89*Calculateur!AS89*VLOOKUP('Données projet'!$B$10,Paramètres!$A$1:$I$89,3,0)*0.475*44/12</f>
        <v>4.4005160101245266</v>
      </c>
      <c r="AW89" s="21">
        <f>EXP(-LN(2)/2)*AW88+(1-EXP(-LN(2)/2))/(LN(2)/2)*AQ89*AT89*VLOOKUP('Données projet'!$B$10,Paramètres!$A$1:$I$89,3,0)*0.475*44/12</f>
        <v>7.5216649114024282E-8</v>
      </c>
      <c r="AX89" s="21">
        <f t="shared" si="60"/>
        <v>6.6942563542228291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-1.0936673788819462E-13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364.67510777943329</v>
      </c>
      <c r="BJ89" s="59">
        <f t="shared" si="92"/>
        <v>352.13878061387169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2.9173509044838566</v>
      </c>
      <c r="BQ89" s="21">
        <f>EXP(-LN(2)/25)*BQ88+(1-EXP(-LN(2)/25))/(LN(2)/25)*Calculateur!BL89*Calculateur!BN89*VLOOKUP('Données projet'!$B$11,Paramètres!$A$1:$I$89,3,0)*0.475*44/12</f>
        <v>3.8135804885289275</v>
      </c>
      <c r="BR89" s="21">
        <f>EXP(-LN(2)/2)*BR88+(1-EXP(-LN(2)/2))/(LN(2)/2)*BL89*BO89*VLOOKUP('Données projet'!$B$11,Paramètres!$A$1:$I$89,3,0)*0.475*44/12</f>
        <v>1.0234697367861466E-7</v>
      </c>
      <c r="BS89" s="22">
        <f t="shared" si="63"/>
        <v>6.7309314953597577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17.5</v>
      </c>
      <c r="BY89" s="12">
        <f>IF('Données projet'!$A$114&gt;35,BY88+BX89-CG88,IF(A89&lt;'Données projet'!$A$114,$BV$205^A89,IF(A89='Données projet'!$A$114,'Données projet'!$B$114,BY88+BX89-CG88)))</f>
        <v>554.59999999999991</v>
      </c>
      <c r="BZ89" s="13">
        <f>BY89*VLOOKUP('Données projet'!$B$12,Paramètres!$A$1:$I$89,3,0)*VLOOKUP('Données projet'!$B$12,Paramètres!$A$1:$I$89,5,0)</f>
        <v>259.55279999999993</v>
      </c>
      <c r="CA89" s="13">
        <f t="shared" si="93"/>
        <v>62.627043439399927</v>
      </c>
      <c r="CB89" s="20">
        <f t="shared" si="64"/>
        <v>561.12989399028811</v>
      </c>
      <c r="CC89" s="59">
        <f t="shared" si="65"/>
        <v>854.46322732362137</v>
      </c>
      <c r="CD89" s="59">
        <f ca="1">AVERAGE(OFFSET($CC$3,0,0,'Données projet'!$E$12+1,1))-AVERAGE(OFFSET($H$3,0,0,'Données projet'!$E$12+1,1))</f>
        <v>252.98248842635206</v>
      </c>
      <c r="CE89" s="59">
        <f t="shared" si="94"/>
        <v>207.11938580878308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1.0340263051413818</v>
      </c>
      <c r="CL89" s="21">
        <f>EXP(-LN(2)/25)*CL88+(1-EXP(-LN(2)/25))/(LN(2)/25)*Calculateur!CG89*Calculateur!CI89*VLOOKUP('Données projet'!$B$12,Paramètres!$A$1:$I$89,3,0)*0.475*44/12</f>
        <v>1.6628944045436733</v>
      </c>
      <c r="CM89" s="21">
        <f>EXP(-LN(2)/2)*CM88+(1-EXP(-LN(2)/2))/(LN(2)/2)*CG89*CJ89*VLOOKUP('Données projet'!$B$12,Paramètres!$A$1:$I$89,3,0)*0.475*44/12</f>
        <v>3.6627711654812067E-8</v>
      </c>
      <c r="CN89" s="22">
        <f t="shared" si="66"/>
        <v>2.6969207463127667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-5.6843418860808015E-13</v>
      </c>
      <c r="CU89" s="17">
        <f>CT89*VLOOKUP('Données projet'!$B$13,Paramètres!$A$1:$I$89,3,0)*VLOOKUP('Données projet'!$B$13,Paramètres!$A$1:$I$89,5,0)</f>
        <v>-3.177547114319168E-13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356.67698551373468</v>
      </c>
      <c r="CZ89" s="59">
        <f t="shared" si="96"/>
        <v>353.21836615408171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1.5068599266403107</v>
      </c>
      <c r="DG89" s="21">
        <f>EXP(-LN(2)/25)*DG88+(1-EXP(-LN(2)/25))/(LN(2)/25)*Calculateur!DB89*Calculateur!DD89*VLOOKUP('Données projet'!$B$13,Paramètres!$A$1:$I$89,3,0)*0.475*44/12</f>
        <v>6.3872006266349119</v>
      </c>
      <c r="DH89" s="21">
        <f>EXP(-LN(2)/2)*DH88+(1-EXP(-LN(2)/2))/(LN(2)/2)*DB89*DE89*VLOOKUP('Données projet'!$B$13,Paramètres!$A$1:$I$89,3,0)*0.475*44/12</f>
        <v>1.2115422029210345E-7</v>
      </c>
      <c r="DI89" s="22">
        <f t="shared" si="69"/>
        <v>7.8940606744294426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-4.5474735088646412E-13</v>
      </c>
      <c r="DP89" s="17">
        <f>DO89*VLOOKUP('Données projet'!$B$14,Paramètres!$A$1:$I$89,3,0)*VLOOKUP('Données projet'!$B$14,Paramètres!$A$1:$I$89,5,0)</f>
        <v>-2.7193891583010558E-13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247.30892363953825</v>
      </c>
      <c r="DU89" s="59">
        <f t="shared" si="98"/>
        <v>248.38414731596578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2.7200134199599688</v>
      </c>
      <c r="EC89" s="21">
        <f>EXP(-LN(2)/2)*EC88+(1-EXP(-LN(2)/2))/(LN(2)/2)*DW89*DZ89*VLOOKUP('Données projet'!$B$14,Paramètres!$A$1:$I$89,3,0)*0.475*44/12</f>
        <v>8.8398754126649244E-8</v>
      </c>
      <c r="ED89" s="22">
        <f t="shared" si="72"/>
        <v>2.7200135083587229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-4.5474735088646412E-13</v>
      </c>
      <c r="EK89" s="17">
        <f>EJ89*VLOOKUP('Données projet'!$B$15,Paramètres!$A$1:$I$89,3,0)*VLOOKUP('Données projet'!$B$15,Paramètres!$A$1:$I$89,5,0)</f>
        <v>-2.7193891583010558E-13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247.30892363953825</v>
      </c>
      <c r="EP89" s="59">
        <f t="shared" si="100"/>
        <v>248.38414731596578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2.7200134199599688</v>
      </c>
      <c r="EX89" s="21">
        <f>EXP(-LN(2)/2)*EX88+(1-EXP(-LN(2)/2))/(LN(2)/2)*ER89*EU89*VLOOKUP('Données projet'!$B$15,Paramètres!$A$1:$I$89,3,0)*0.475*44/12</f>
        <v>8.8398754126649244E-8</v>
      </c>
      <c r="EY89" s="22">
        <f t="shared" si="75"/>
        <v>2.7200135083587229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6.8212102632969618E-13</v>
      </c>
      <c r="FF89" s="17">
        <f>FE89*VLOOKUP('Données projet'!$B$16,Paramètres!$A$1:$I$89,3,0)*VLOOKUP('Données projet'!$B$16,Paramètres!$A$1:$I$89,5,0)</f>
        <v>3.2810021366458383E-13</v>
      </c>
      <c r="FG89" s="13">
        <f t="shared" si="101"/>
        <v>4.2923528923937213E-12</v>
      </c>
      <c r="FH89" s="20">
        <f t="shared" si="76"/>
        <v>8.0472891597182151E-12</v>
      </c>
      <c r="FI89" s="59">
        <f t="shared" si="77"/>
        <v>293.33333333334139</v>
      </c>
      <c r="FJ89" s="59">
        <f ca="1">AVERAGE(OFFSET($FI$3,0,0,'Données projet'!$E$16+1,1))-AVERAGE(OFFSET($H$3,0,0,'Données projet'!$E$16+1,1))</f>
        <v>322.54393676667081</v>
      </c>
      <c r="FK89" s="59">
        <f t="shared" si="102"/>
        <v>296.73904998640018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2.2227435462734126</v>
      </c>
      <c r="FR89" s="21">
        <f>EXP(-LN(2)/25)*FR88+(1-EXP(-LN(2)/25))/(LN(2)/25)*Calculateur!FM89*Calculateur!FO89*VLOOKUP('Données projet'!$B$16,Paramètres!$A$1:$I$89,3,0)*0.475*44/12</f>
        <v>2.8414943592080872</v>
      </c>
      <c r="FS89" s="21">
        <f>EXP(-LN(2)/2)*FS88+(1-EXP(-LN(2)/2))/(LN(2)/2)*FM89*FP89*VLOOKUP('Données projet'!$B$16,Paramètres!$A$1:$I$89,3,0)*0.475*44/12</f>
        <v>7.7906189219030869E-8</v>
      </c>
      <c r="FT89" s="22">
        <f t="shared" si="78"/>
        <v>5.0642379833876889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293.33333333333974</v>
      </c>
      <c r="S90" s="59">
        <f ca="1">AVERAGE(OFFSET($R$3,0,0,'Données projet'!$E$9+1,1))-AVERAGE(OFFSET($H$3,0,0,'Données projet'!$E$9+1,1))</f>
        <v>401.06118089678654</v>
      </c>
      <c r="T90" s="59">
        <f t="shared" si="88"/>
        <v>399.58193819355591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6.2527760746888816E-13</v>
      </c>
      <c r="AJ90" s="13">
        <f>AI90*VLOOKUP('Données projet'!$B$10,Paramètres!$A$1:$I$89,3,0)*VLOOKUP('Données projet'!$B$10,Paramètres!$A$1:$I$89,5,0)</f>
        <v>3.9017322706058616E-13</v>
      </c>
      <c r="AK90" s="13">
        <f t="shared" si="89"/>
        <v>5.0025007393608908E-12</v>
      </c>
      <c r="AL90" s="20">
        <f t="shared" si="58"/>
        <v>9.3922404915174053E-12</v>
      </c>
      <c r="AM90" s="59">
        <f t="shared" si="59"/>
        <v>293.33333333334269</v>
      </c>
      <c r="AN90" s="59">
        <f ca="1">AVERAGE(OFFSET($AM$3,0,0,'Données projet'!$E$10+1,1))-AVERAGE(OFFSET($H$3,0,0,'Données projet'!$E$10+1,1))</f>
        <v>240.30073883588199</v>
      </c>
      <c r="AO90" s="59">
        <f t="shared" si="90"/>
        <v>263.20351282678843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2.2487614212523042</v>
      </c>
      <c r="AV90" s="21">
        <f>EXP(-LN(2)/25)*AV89+(1-EXP(-LN(2)/25))/(LN(2)/25)*Calculateur!AQ90*Calculateur!AS90*VLOOKUP('Données projet'!$B$10,Paramètres!$A$1:$I$89,3,0)*0.475*44/12</f>
        <v>4.2801836684145922</v>
      </c>
      <c r="AW90" s="21">
        <f>EXP(-LN(2)/2)*AW89+(1-EXP(-LN(2)/2))/(LN(2)/2)*AQ90*AT90*VLOOKUP('Données projet'!$B$10,Paramètres!$A$1:$I$89,3,0)*0.475*44/12</f>
        <v>5.3186202646655692E-8</v>
      </c>
      <c r="AX90" s="21">
        <f t="shared" si="60"/>
        <v>6.5289451428530993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-1.0936673788819462E-13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364.67510777943329</v>
      </c>
      <c r="BJ90" s="59">
        <f t="shared" si="92"/>
        <v>352.13878061387169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2.8601434326552777</v>
      </c>
      <c r="BQ90" s="21">
        <f>EXP(-LN(2)/25)*BQ89+(1-EXP(-LN(2)/25))/(LN(2)/25)*Calculateur!BL90*Calculateur!BN90*VLOOKUP('Données projet'!$B$11,Paramètres!$A$1:$I$89,3,0)*0.475*44/12</f>
        <v>3.7092979295226223</v>
      </c>
      <c r="BR90" s="21">
        <f>EXP(-LN(2)/2)*BR89+(1-EXP(-LN(2)/2))/(LN(2)/2)*BL90*BO90*VLOOKUP('Données projet'!$B$11,Paramètres!$A$1:$I$89,3,0)*0.475*44/12</f>
        <v>7.2370239122069517E-8</v>
      </c>
      <c r="BS90" s="22">
        <f t="shared" si="63"/>
        <v>6.5694414345481382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17.5</v>
      </c>
      <c r="BY90" s="12">
        <f>IF('Données projet'!$A$114&gt;35,BY89+BX90-CG89,IF(A90&lt;'Données projet'!$A$114,$BV$205^A90,IF(A90='Données projet'!$A$114,'Données projet'!$B$114,BY89+BX90-CG89)))</f>
        <v>572.09999999999991</v>
      </c>
      <c r="BZ90" s="13">
        <f>BY90*VLOOKUP('Données projet'!$B$12,Paramètres!$A$1:$I$89,3,0)*VLOOKUP('Données projet'!$B$12,Paramètres!$A$1:$I$89,5,0)</f>
        <v>267.74279999999993</v>
      </c>
      <c r="CA90" s="13">
        <f t="shared" si="93"/>
        <v>64.370000676259949</v>
      </c>
      <c r="CB90" s="20">
        <f t="shared" si="64"/>
        <v>578.42979451115264</v>
      </c>
      <c r="CC90" s="59">
        <f t="shared" si="65"/>
        <v>871.76312784448601</v>
      </c>
      <c r="CD90" s="59">
        <f ca="1">AVERAGE(OFFSET($CC$3,0,0,'Données projet'!$E$12+1,1))-AVERAGE(OFFSET($H$3,0,0,'Données projet'!$E$12+1,1))</f>
        <v>252.98248842635206</v>
      </c>
      <c r="CE90" s="59">
        <f t="shared" si="94"/>
        <v>207.11938580878308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1.0137496799913297</v>
      </c>
      <c r="CL90" s="21">
        <f>EXP(-LN(2)/25)*CL89+(1-EXP(-LN(2)/25))/(LN(2)/25)*Calculateur!CG90*Calculateur!CI90*VLOOKUP('Données projet'!$B$12,Paramètres!$A$1:$I$89,3,0)*0.475*44/12</f>
        <v>1.6174224696036104</v>
      </c>
      <c r="CM90" s="21">
        <f>EXP(-LN(2)/2)*CM89+(1-EXP(-LN(2)/2))/(LN(2)/2)*CG90*CJ90*VLOOKUP('Données projet'!$B$12,Paramètres!$A$1:$I$89,3,0)*0.475*44/12</f>
        <v>2.5899703290463154E-8</v>
      </c>
      <c r="CN90" s="22">
        <f t="shared" si="66"/>
        <v>2.6311721754946436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-5.6843418860808015E-13</v>
      </c>
      <c r="CU90" s="17">
        <f>CT90*VLOOKUP('Données projet'!$B$13,Paramètres!$A$1:$I$89,3,0)*VLOOKUP('Données projet'!$B$13,Paramètres!$A$1:$I$89,5,0)</f>
        <v>-3.177547114319168E-13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356.67698551373468</v>
      </c>
      <c r="CZ90" s="59">
        <f t="shared" si="96"/>
        <v>353.21836615408171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1.4773113225726964</v>
      </c>
      <c r="DG90" s="21">
        <f>EXP(-LN(2)/25)*DG89+(1-EXP(-LN(2)/25))/(LN(2)/25)*Calculateur!DB90*Calculateur!DD90*VLOOKUP('Données projet'!$B$13,Paramètres!$A$1:$I$89,3,0)*0.475*44/12</f>
        <v>6.2125422896112976</v>
      </c>
      <c r="DH90" s="21">
        <f>EXP(-LN(2)/2)*DH89+(1-EXP(-LN(2)/2))/(LN(2)/2)*DB90*DE90*VLOOKUP('Données projet'!$B$13,Paramètres!$A$1:$I$89,3,0)*0.475*44/12</f>
        <v>8.5668970737915167E-8</v>
      </c>
      <c r="DI90" s="22">
        <f t="shared" si="69"/>
        <v>7.6898536978529641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-4.5474735088646412E-13</v>
      </c>
      <c r="DP90" s="17">
        <f>DO90*VLOOKUP('Données projet'!$B$14,Paramètres!$A$1:$I$89,3,0)*VLOOKUP('Données projet'!$B$14,Paramètres!$A$1:$I$89,5,0)</f>
        <v>-2.7193891583010558E-13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247.30892363953825</v>
      </c>
      <c r="DU90" s="59">
        <f t="shared" si="98"/>
        <v>248.38414731596578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2.6456345099518743</v>
      </c>
      <c r="EC90" s="21">
        <f>EXP(-LN(2)/2)*EC89+(1-EXP(-LN(2)/2))/(LN(2)/2)*DW90*DZ90*VLOOKUP('Données projet'!$B$14,Paramètres!$A$1:$I$89,3,0)*0.475*44/12</f>
        <v>6.250735849139598E-8</v>
      </c>
      <c r="ED90" s="22">
        <f t="shared" si="72"/>
        <v>2.6456345724592327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-4.5474735088646412E-13</v>
      </c>
      <c r="EK90" s="17">
        <f>EJ90*VLOOKUP('Données projet'!$B$15,Paramètres!$A$1:$I$89,3,0)*VLOOKUP('Données projet'!$B$15,Paramètres!$A$1:$I$89,5,0)</f>
        <v>-2.7193891583010558E-13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247.30892363953825</v>
      </c>
      <c r="EP90" s="59">
        <f t="shared" si="100"/>
        <v>248.38414731596578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2.6456345099518743</v>
      </c>
      <c r="EX90" s="21">
        <f>EXP(-LN(2)/2)*EX89+(1-EXP(-LN(2)/2))/(LN(2)/2)*ER90*EU90*VLOOKUP('Données projet'!$B$15,Paramètres!$A$1:$I$89,3,0)*0.475*44/12</f>
        <v>6.250735849139598E-8</v>
      </c>
      <c r="EY90" s="22">
        <f t="shared" si="75"/>
        <v>2.6456345724592327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6.8212102632969618E-13</v>
      </c>
      <c r="FF90" s="17">
        <f>FE90*VLOOKUP('Données projet'!$B$16,Paramètres!$A$1:$I$89,3,0)*VLOOKUP('Données projet'!$B$16,Paramètres!$A$1:$I$89,5,0)</f>
        <v>3.2810021366458383E-13</v>
      </c>
      <c r="FG90" s="13">
        <f t="shared" si="101"/>
        <v>4.2923528923937213E-12</v>
      </c>
      <c r="FH90" s="20">
        <f t="shared" si="76"/>
        <v>8.0472891597182151E-12</v>
      </c>
      <c r="FI90" s="59">
        <f t="shared" si="77"/>
        <v>293.33333333334139</v>
      </c>
      <c r="FJ90" s="59">
        <f ca="1">AVERAGE(OFFSET($FI$3,0,0,'Données projet'!$E$16+1,1))-AVERAGE(OFFSET($H$3,0,0,'Données projet'!$E$16+1,1))</f>
        <v>322.54393676667081</v>
      </c>
      <c r="FK90" s="59">
        <f t="shared" si="102"/>
        <v>296.73904998640018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2.1791569010706859</v>
      </c>
      <c r="FR90" s="21">
        <f>EXP(-LN(2)/25)*FR89+(1-EXP(-LN(2)/25))/(LN(2)/25)*Calculateur!FM90*Calculateur!FO90*VLOOKUP('Données projet'!$B$16,Paramètres!$A$1:$I$89,3,0)*0.475*44/12</f>
        <v>2.763793546527848</v>
      </c>
      <c r="FS90" s="21">
        <f>EXP(-LN(2)/2)*FS89+(1-EXP(-LN(2)/2))/(LN(2)/2)*FM90*FP90*VLOOKUP('Données projet'!$B$16,Paramètres!$A$1:$I$89,3,0)*0.475*44/12</f>
        <v>5.5087994693179029E-8</v>
      </c>
      <c r="FT90" s="22">
        <f t="shared" si="78"/>
        <v>4.9429505026865286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293.33333333333974</v>
      </c>
      <c r="S91" s="59">
        <f ca="1">AVERAGE(OFFSET($R$3,0,0,'Données projet'!$E$9+1,1))-AVERAGE(OFFSET($H$3,0,0,'Données projet'!$E$9+1,1))</f>
        <v>401.06118089678654</v>
      </c>
      <c r="T91" s="59">
        <f t="shared" si="88"/>
        <v>399.58193819355591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6.2527760746888816E-13</v>
      </c>
      <c r="AJ91" s="13">
        <f>AI91*VLOOKUP('Données projet'!$B$10,Paramètres!$A$1:$I$89,3,0)*VLOOKUP('Données projet'!$B$10,Paramètres!$A$1:$I$89,5,0)</f>
        <v>3.9017322706058616E-13</v>
      </c>
      <c r="AK91" s="13">
        <f t="shared" si="89"/>
        <v>5.0025007393608908E-12</v>
      </c>
      <c r="AL91" s="20">
        <f t="shared" si="58"/>
        <v>9.3922404915174053E-12</v>
      </c>
      <c r="AM91" s="59">
        <f t="shared" si="59"/>
        <v>293.33333333334269</v>
      </c>
      <c r="AN91" s="59">
        <f ca="1">AVERAGE(OFFSET($AM$3,0,0,'Données projet'!$E$10+1,1))-AVERAGE(OFFSET($H$3,0,0,'Données projet'!$E$10+1,1))</f>
        <v>240.30073883588199</v>
      </c>
      <c r="AO91" s="59">
        <f t="shared" si="90"/>
        <v>263.20351282678843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2.2046645813905781</v>
      </c>
      <c r="AV91" s="21">
        <f>EXP(-LN(2)/25)*AV90+(1-EXP(-LN(2)/25))/(LN(2)/25)*Calculateur!AQ91*Calculateur!AS91*VLOOKUP('Données projet'!$B$10,Paramètres!$A$1:$I$89,3,0)*0.475*44/12</f>
        <v>4.1631418209167181</v>
      </c>
      <c r="AW91" s="21">
        <f>EXP(-LN(2)/2)*AW90+(1-EXP(-LN(2)/2))/(LN(2)/2)*AQ91*AT91*VLOOKUP('Données projet'!$B$10,Paramètres!$A$1:$I$89,3,0)*0.475*44/12</f>
        <v>3.7608324557012141E-8</v>
      </c>
      <c r="AX91" s="21">
        <f t="shared" si="60"/>
        <v>6.3678064399156211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-1.0936673788819462E-13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364.67510777943329</v>
      </c>
      <c r="BJ91" s="59">
        <f t="shared" si="92"/>
        <v>352.13878061387169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2.8040577644561449</v>
      </c>
      <c r="BQ91" s="21">
        <f>EXP(-LN(2)/25)*BQ90+(1-EXP(-LN(2)/25))/(LN(2)/25)*Calculateur!BL91*Calculateur!BN91*VLOOKUP('Données projet'!$B$11,Paramètres!$A$1:$I$89,3,0)*0.475*44/12</f>
        <v>3.6078669825763257</v>
      </c>
      <c r="BR91" s="21">
        <f>EXP(-LN(2)/2)*BR90+(1-EXP(-LN(2)/2))/(LN(2)/2)*BL91*BO91*VLOOKUP('Données projet'!$B$11,Paramètres!$A$1:$I$89,3,0)*0.475*44/12</f>
        <v>5.1173486839307332E-8</v>
      </c>
      <c r="BS91" s="22">
        <f t="shared" si="63"/>
        <v>6.4119247982059573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17.5</v>
      </c>
      <c r="BY91" s="12">
        <f>IF('Données projet'!$A$114&gt;35,BY90+BX91-CG90,IF(A91&lt;'Données projet'!$A$114,$BV$205^A91,IF(A91='Données projet'!$A$114,'Données projet'!$B$114,BY90+BX91-CG90)))</f>
        <v>589.59999999999991</v>
      </c>
      <c r="BZ91" s="13">
        <f>BY91*VLOOKUP('Données projet'!$B$12,Paramètres!$A$1:$I$89,3,0)*VLOOKUP('Données projet'!$B$12,Paramètres!$A$1:$I$89,5,0)</f>
        <v>275.93279999999999</v>
      </c>
      <c r="CA91" s="13">
        <f t="shared" si="93"/>
        <v>66.106762012556132</v>
      </c>
      <c r="CB91" s="20">
        <f t="shared" si="64"/>
        <v>595.7189038385352</v>
      </c>
      <c r="CC91" s="59">
        <f t="shared" si="65"/>
        <v>889.05223717186846</v>
      </c>
      <c r="CD91" s="59">
        <f ca="1">AVERAGE(OFFSET($CC$3,0,0,'Données projet'!$E$12+1,1))-AVERAGE(OFFSET($H$3,0,0,'Données projet'!$E$12+1,1))</f>
        <v>252.98248842635206</v>
      </c>
      <c r="CE91" s="59">
        <f t="shared" si="94"/>
        <v>207.11938580878308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0.99387066709294991</v>
      </c>
      <c r="CL91" s="21">
        <f>EXP(-LN(2)/25)*CL90+(1-EXP(-LN(2)/25))/(LN(2)/25)*Calculateur!CG91*Calculateur!CI91*VLOOKUP('Données projet'!$B$12,Paramètres!$A$1:$I$89,3,0)*0.475*44/12</f>
        <v>1.5731939671157487</v>
      </c>
      <c r="CM91" s="21">
        <f>EXP(-LN(2)/2)*CM90+(1-EXP(-LN(2)/2))/(LN(2)/2)*CG91*CJ91*VLOOKUP('Données projet'!$B$12,Paramètres!$A$1:$I$89,3,0)*0.475*44/12</f>
        <v>1.8313855827406034E-8</v>
      </c>
      <c r="CN91" s="22">
        <f t="shared" si="66"/>
        <v>2.5670646525225544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-5.6843418860808015E-13</v>
      </c>
      <c r="CU91" s="17">
        <f>CT91*VLOOKUP('Données projet'!$B$13,Paramètres!$A$1:$I$89,3,0)*VLOOKUP('Données projet'!$B$13,Paramètres!$A$1:$I$89,5,0)</f>
        <v>-3.177547114319168E-13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356.67698551373468</v>
      </c>
      <c r="CZ91" s="59">
        <f t="shared" si="96"/>
        <v>353.21836615408171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1.4483421486079793</v>
      </c>
      <c r="DG91" s="21">
        <f>EXP(-LN(2)/25)*DG90+(1-EXP(-LN(2)/25))/(LN(2)/25)*Calculateur!DB91*Calculateur!DD91*VLOOKUP('Données projet'!$B$13,Paramètres!$A$1:$I$89,3,0)*0.475*44/12</f>
        <v>6.0426599939984769</v>
      </c>
      <c r="DH91" s="21">
        <f>EXP(-LN(2)/2)*DH90+(1-EXP(-LN(2)/2))/(LN(2)/2)*DB91*DE91*VLOOKUP('Données projet'!$B$13,Paramètres!$A$1:$I$89,3,0)*0.475*44/12</f>
        <v>6.0577110146051723E-8</v>
      </c>
      <c r="DI91" s="22">
        <f t="shared" si="69"/>
        <v>7.4910022031835668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-4.5474735088646412E-13</v>
      </c>
      <c r="DP91" s="17">
        <f>DO91*VLOOKUP('Données projet'!$B$14,Paramètres!$A$1:$I$89,3,0)*VLOOKUP('Données projet'!$B$14,Paramètres!$A$1:$I$89,5,0)</f>
        <v>-2.7193891583010558E-13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247.30892363953825</v>
      </c>
      <c r="DU91" s="59">
        <f t="shared" si="98"/>
        <v>248.38414731596578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2.5732894951493681</v>
      </c>
      <c r="EC91" s="21">
        <f>EXP(-LN(2)/2)*EC90+(1-EXP(-LN(2)/2))/(LN(2)/2)*DW91*DZ91*VLOOKUP('Données projet'!$B$14,Paramètres!$A$1:$I$89,3,0)*0.475*44/12</f>
        <v>4.4199377063324622E-8</v>
      </c>
      <c r="ED91" s="22">
        <f t="shared" si="72"/>
        <v>2.5732895393487452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-4.5474735088646412E-13</v>
      </c>
      <c r="EK91" s="17">
        <f>EJ91*VLOOKUP('Données projet'!$B$15,Paramètres!$A$1:$I$89,3,0)*VLOOKUP('Données projet'!$B$15,Paramètres!$A$1:$I$89,5,0)</f>
        <v>-2.7193891583010558E-13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247.30892363953825</v>
      </c>
      <c r="EP91" s="59">
        <f t="shared" si="100"/>
        <v>248.38414731596578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2.5732894951493681</v>
      </c>
      <c r="EX91" s="21">
        <f>EXP(-LN(2)/2)*EX90+(1-EXP(-LN(2)/2))/(LN(2)/2)*ER91*EU91*VLOOKUP('Données projet'!$B$15,Paramètres!$A$1:$I$89,3,0)*0.475*44/12</f>
        <v>4.4199377063324622E-8</v>
      </c>
      <c r="EY91" s="22">
        <f t="shared" si="75"/>
        <v>2.5732895393487452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6.8212102632969618E-13</v>
      </c>
      <c r="FF91" s="17">
        <f>FE91*VLOOKUP('Données projet'!$B$16,Paramètres!$A$1:$I$89,3,0)*VLOOKUP('Données projet'!$B$16,Paramètres!$A$1:$I$89,5,0)</f>
        <v>3.2810021366458383E-13</v>
      </c>
      <c r="FG91" s="13">
        <f t="shared" si="101"/>
        <v>4.2923528923937213E-12</v>
      </c>
      <c r="FH91" s="20">
        <f t="shared" si="76"/>
        <v>8.0472891597182151E-12</v>
      </c>
      <c r="FI91" s="59">
        <f t="shared" si="77"/>
        <v>293.33333333334139</v>
      </c>
      <c r="FJ91" s="59">
        <f ca="1">AVERAGE(OFFSET($FI$3,0,0,'Données projet'!$E$16+1,1))-AVERAGE(OFFSET($H$3,0,0,'Données projet'!$E$16+1,1))</f>
        <v>322.54393676667081</v>
      </c>
      <c r="FK91" s="59">
        <f t="shared" si="102"/>
        <v>296.73904998640018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2.1364249633951564</v>
      </c>
      <c r="FR91" s="21">
        <f>EXP(-LN(2)/25)*FR90+(1-EXP(-LN(2)/25))/(LN(2)/25)*Calculateur!FM91*Calculateur!FO91*VLOOKUP('Données projet'!$B$16,Paramètres!$A$1:$I$89,3,0)*0.475*44/12</f>
        <v>2.6882174666564582</v>
      </c>
      <c r="FS91" s="21">
        <f>EXP(-LN(2)/2)*FS90+(1-EXP(-LN(2)/2))/(LN(2)/2)*FM91*FP91*VLOOKUP('Données projet'!$B$16,Paramètres!$A$1:$I$89,3,0)*0.475*44/12</f>
        <v>3.8953094609515434E-8</v>
      </c>
      <c r="FT91" s="22">
        <f t="shared" si="78"/>
        <v>4.8246424690047096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293.33333333333974</v>
      </c>
      <c r="S92" s="59">
        <f ca="1">AVERAGE(OFFSET($R$3,0,0,'Données projet'!$E$9+1,1))-AVERAGE(OFFSET($H$3,0,0,'Données projet'!$E$9+1,1))</f>
        <v>401.06118089678654</v>
      </c>
      <c r="T92" s="59">
        <f t="shared" si="88"/>
        <v>399.58193819355591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6.2527760746888816E-13</v>
      </c>
      <c r="AJ92" s="13">
        <f>AI92*VLOOKUP('Données projet'!$B$10,Paramètres!$A$1:$I$89,3,0)*VLOOKUP('Données projet'!$B$10,Paramètres!$A$1:$I$89,5,0)</f>
        <v>3.9017322706058616E-13</v>
      </c>
      <c r="AK92" s="13">
        <f t="shared" si="89"/>
        <v>5.0025007393608908E-12</v>
      </c>
      <c r="AL92" s="20">
        <f t="shared" si="58"/>
        <v>9.3922404915174053E-12</v>
      </c>
      <c r="AM92" s="59">
        <f t="shared" si="59"/>
        <v>293.33333333334269</v>
      </c>
      <c r="AN92" s="59">
        <f ca="1">AVERAGE(OFFSET($AM$3,0,0,'Données projet'!$E$10+1,1))-AVERAGE(OFFSET($H$3,0,0,'Données projet'!$E$10+1,1))</f>
        <v>240.30073883588199</v>
      </c>
      <c r="AO92" s="59">
        <f t="shared" si="90"/>
        <v>263.20351282678843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2.1614324536621243</v>
      </c>
      <c r="AV92" s="21">
        <f>EXP(-LN(2)/25)*AV91+(1-EXP(-LN(2)/25))/(LN(2)/25)*Calculateur!AQ92*Calculateur!AS92*VLOOKUP('Données projet'!$B$10,Paramètres!$A$1:$I$89,3,0)*0.475*44/12</f>
        <v>4.0493004888936373</v>
      </c>
      <c r="AW92" s="21">
        <f>EXP(-LN(2)/2)*AW91+(1-EXP(-LN(2)/2))/(LN(2)/2)*AQ92*AT92*VLOOKUP('Données projet'!$B$10,Paramètres!$A$1:$I$89,3,0)*0.475*44/12</f>
        <v>2.6593101323327846E-8</v>
      </c>
      <c r="AX92" s="21">
        <f t="shared" si="60"/>
        <v>6.2107329691488626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-1.0936673788819462E-13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364.67510777943329</v>
      </c>
      <c r="BJ92" s="59">
        <f t="shared" si="92"/>
        <v>352.13878061387169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2.7490719020015173</v>
      </c>
      <c r="BQ92" s="21">
        <f>EXP(-LN(2)/25)*BQ91+(1-EXP(-LN(2)/25))/(LN(2)/25)*Calculateur!BL92*Calculateur!BN92*VLOOKUP('Données projet'!$B$11,Paramètres!$A$1:$I$89,3,0)*0.475*44/12</f>
        <v>3.5092096702082971</v>
      </c>
      <c r="BR92" s="21">
        <f>EXP(-LN(2)/2)*BR91+(1-EXP(-LN(2)/2))/(LN(2)/2)*BL92*BO92*VLOOKUP('Données projet'!$B$11,Paramètres!$A$1:$I$89,3,0)*0.475*44/12</f>
        <v>3.6185119561034758E-8</v>
      </c>
      <c r="BS92" s="22">
        <f t="shared" si="63"/>
        <v>6.2582816083949337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17.5</v>
      </c>
      <c r="BY92" s="12">
        <f>IF('Données projet'!$A$114&gt;35,BY91+BX92-CG91,IF(A92&lt;'Données projet'!$A$114,$BV$205^A92,IF(A92='Données projet'!$A$114,'Données projet'!$B$114,BY91+BX92-CG91)))</f>
        <v>607.09999999999991</v>
      </c>
      <c r="BZ92" s="13">
        <f>BY92*VLOOKUP('Données projet'!$B$12,Paramètres!$A$1:$I$89,3,0)*VLOOKUP('Données projet'!$B$12,Paramètres!$A$1:$I$89,5,0)</f>
        <v>284.12279999999993</v>
      </c>
      <c r="CA92" s="13">
        <f t="shared" si="93"/>
        <v>67.837532462585557</v>
      </c>
      <c r="CB92" s="20">
        <f t="shared" si="64"/>
        <v>612.99757903900297</v>
      </c>
      <c r="CC92" s="59">
        <f t="shared" si="65"/>
        <v>906.33091237233634</v>
      </c>
      <c r="CD92" s="59">
        <f ca="1">AVERAGE(OFFSET($CC$3,0,0,'Données projet'!$E$12+1,1))-AVERAGE(OFFSET($H$3,0,0,'Données projet'!$E$12+1,1))</f>
        <v>252.98248842635206</v>
      </c>
      <c r="CE92" s="59">
        <f t="shared" si="94"/>
        <v>207.11938580878308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0.9743814695125067</v>
      </c>
      <c r="CL92" s="21">
        <f>EXP(-LN(2)/25)*CL91+(1-EXP(-LN(2)/25))/(LN(2)/25)*Calculateur!CG92*Calculateur!CI92*VLOOKUP('Données projet'!$B$12,Paramètres!$A$1:$I$89,3,0)*0.475*44/12</f>
        <v>1.5301748953542933</v>
      </c>
      <c r="CM92" s="21">
        <f>EXP(-LN(2)/2)*CM91+(1-EXP(-LN(2)/2))/(LN(2)/2)*CG92*CJ92*VLOOKUP('Données projet'!$B$12,Paramètres!$A$1:$I$89,3,0)*0.475*44/12</f>
        <v>1.2949851645231577E-8</v>
      </c>
      <c r="CN92" s="22">
        <f t="shared" si="66"/>
        <v>2.5045563778166517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-5.6843418860808015E-13</v>
      </c>
      <c r="CU92" s="17">
        <f>CT92*VLOOKUP('Données projet'!$B$13,Paramètres!$A$1:$I$89,3,0)*VLOOKUP('Données projet'!$B$13,Paramètres!$A$1:$I$89,5,0)</f>
        <v>-3.177547114319168E-13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356.67698551373468</v>
      </c>
      <c r="CZ92" s="59">
        <f t="shared" si="96"/>
        <v>353.21836615408171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1.4199410424752588</v>
      </c>
      <c r="DG92" s="21">
        <f>EXP(-LN(2)/25)*DG91+(1-EXP(-LN(2)/25))/(LN(2)/25)*Calculateur!DB92*Calculateur!DD92*VLOOKUP('Données projet'!$B$13,Paramètres!$A$1:$I$89,3,0)*0.475*44/12</f>
        <v>5.8774231386929099</v>
      </c>
      <c r="DH92" s="21">
        <f>EXP(-LN(2)/2)*DH91+(1-EXP(-LN(2)/2))/(LN(2)/2)*DB92*DE92*VLOOKUP('Données projet'!$B$13,Paramètres!$A$1:$I$89,3,0)*0.475*44/12</f>
        <v>4.2834485368957583E-8</v>
      </c>
      <c r="DI92" s="22">
        <f t="shared" si="69"/>
        <v>7.2973642240026537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-4.5474735088646412E-13</v>
      </c>
      <c r="DP92" s="17">
        <f>DO92*VLOOKUP('Données projet'!$B$14,Paramètres!$A$1:$I$89,3,0)*VLOOKUP('Données projet'!$B$14,Paramètres!$A$1:$I$89,5,0)</f>
        <v>-2.7193891583010558E-13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247.30892363953825</v>
      </c>
      <c r="DU92" s="59">
        <f t="shared" si="98"/>
        <v>248.38414731596578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2.5029227585810956</v>
      </c>
      <c r="EC92" s="21">
        <f>EXP(-LN(2)/2)*EC91+(1-EXP(-LN(2)/2))/(LN(2)/2)*DW92*DZ92*VLOOKUP('Données projet'!$B$14,Paramètres!$A$1:$I$89,3,0)*0.475*44/12</f>
        <v>3.125367924569799E-8</v>
      </c>
      <c r="ED92" s="22">
        <f t="shared" si="72"/>
        <v>2.5029227898347748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-4.5474735088646412E-13</v>
      </c>
      <c r="EK92" s="17">
        <f>EJ92*VLOOKUP('Données projet'!$B$15,Paramètres!$A$1:$I$89,3,0)*VLOOKUP('Données projet'!$B$15,Paramètres!$A$1:$I$89,5,0)</f>
        <v>-2.7193891583010558E-13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247.30892363953825</v>
      </c>
      <c r="EP92" s="59">
        <f t="shared" si="100"/>
        <v>248.38414731596578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2.5029227585810956</v>
      </c>
      <c r="EX92" s="21">
        <f>EXP(-LN(2)/2)*EX91+(1-EXP(-LN(2)/2))/(LN(2)/2)*ER92*EU92*VLOOKUP('Données projet'!$B$15,Paramètres!$A$1:$I$89,3,0)*0.475*44/12</f>
        <v>3.125367924569799E-8</v>
      </c>
      <c r="EY92" s="22">
        <f t="shared" si="75"/>
        <v>2.5029227898347748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6.8212102632969618E-13</v>
      </c>
      <c r="FF92" s="17">
        <f>FE92*VLOOKUP('Données projet'!$B$16,Paramètres!$A$1:$I$89,3,0)*VLOOKUP('Données projet'!$B$16,Paramètres!$A$1:$I$89,5,0)</f>
        <v>3.2810021366458383E-13</v>
      </c>
      <c r="FG92" s="13">
        <f t="shared" si="101"/>
        <v>4.2923528923937213E-12</v>
      </c>
      <c r="FH92" s="20">
        <f t="shared" si="76"/>
        <v>8.0472891597182151E-12</v>
      </c>
      <c r="FI92" s="59">
        <f t="shared" si="77"/>
        <v>293.33333333334139</v>
      </c>
      <c r="FJ92" s="59">
        <f ca="1">AVERAGE(OFFSET($FI$3,0,0,'Données projet'!$E$16+1,1))-AVERAGE(OFFSET($H$3,0,0,'Données projet'!$E$16+1,1))</f>
        <v>322.54393676667081</v>
      </c>
      <c r="FK92" s="59">
        <f t="shared" si="102"/>
        <v>296.73904998640018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2.0945309729535357</v>
      </c>
      <c r="FR92" s="21">
        <f>EXP(-LN(2)/25)*FR91+(1-EXP(-LN(2)/25))/(LN(2)/25)*Calculateur!FM92*Calculateur!FO92*VLOOKUP('Données projet'!$B$16,Paramètres!$A$1:$I$89,3,0)*0.475*44/12</f>
        <v>2.6147080186635248</v>
      </c>
      <c r="FS92" s="21">
        <f>EXP(-LN(2)/2)*FS91+(1-EXP(-LN(2)/2))/(LN(2)/2)*FM92*FP92*VLOOKUP('Données projet'!$B$16,Paramètres!$A$1:$I$89,3,0)*0.475*44/12</f>
        <v>2.7543997346589514E-8</v>
      </c>
      <c r="FT92" s="22">
        <f t="shared" si="78"/>
        <v>4.7092390191610578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293.33333333333974</v>
      </c>
      <c r="S93" s="59">
        <f ca="1">AVERAGE(OFFSET($R$3,0,0,'Données projet'!$E$9+1,1))-AVERAGE(OFFSET($H$3,0,0,'Données projet'!$E$9+1,1))</f>
        <v>401.06118089678654</v>
      </c>
      <c r="T93" s="59">
        <f t="shared" si="88"/>
        <v>399.58193819355591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6.2527760746888816E-13</v>
      </c>
      <c r="AJ93" s="13">
        <f>AI93*VLOOKUP('Données projet'!$B$10,Paramètres!$A$1:$I$89,3,0)*VLOOKUP('Données projet'!$B$10,Paramètres!$A$1:$I$89,5,0)</f>
        <v>3.9017322706058616E-13</v>
      </c>
      <c r="AK93" s="13">
        <f t="shared" si="89"/>
        <v>5.0025007393608908E-12</v>
      </c>
      <c r="AL93" s="20">
        <f t="shared" si="58"/>
        <v>9.3922404915174053E-12</v>
      </c>
      <c r="AM93" s="59">
        <f t="shared" si="59"/>
        <v>293.33333333334269</v>
      </c>
      <c r="AN93" s="59">
        <f ca="1">AVERAGE(OFFSET($AM$3,0,0,'Données projet'!$E$10+1,1))-AVERAGE(OFFSET($H$3,0,0,'Données projet'!$E$10+1,1))</f>
        <v>240.30073883588199</v>
      </c>
      <c r="AO93" s="59">
        <f t="shared" si="90"/>
        <v>263.20351282678843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2.119048081589431</v>
      </c>
      <c r="AV93" s="21">
        <f>EXP(-LN(2)/25)*AV92+(1-EXP(-LN(2)/25))/(LN(2)/25)*Calculateur!AQ93*Calculateur!AS93*VLOOKUP('Données projet'!$B$10,Paramètres!$A$1:$I$89,3,0)*0.475*44/12</f>
        <v>3.9385721540813829</v>
      </c>
      <c r="AW93" s="21">
        <f>EXP(-LN(2)/2)*AW92+(1-EXP(-LN(2)/2))/(LN(2)/2)*AQ93*AT93*VLOOKUP('Données projet'!$B$10,Paramètres!$A$1:$I$89,3,0)*0.475*44/12</f>
        <v>1.880416227850607E-8</v>
      </c>
      <c r="AX93" s="21">
        <f t="shared" si="60"/>
        <v>6.0576202544749771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-1.0936673788819462E-13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364.67510777943329</v>
      </c>
      <c r="BJ93" s="59">
        <f t="shared" si="92"/>
        <v>352.13878061387169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2.6951642787715606</v>
      </c>
      <c r="BQ93" s="21">
        <f>EXP(-LN(2)/25)*BQ92+(1-EXP(-LN(2)/25))/(LN(2)/25)*Calculateur!BL93*Calculateur!BN93*VLOOKUP('Données projet'!$B$11,Paramètres!$A$1:$I$89,3,0)*0.475*44/12</f>
        <v>3.4132501472351349</v>
      </c>
      <c r="BR93" s="21">
        <f>EXP(-LN(2)/2)*BR92+(1-EXP(-LN(2)/2))/(LN(2)/2)*BL93*BO93*VLOOKUP('Données projet'!$B$11,Paramètres!$A$1:$I$89,3,0)*0.475*44/12</f>
        <v>2.5586743419653666E-8</v>
      </c>
      <c r="BS93" s="22">
        <f t="shared" si="63"/>
        <v>6.1084144515934389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624.6</v>
      </c>
      <c r="BW93" s="12">
        <f>VLOOKUP(A93,'Données projet'!$A$113:$I$133,9,0)</f>
        <v>17.5</v>
      </c>
      <c r="BX93" s="12">
        <f t="array" ref="BX93">INDEX(BW:BW,MIN(IF(ISNUMBER(BW93:BW289),ROW(BW93:BW289),"")))</f>
        <v>17.5</v>
      </c>
      <c r="BY93" s="12">
        <f>IF('Données projet'!$A$114&gt;35,BY92+BX93-CG92,IF(A93&lt;'Données projet'!$A$114,$BV$205^A93,IF(A93='Données projet'!$A$114,'Données projet'!$B$114,BY92+BX93-CG92)))</f>
        <v>624.59999999999991</v>
      </c>
      <c r="BZ93" s="13">
        <f>BY93*VLOOKUP('Données projet'!$B$12,Paramètres!$A$1:$I$89,3,0)*VLOOKUP('Données projet'!$B$12,Paramètres!$A$1:$I$89,5,0)</f>
        <v>292.31279999999998</v>
      </c>
      <c r="CA93" s="13">
        <f t="shared" si="93"/>
        <v>69.562504549179678</v>
      </c>
      <c r="CB93" s="20">
        <f t="shared" si="64"/>
        <v>630.26615542315449</v>
      </c>
      <c r="CC93" s="59">
        <f t="shared" si="65"/>
        <v>923.59948875648774</v>
      </c>
      <c r="CD93" s="59">
        <f ca="1">AVERAGE(OFFSET($CC$3,0,0,'Données projet'!$E$12+1,1))-AVERAGE(OFFSET($H$3,0,0,'Données projet'!$E$12+1,1))</f>
        <v>252.98248842635206</v>
      </c>
      <c r="CE93" s="59">
        <f t="shared" si="94"/>
        <v>207.11938580878308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83.4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0.95527444320937926</v>
      </c>
      <c r="CL93" s="21">
        <f>EXP(-LN(2)/25)*CL92+(1-EXP(-LN(2)/25))/(LN(2)/25)*Calculateur!CG93*Calculateur!CI93*VLOOKUP('Données projet'!$B$12,Paramètres!$A$1:$I$89,3,0)*0.475*44/12</f>
        <v>1.4883321823724296</v>
      </c>
      <c r="CM93" s="21">
        <f>EXP(-LN(2)/2)*CM92+(1-EXP(-LN(2)/2))/(LN(2)/2)*CG93*CJ93*VLOOKUP('Données projet'!$B$12,Paramètres!$A$1:$I$89,3,0)*0.475*44/12</f>
        <v>9.1569279137030168E-9</v>
      </c>
      <c r="CN93" s="22">
        <f t="shared" si="66"/>
        <v>2.4436066347387371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-5.6843418860808015E-13</v>
      </c>
      <c r="CU93" s="17">
        <f>CT93*VLOOKUP('Données projet'!$B$13,Paramètres!$A$1:$I$89,3,0)*VLOOKUP('Données projet'!$B$13,Paramètres!$A$1:$I$89,5,0)</f>
        <v>-3.177547114319168E-13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356.67698551373468</v>
      </c>
      <c r="CZ93" s="59">
        <f t="shared" si="96"/>
        <v>353.21836615408171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1.3920968647108367</v>
      </c>
      <c r="DG93" s="21">
        <f>EXP(-LN(2)/25)*DG92+(1-EXP(-LN(2)/25))/(LN(2)/25)*Calculateur!DB93*Calculateur!DD93*VLOOKUP('Données projet'!$B$13,Paramètres!$A$1:$I$89,3,0)*0.475*44/12</f>
        <v>5.7167046938851023</v>
      </c>
      <c r="DH93" s="21">
        <f>EXP(-LN(2)/2)*DH92+(1-EXP(-LN(2)/2))/(LN(2)/2)*DB93*DE93*VLOOKUP('Données projet'!$B$13,Paramètres!$A$1:$I$89,3,0)*0.475*44/12</f>
        <v>3.0288555073025861E-8</v>
      </c>
      <c r="DI93" s="22">
        <f t="shared" si="69"/>
        <v>7.1088015888844938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-4.5474735088646412E-13</v>
      </c>
      <c r="DP93" s="17">
        <f>DO93*VLOOKUP('Données projet'!$B$14,Paramètres!$A$1:$I$89,3,0)*VLOOKUP('Données projet'!$B$14,Paramètres!$A$1:$I$89,5,0)</f>
        <v>-2.7193891583010558E-13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247.30892363953825</v>
      </c>
      <c r="DU93" s="59">
        <f t="shared" si="98"/>
        <v>248.38414731596578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2.434480204124708</v>
      </c>
      <c r="EC93" s="21">
        <f>EXP(-LN(2)/2)*EC92+(1-EXP(-LN(2)/2))/(LN(2)/2)*DW93*DZ93*VLOOKUP('Données projet'!$B$14,Paramètres!$A$1:$I$89,3,0)*0.475*44/12</f>
        <v>2.2099688531662311E-8</v>
      </c>
      <c r="ED93" s="22">
        <f t="shared" si="72"/>
        <v>2.4344802262243967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-4.5474735088646412E-13</v>
      </c>
      <c r="EK93" s="17">
        <f>EJ93*VLOOKUP('Données projet'!$B$15,Paramètres!$A$1:$I$89,3,0)*VLOOKUP('Données projet'!$B$15,Paramètres!$A$1:$I$89,5,0)</f>
        <v>-2.7193891583010558E-13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247.30892363953825</v>
      </c>
      <c r="EP93" s="59">
        <f t="shared" si="100"/>
        <v>248.38414731596578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2.434480204124708</v>
      </c>
      <c r="EX93" s="21">
        <f>EXP(-LN(2)/2)*EX92+(1-EXP(-LN(2)/2))/(LN(2)/2)*ER93*EU93*VLOOKUP('Données projet'!$B$15,Paramètres!$A$1:$I$89,3,0)*0.475*44/12</f>
        <v>2.2099688531662311E-8</v>
      </c>
      <c r="EY93" s="22">
        <f t="shared" si="75"/>
        <v>2.4344802262243967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6.8212102632969618E-13</v>
      </c>
      <c r="FF93" s="17">
        <f>FE93*VLOOKUP('Données projet'!$B$16,Paramètres!$A$1:$I$89,3,0)*VLOOKUP('Données projet'!$B$16,Paramètres!$A$1:$I$89,5,0)</f>
        <v>3.2810021366458383E-13</v>
      </c>
      <c r="FG93" s="13">
        <f t="shared" si="101"/>
        <v>4.2923528923937213E-12</v>
      </c>
      <c r="FH93" s="20">
        <f t="shared" si="76"/>
        <v>8.0472891597182151E-12</v>
      </c>
      <c r="FI93" s="59">
        <f t="shared" si="77"/>
        <v>293.33333333334139</v>
      </c>
      <c r="FJ93" s="59">
        <f ca="1">AVERAGE(OFFSET($FI$3,0,0,'Données projet'!$E$16+1,1))-AVERAGE(OFFSET($H$3,0,0,'Données projet'!$E$16+1,1))</f>
        <v>322.54393676667081</v>
      </c>
      <c r="FK93" s="59">
        <f t="shared" si="102"/>
        <v>296.73904998640018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2.0534584981116639</v>
      </c>
      <c r="FR93" s="21">
        <f>EXP(-LN(2)/25)*FR92+(1-EXP(-LN(2)/25))/(LN(2)/25)*Calculateur!FM93*Calculateur!FO93*VLOOKUP('Données projet'!$B$16,Paramètres!$A$1:$I$89,3,0)*0.475*44/12</f>
        <v>2.5432086903916518</v>
      </c>
      <c r="FS93" s="21">
        <f>EXP(-LN(2)/2)*FS92+(1-EXP(-LN(2)/2))/(LN(2)/2)*FM93*FP93*VLOOKUP('Données projet'!$B$16,Paramètres!$A$1:$I$89,3,0)*0.475*44/12</f>
        <v>1.9476547304757717E-8</v>
      </c>
      <c r="FT93" s="22">
        <f t="shared" si="78"/>
        <v>4.5966672079798636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293.33333333333974</v>
      </c>
      <c r="S94" s="59">
        <f ca="1">AVERAGE(OFFSET($R$3,0,0,'Données projet'!$E$9+1,1))-AVERAGE(OFFSET($H$3,0,0,'Données projet'!$E$9+1,1))</f>
        <v>401.06118089678654</v>
      </c>
      <c r="T94" s="59">
        <f t="shared" si="88"/>
        <v>399.58193819355591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6.2527760746888816E-13</v>
      </c>
      <c r="AJ94" s="13">
        <f>AI94*VLOOKUP('Données projet'!$B$10,Paramètres!$A$1:$I$89,3,0)*VLOOKUP('Données projet'!$B$10,Paramètres!$A$1:$I$89,5,0)</f>
        <v>3.9017322706058616E-13</v>
      </c>
      <c r="AK94" s="13">
        <f t="shared" si="89"/>
        <v>5.0025007393608908E-12</v>
      </c>
      <c r="AL94" s="20">
        <f t="shared" si="58"/>
        <v>9.3922404915174053E-12</v>
      </c>
      <c r="AM94" s="59">
        <f t="shared" si="59"/>
        <v>293.33333333334269</v>
      </c>
      <c r="AN94" s="59">
        <f ca="1">AVERAGE(OFFSET($AM$3,0,0,'Données projet'!$E$10+1,1))-AVERAGE(OFFSET($H$3,0,0,'Données projet'!$E$10+1,1))</f>
        <v>240.30073883588199</v>
      </c>
      <c r="AO94" s="59">
        <f t="shared" si="90"/>
        <v>263.20351282678843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2.0774948412011689</v>
      </c>
      <c r="AV94" s="21">
        <f>EXP(-LN(2)/25)*AV93+(1-EXP(-LN(2)/25))/(LN(2)/25)*Calculateur!AQ94*Calculateur!AS94*VLOOKUP('Données projet'!$B$10,Paramètres!$A$1:$I$89,3,0)*0.475*44/12</f>
        <v>3.8308716914075198</v>
      </c>
      <c r="AW94" s="21">
        <f>EXP(-LN(2)/2)*AW93+(1-EXP(-LN(2)/2))/(LN(2)/2)*AQ94*AT94*VLOOKUP('Données projet'!$B$10,Paramètres!$A$1:$I$89,3,0)*0.475*44/12</f>
        <v>1.3296550661663923E-8</v>
      </c>
      <c r="AX94" s="21">
        <f t="shared" si="60"/>
        <v>5.9083665459052392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-1.0936673788819462E-13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364.67510777943329</v>
      </c>
      <c r="BJ94" s="59">
        <f t="shared" si="92"/>
        <v>352.13878061387169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2.6423137511527397</v>
      </c>
      <c r="BQ94" s="21">
        <f>EXP(-LN(2)/25)*BQ93+(1-EXP(-LN(2)/25))/(LN(2)/25)*Calculateur!BL94*Calculateur!BN94*VLOOKUP('Données projet'!$B$11,Paramètres!$A$1:$I$89,3,0)*0.475*44/12</f>
        <v>3.3199146424639658</v>
      </c>
      <c r="BR94" s="21">
        <f>EXP(-LN(2)/2)*BR93+(1-EXP(-LN(2)/2))/(LN(2)/2)*BL94*BO94*VLOOKUP('Données projet'!$B$11,Paramètres!$A$1:$I$89,3,0)*0.475*44/12</f>
        <v>1.8092559780517379E-8</v>
      </c>
      <c r="BS94" s="22">
        <f t="shared" si="63"/>
        <v>5.9622284117092645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559.69999999999993</v>
      </c>
      <c r="BZ94" s="13">
        <f>BY94*VLOOKUP('Données projet'!$B$12,Paramètres!$A$1:$I$89,3,0)*VLOOKUP('Données projet'!$B$12,Paramètres!$A$1:$I$89,5,0)</f>
        <v>261.93959999999998</v>
      </c>
      <c r="CA94" s="13">
        <f t="shared" si="93"/>
        <v>63.135643285567426</v>
      </c>
      <c r="CB94" s="20">
        <f t="shared" si="64"/>
        <v>566.1727153890298</v>
      </c>
      <c r="CC94" s="59">
        <f t="shared" si="65"/>
        <v>859.50604872236318</v>
      </c>
      <c r="CD94" s="59">
        <f ca="1">AVERAGE(OFFSET($CC$3,0,0,'Données projet'!$E$12+1,1))-AVERAGE(OFFSET($H$3,0,0,'Données projet'!$E$12+1,1))</f>
        <v>252.98248842635206</v>
      </c>
      <c r="CE94" s="59">
        <f t="shared" si="94"/>
        <v>207.11938580878308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0.93654209403792077</v>
      </c>
      <c r="CL94" s="21">
        <f>EXP(-LN(2)/25)*CL93+(1-EXP(-LN(2)/25))/(LN(2)/25)*Calculateur!CG94*Calculateur!CI94*VLOOKUP('Données projet'!$B$12,Paramètres!$A$1:$I$89,3,0)*0.475*44/12</f>
        <v>1.4476336605774676</v>
      </c>
      <c r="CM94" s="21">
        <f>EXP(-LN(2)/2)*CM93+(1-EXP(-LN(2)/2))/(LN(2)/2)*CG94*CJ94*VLOOKUP('Données projet'!$B$12,Paramètres!$A$1:$I$89,3,0)*0.475*44/12</f>
        <v>6.4749258226157884E-9</v>
      </c>
      <c r="CN94" s="22">
        <f t="shared" si="66"/>
        <v>2.3841757610903143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-5.6843418860808015E-13</v>
      </c>
      <c r="CU94" s="17">
        <f>CT94*VLOOKUP('Données projet'!$B$13,Paramètres!$A$1:$I$89,3,0)*VLOOKUP('Données projet'!$B$13,Paramètres!$A$1:$I$89,5,0)</f>
        <v>-3.177547114319168E-13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356.67698551373468</v>
      </c>
      <c r="CZ94" s="59">
        <f t="shared" si="96"/>
        <v>353.21836615408171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1.3647986942891035</v>
      </c>
      <c r="DG94" s="21">
        <f>EXP(-LN(2)/25)*DG93+(1-EXP(-LN(2)/25))/(LN(2)/25)*Calculateur!DB94*Calculateur!DD94*VLOOKUP('Données projet'!$B$13,Paramètres!$A$1:$I$89,3,0)*0.475*44/12</f>
        <v>5.5603811034023796</v>
      </c>
      <c r="DH94" s="21">
        <f>EXP(-LN(2)/2)*DH93+(1-EXP(-LN(2)/2))/(LN(2)/2)*DB94*DE94*VLOOKUP('Données projet'!$B$13,Paramètres!$A$1:$I$89,3,0)*0.475*44/12</f>
        <v>2.1417242684478792E-8</v>
      </c>
      <c r="DI94" s="22">
        <f t="shared" si="69"/>
        <v>6.9251798191087257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-4.5474735088646412E-13</v>
      </c>
      <c r="DP94" s="17">
        <f>DO94*VLOOKUP('Données projet'!$B$14,Paramètres!$A$1:$I$89,3,0)*VLOOKUP('Données projet'!$B$14,Paramètres!$A$1:$I$89,5,0)</f>
        <v>-2.7193891583010558E-13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247.30892363953825</v>
      </c>
      <c r="DU94" s="59">
        <f t="shared" si="98"/>
        <v>248.38414731596578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2.3679092149191678</v>
      </c>
      <c r="EC94" s="21">
        <f>EXP(-LN(2)/2)*EC93+(1-EXP(-LN(2)/2))/(LN(2)/2)*DW94*DZ94*VLOOKUP('Données projet'!$B$14,Paramètres!$A$1:$I$89,3,0)*0.475*44/12</f>
        <v>1.5626839622848995E-8</v>
      </c>
      <c r="ED94" s="22">
        <f t="shared" si="72"/>
        <v>2.3679092305460077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-4.5474735088646412E-13</v>
      </c>
      <c r="EK94" s="17">
        <f>EJ94*VLOOKUP('Données projet'!$B$15,Paramètres!$A$1:$I$89,3,0)*VLOOKUP('Données projet'!$B$15,Paramètres!$A$1:$I$89,5,0)</f>
        <v>-2.7193891583010558E-13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247.30892363953825</v>
      </c>
      <c r="EP94" s="59">
        <f t="shared" si="100"/>
        <v>248.38414731596578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2.3679092149191678</v>
      </c>
      <c r="EX94" s="21">
        <f>EXP(-LN(2)/2)*EX93+(1-EXP(-LN(2)/2))/(LN(2)/2)*ER94*EU94*VLOOKUP('Données projet'!$B$15,Paramètres!$A$1:$I$89,3,0)*0.475*44/12</f>
        <v>1.5626839622848995E-8</v>
      </c>
      <c r="EY94" s="22">
        <f t="shared" si="75"/>
        <v>2.3679092305460077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6.8212102632969618E-13</v>
      </c>
      <c r="FF94" s="17">
        <f>FE94*VLOOKUP('Données projet'!$B$16,Paramètres!$A$1:$I$89,3,0)*VLOOKUP('Données projet'!$B$16,Paramètres!$A$1:$I$89,5,0)</f>
        <v>3.2810021366458383E-13</v>
      </c>
      <c r="FG94" s="13">
        <f t="shared" si="101"/>
        <v>4.2923528923937213E-12</v>
      </c>
      <c r="FH94" s="20">
        <f t="shared" si="76"/>
        <v>8.0472891597182151E-12</v>
      </c>
      <c r="FI94" s="59">
        <f t="shared" si="77"/>
        <v>293.33333333334139</v>
      </c>
      <c r="FJ94" s="59">
        <f ca="1">AVERAGE(OFFSET($FI$3,0,0,'Données projet'!$E$16+1,1))-AVERAGE(OFFSET($H$3,0,0,'Données projet'!$E$16+1,1))</f>
        <v>322.54393676667081</v>
      </c>
      <c r="FK94" s="59">
        <f t="shared" si="102"/>
        <v>296.73904998640018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2.0131914294497055</v>
      </c>
      <c r="FR94" s="21">
        <f>EXP(-LN(2)/25)*FR93+(1-EXP(-LN(2)/25))/(LN(2)/25)*Calculateur!FM94*Calculateur!FO94*VLOOKUP('Données projet'!$B$16,Paramètres!$A$1:$I$89,3,0)*0.475*44/12</f>
        <v>2.4736645150113596</v>
      </c>
      <c r="FS94" s="21">
        <f>EXP(-LN(2)/2)*FS93+(1-EXP(-LN(2)/2))/(LN(2)/2)*FM94*FP94*VLOOKUP('Données projet'!$B$16,Paramètres!$A$1:$I$89,3,0)*0.475*44/12</f>
        <v>1.3771998673294757E-8</v>
      </c>
      <c r="FT94" s="22">
        <f t="shared" si="78"/>
        <v>4.4868559582330638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293.33333333333974</v>
      </c>
      <c r="S95" s="59">
        <f ca="1">AVERAGE(OFFSET($R$3,0,0,'Données projet'!$E$9+1,1))-AVERAGE(OFFSET($H$3,0,0,'Données projet'!$E$9+1,1))</f>
        <v>401.06118089678654</v>
      </c>
      <c r="T95" s="59">
        <f t="shared" si="88"/>
        <v>399.58193819355591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6.2527760746888816E-13</v>
      </c>
      <c r="AJ95" s="13">
        <f>AI95*VLOOKUP('Données projet'!$B$10,Paramètres!$A$1:$I$89,3,0)*VLOOKUP('Données projet'!$B$10,Paramètres!$A$1:$I$89,5,0)</f>
        <v>3.9017322706058616E-13</v>
      </c>
      <c r="AK95" s="13">
        <f t="shared" si="89"/>
        <v>5.0025007393608908E-12</v>
      </c>
      <c r="AL95" s="20">
        <f t="shared" si="58"/>
        <v>9.3922404915174053E-12</v>
      </c>
      <c r="AM95" s="59">
        <f t="shared" si="59"/>
        <v>293.33333333334269</v>
      </c>
      <c r="AN95" s="59">
        <f ca="1">AVERAGE(OFFSET($AM$3,0,0,'Données projet'!$E$10+1,1))-AVERAGE(OFFSET($H$3,0,0,'Données projet'!$E$10+1,1))</f>
        <v>240.30073883588199</v>
      </c>
      <c r="AO95" s="59">
        <f t="shared" si="90"/>
        <v>263.20351282678843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2.0367564345119469</v>
      </c>
      <c r="AV95" s="21">
        <f>EXP(-LN(2)/25)*AV94+(1-EXP(-LN(2)/25))/(LN(2)/25)*Calculateur!AQ95*Calculateur!AS95*VLOOKUP('Données projet'!$B$10,Paramètres!$A$1:$I$89,3,0)*0.475*44/12</f>
        <v>3.7261163035491944</v>
      </c>
      <c r="AW95" s="21">
        <f>EXP(-LN(2)/2)*AW94+(1-EXP(-LN(2)/2))/(LN(2)/2)*AQ95*AT95*VLOOKUP('Données projet'!$B$10,Paramètres!$A$1:$I$89,3,0)*0.475*44/12</f>
        <v>9.4020811392530352E-9</v>
      </c>
      <c r="AX95" s="21">
        <f t="shared" si="60"/>
        <v>5.7628727474632218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-1.0936673788819462E-13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364.67510777943329</v>
      </c>
      <c r="BJ95" s="59">
        <f t="shared" si="92"/>
        <v>352.13878061387169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2.5904995901448853</v>
      </c>
      <c r="BQ95" s="21">
        <f>EXP(-LN(2)/25)*BQ94+(1-EXP(-LN(2)/25))/(LN(2)/25)*Calculateur!BL95*Calculateur!BN95*VLOOKUP('Données projet'!$B$11,Paramètres!$A$1:$I$89,3,0)*0.475*44/12</f>
        <v>3.2291314019790653</v>
      </c>
      <c r="BR95" s="21">
        <f>EXP(-LN(2)/2)*BR94+(1-EXP(-LN(2)/2))/(LN(2)/2)*BL95*BO95*VLOOKUP('Données projet'!$B$11,Paramètres!$A$1:$I$89,3,0)*0.475*44/12</f>
        <v>1.2793371709826833E-8</v>
      </c>
      <c r="BS95" s="22">
        <f t="shared" si="63"/>
        <v>5.8196310049173228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578.19999999999993</v>
      </c>
      <c r="BZ95" s="13">
        <f>BY95*VLOOKUP('Données projet'!$B$12,Paramètres!$A$1:$I$89,3,0)*VLOOKUP('Données projet'!$B$12,Paramètres!$A$1:$I$89,5,0)</f>
        <v>270.59759999999994</v>
      </c>
      <c r="CA95" s="13">
        <f t="shared" si="93"/>
        <v>64.976078766498532</v>
      </c>
      <c r="CB95" s="20">
        <f t="shared" si="64"/>
        <v>584.45749051831808</v>
      </c>
      <c r="CC95" s="59">
        <f t="shared" si="65"/>
        <v>877.79082385165134</v>
      </c>
      <c r="CD95" s="59">
        <f ca="1">AVERAGE(OFFSET($CC$3,0,0,'Données projet'!$E$12+1,1))-AVERAGE(OFFSET($H$3,0,0,'Données projet'!$E$12+1,1))</f>
        <v>252.98248842635206</v>
      </c>
      <c r="CE95" s="59">
        <f t="shared" si="94"/>
        <v>207.11938580878308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0.91817707480810984</v>
      </c>
      <c r="CL95" s="21">
        <f>EXP(-LN(2)/25)*CL94+(1-EXP(-LN(2)/25))/(LN(2)/25)*Calculateur!CG95*Calculateur!CI95*VLOOKUP('Données projet'!$B$12,Paramètres!$A$1:$I$89,3,0)*0.475*44/12</f>
        <v>1.4080480420012311</v>
      </c>
      <c r="CM95" s="21">
        <f>EXP(-LN(2)/2)*CM94+(1-EXP(-LN(2)/2))/(LN(2)/2)*CG95*CJ95*VLOOKUP('Données projet'!$B$12,Paramètres!$A$1:$I$89,3,0)*0.475*44/12</f>
        <v>4.5784639568515084E-9</v>
      </c>
      <c r="CN95" s="22">
        <f t="shared" si="66"/>
        <v>2.3262251213878047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-5.6843418860808015E-13</v>
      </c>
      <c r="CU95" s="17">
        <f>CT95*VLOOKUP('Données projet'!$B$13,Paramètres!$A$1:$I$89,3,0)*VLOOKUP('Données projet'!$B$13,Paramètres!$A$1:$I$89,5,0)</f>
        <v>-3.177547114319168E-13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356.67698551373468</v>
      </c>
      <c r="CZ95" s="59">
        <f t="shared" si="96"/>
        <v>353.21836615408171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1.3380358243391006</v>
      </c>
      <c r="DG95" s="21">
        <f>EXP(-LN(2)/25)*DG94+(1-EXP(-LN(2)/25))/(LN(2)/25)*Calculateur!DB95*Calculateur!DD95*VLOOKUP('Données projet'!$B$13,Paramètres!$A$1:$I$89,3,0)*0.475*44/12</f>
        <v>5.4083321897221079</v>
      </c>
      <c r="DH95" s="21">
        <f>EXP(-LN(2)/2)*DH94+(1-EXP(-LN(2)/2))/(LN(2)/2)*DB95*DE95*VLOOKUP('Données projet'!$B$13,Paramètres!$A$1:$I$89,3,0)*0.475*44/12</f>
        <v>1.5144277536512931E-8</v>
      </c>
      <c r="DI95" s="22">
        <f t="shared" si="69"/>
        <v>6.7463680292054864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-4.5474735088646412E-13</v>
      </c>
      <c r="DP95" s="17">
        <f>DO95*VLOOKUP('Données projet'!$B$14,Paramètres!$A$1:$I$89,3,0)*VLOOKUP('Données projet'!$B$14,Paramètres!$A$1:$I$89,5,0)</f>
        <v>-2.7193891583010558E-13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247.30892363953825</v>
      </c>
      <c r="DU95" s="59">
        <f t="shared" si="98"/>
        <v>248.38414731596578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2.3031586129142694</v>
      </c>
      <c r="EC95" s="21">
        <f>EXP(-LN(2)/2)*EC94+(1-EXP(-LN(2)/2))/(LN(2)/2)*DW95*DZ95*VLOOKUP('Données projet'!$B$14,Paramètres!$A$1:$I$89,3,0)*0.475*44/12</f>
        <v>1.1049844265831155E-8</v>
      </c>
      <c r="ED95" s="22">
        <f t="shared" si="72"/>
        <v>2.3031586239641135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-4.5474735088646412E-13</v>
      </c>
      <c r="EK95" s="17">
        <f>EJ95*VLOOKUP('Données projet'!$B$15,Paramètres!$A$1:$I$89,3,0)*VLOOKUP('Données projet'!$B$15,Paramètres!$A$1:$I$89,5,0)</f>
        <v>-2.7193891583010558E-13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247.30892363953825</v>
      </c>
      <c r="EP95" s="59">
        <f t="shared" si="100"/>
        <v>248.38414731596578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2.3031586129142694</v>
      </c>
      <c r="EX95" s="21">
        <f>EXP(-LN(2)/2)*EX94+(1-EXP(-LN(2)/2))/(LN(2)/2)*ER95*EU95*VLOOKUP('Données projet'!$B$15,Paramètres!$A$1:$I$89,3,0)*0.475*44/12</f>
        <v>1.1049844265831155E-8</v>
      </c>
      <c r="EY95" s="22">
        <f t="shared" si="75"/>
        <v>2.3031586239641135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6.8212102632969618E-13</v>
      </c>
      <c r="FF95" s="17">
        <f>FE95*VLOOKUP('Données projet'!$B$16,Paramètres!$A$1:$I$89,3,0)*VLOOKUP('Données projet'!$B$16,Paramètres!$A$1:$I$89,5,0)</f>
        <v>3.2810021366458383E-13</v>
      </c>
      <c r="FG95" s="13">
        <f t="shared" si="101"/>
        <v>4.2923528923937213E-12</v>
      </c>
      <c r="FH95" s="20">
        <f t="shared" si="76"/>
        <v>8.0472891597182151E-12</v>
      </c>
      <c r="FI95" s="59">
        <f t="shared" si="77"/>
        <v>293.33333333334139</v>
      </c>
      <c r="FJ95" s="59">
        <f ca="1">AVERAGE(OFFSET($FI$3,0,0,'Données projet'!$E$16+1,1))-AVERAGE(OFFSET($H$3,0,0,'Données projet'!$E$16+1,1))</f>
        <v>322.54393676667081</v>
      </c>
      <c r="FK95" s="59">
        <f t="shared" si="102"/>
        <v>296.73904998640018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1.9737139734437212</v>
      </c>
      <c r="FR95" s="21">
        <f>EXP(-LN(2)/25)*FR94+(1-EXP(-LN(2)/25))/(LN(2)/25)*Calculateur!FM95*Calculateur!FO95*VLOOKUP('Données projet'!$B$16,Paramètres!$A$1:$I$89,3,0)*0.475*44/12</f>
        <v>2.4060220287640108</v>
      </c>
      <c r="FS95" s="21">
        <f>EXP(-LN(2)/2)*FS94+(1-EXP(-LN(2)/2))/(LN(2)/2)*FM95*FP95*VLOOKUP('Données projet'!$B$16,Paramètres!$A$1:$I$89,3,0)*0.475*44/12</f>
        <v>9.7382736523788586E-9</v>
      </c>
      <c r="FT95" s="22">
        <f t="shared" si="78"/>
        <v>4.3797360119460054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293.33333333333974</v>
      </c>
      <c r="S96" s="59">
        <f ca="1">AVERAGE(OFFSET($R$3,0,0,'Données projet'!$E$9+1,1))-AVERAGE(OFFSET($H$3,0,0,'Données projet'!$E$9+1,1))</f>
        <v>401.06118089678654</v>
      </c>
      <c r="T96" s="59">
        <f t="shared" si="88"/>
        <v>399.58193819355591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6.2527760746888816E-13</v>
      </c>
      <c r="AJ96" s="13">
        <f>AI96*VLOOKUP('Données projet'!$B$10,Paramètres!$A$1:$I$89,3,0)*VLOOKUP('Données projet'!$B$10,Paramètres!$A$1:$I$89,5,0)</f>
        <v>3.9017322706058616E-13</v>
      </c>
      <c r="AK96" s="13">
        <f t="shared" si="89"/>
        <v>5.0025007393608908E-12</v>
      </c>
      <c r="AL96" s="20">
        <f t="shared" si="58"/>
        <v>9.3922404915174053E-12</v>
      </c>
      <c r="AM96" s="59">
        <f t="shared" si="59"/>
        <v>293.33333333334269</v>
      </c>
      <c r="AN96" s="59">
        <f ca="1">AVERAGE(OFFSET($AM$3,0,0,'Données projet'!$E$10+1,1))-AVERAGE(OFFSET($H$3,0,0,'Données projet'!$E$10+1,1))</f>
        <v>240.30073883588199</v>
      </c>
      <c r="AO96" s="59">
        <f t="shared" si="90"/>
        <v>263.20351282678843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1.9968168831299258</v>
      </c>
      <c r="AV96" s="21">
        <f>EXP(-LN(2)/25)*AV95+(1-EXP(-LN(2)/25))/(LN(2)/25)*Calculateur!AQ96*Calculateur!AS96*VLOOKUP('Données projet'!$B$10,Paramètres!$A$1:$I$89,3,0)*0.475*44/12</f>
        <v>3.6242254572807013</v>
      </c>
      <c r="AW96" s="21">
        <f>EXP(-LN(2)/2)*AW95+(1-EXP(-LN(2)/2))/(LN(2)/2)*AQ96*AT96*VLOOKUP('Données projet'!$B$10,Paramètres!$A$1:$I$89,3,0)*0.475*44/12</f>
        <v>6.6482753308319615E-9</v>
      </c>
      <c r="AX96" s="21">
        <f t="shared" si="60"/>
        <v>5.6210423470589026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-1.0936673788819462E-13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364.67510777943329</v>
      </c>
      <c r="BJ96" s="59">
        <f t="shared" si="92"/>
        <v>352.13878061387169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2.5397014732308771</v>
      </c>
      <c r="BQ96" s="21">
        <f>EXP(-LN(2)/25)*BQ95+(1-EXP(-LN(2)/25))/(LN(2)/25)*Calculateur!BL96*Calculateur!BN96*VLOOKUP('Données projet'!$B$11,Paramètres!$A$1:$I$89,3,0)*0.475*44/12</f>
        <v>3.1408306339793075</v>
      </c>
      <c r="BR96" s="21">
        <f>EXP(-LN(2)/2)*BR95+(1-EXP(-LN(2)/2))/(LN(2)/2)*BL96*BO96*VLOOKUP('Données projet'!$B$11,Paramètres!$A$1:$I$89,3,0)*0.475*44/12</f>
        <v>9.0462798902586896E-9</v>
      </c>
      <c r="BS96" s="22">
        <f t="shared" si="63"/>
        <v>5.6805321162564653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596.69999999999993</v>
      </c>
      <c r="BZ96" s="13">
        <f>BY96*VLOOKUP('Données projet'!$B$12,Paramètres!$A$1:$I$89,3,0)*VLOOKUP('Données projet'!$B$12,Paramètres!$A$1:$I$89,5,0)</f>
        <v>279.25559999999996</v>
      </c>
      <c r="CA96" s="13">
        <f t="shared" si="93"/>
        <v>66.809671397146161</v>
      </c>
      <c r="CB96" s="20">
        <f t="shared" si="64"/>
        <v>602.73034768336277</v>
      </c>
      <c r="CC96" s="59">
        <f t="shared" si="65"/>
        <v>896.06368101669614</v>
      </c>
      <c r="CD96" s="59">
        <f ca="1">AVERAGE(OFFSET($CC$3,0,0,'Données projet'!$E$12+1,1))-AVERAGE(OFFSET($H$3,0,0,'Données projet'!$E$12+1,1))</f>
        <v>252.98248842635206</v>
      </c>
      <c r="CE96" s="59">
        <f t="shared" si="94"/>
        <v>207.11938580878308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0.90017218240383978</v>
      </c>
      <c r="CL96" s="21">
        <f>EXP(-LN(2)/25)*CL95+(1-EXP(-LN(2)/25))/(LN(2)/25)*Calculateur!CG96*Calculateur!CI96*VLOOKUP('Données projet'!$B$12,Paramètres!$A$1:$I$89,3,0)*0.475*44/12</f>
        <v>1.369544894246679</v>
      </c>
      <c r="CM96" s="21">
        <f>EXP(-LN(2)/2)*CM95+(1-EXP(-LN(2)/2))/(LN(2)/2)*CG96*CJ96*VLOOKUP('Données projet'!$B$12,Paramètres!$A$1:$I$89,3,0)*0.475*44/12</f>
        <v>3.2374629113078942E-9</v>
      </c>
      <c r="CN96" s="22">
        <f t="shared" si="66"/>
        <v>2.2697170798879815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-5.6843418860808015E-13</v>
      </c>
      <c r="CU96" s="17">
        <f>CT96*VLOOKUP('Données projet'!$B$13,Paramètres!$A$1:$I$89,3,0)*VLOOKUP('Données projet'!$B$13,Paramètres!$A$1:$I$89,5,0)</f>
        <v>-3.177547114319168E-13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356.67698551373468</v>
      </c>
      <c r="CZ96" s="59">
        <f t="shared" si="96"/>
        <v>353.21836615408171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1.3117977579450784</v>
      </c>
      <c r="DG96" s="21">
        <f>EXP(-LN(2)/25)*DG95+(1-EXP(-LN(2)/25))/(LN(2)/25)*Calculateur!DB96*Calculateur!DD96*VLOOKUP('Données projet'!$B$13,Paramètres!$A$1:$I$89,3,0)*0.475*44/12</f>
        <v>5.2604410615823278</v>
      </c>
      <c r="DH96" s="21">
        <f>EXP(-LN(2)/2)*DH95+(1-EXP(-LN(2)/2))/(LN(2)/2)*DB96*DE96*VLOOKUP('Données projet'!$B$13,Paramètres!$A$1:$I$89,3,0)*0.475*44/12</f>
        <v>1.0708621342239396E-8</v>
      </c>
      <c r="DI96" s="22">
        <f t="shared" si="69"/>
        <v>6.572238830236028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-4.5474735088646412E-13</v>
      </c>
      <c r="DP96" s="17">
        <f>DO96*VLOOKUP('Données projet'!$B$14,Paramètres!$A$1:$I$89,3,0)*VLOOKUP('Données projet'!$B$14,Paramètres!$A$1:$I$89,5,0)</f>
        <v>-2.7193891583010558E-13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247.30892363953825</v>
      </c>
      <c r="DU96" s="59">
        <f t="shared" si="98"/>
        <v>248.38414731596578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2.2401786195262812</v>
      </c>
      <c r="EC96" s="21">
        <f>EXP(-LN(2)/2)*EC95+(1-EXP(-LN(2)/2))/(LN(2)/2)*DW96*DZ96*VLOOKUP('Données projet'!$B$14,Paramètres!$A$1:$I$89,3,0)*0.475*44/12</f>
        <v>7.8134198114244975E-9</v>
      </c>
      <c r="ED96" s="22">
        <f t="shared" si="72"/>
        <v>2.2401786273397009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-4.5474735088646412E-13</v>
      </c>
      <c r="EK96" s="17">
        <f>EJ96*VLOOKUP('Données projet'!$B$15,Paramètres!$A$1:$I$89,3,0)*VLOOKUP('Données projet'!$B$15,Paramètres!$A$1:$I$89,5,0)</f>
        <v>-2.7193891583010558E-13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247.30892363953825</v>
      </c>
      <c r="EP96" s="59">
        <f t="shared" si="100"/>
        <v>248.38414731596578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2.2401786195262812</v>
      </c>
      <c r="EX96" s="21">
        <f>EXP(-LN(2)/2)*EX95+(1-EXP(-LN(2)/2))/(LN(2)/2)*ER96*EU96*VLOOKUP('Données projet'!$B$15,Paramètres!$A$1:$I$89,3,0)*0.475*44/12</f>
        <v>7.8134198114244975E-9</v>
      </c>
      <c r="EY96" s="22">
        <f t="shared" si="75"/>
        <v>2.2401786273397009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6.8212102632969618E-13</v>
      </c>
      <c r="FF96" s="17">
        <f>FE96*VLOOKUP('Données projet'!$B$16,Paramètres!$A$1:$I$89,3,0)*VLOOKUP('Données projet'!$B$16,Paramètres!$A$1:$I$89,5,0)</f>
        <v>3.2810021366458383E-13</v>
      </c>
      <c r="FG96" s="13">
        <f t="shared" si="101"/>
        <v>4.2923528923937213E-12</v>
      </c>
      <c r="FH96" s="20">
        <f t="shared" si="76"/>
        <v>8.0472891597182151E-12</v>
      </c>
      <c r="FI96" s="59">
        <f t="shared" si="77"/>
        <v>293.33333333334139</v>
      </c>
      <c r="FJ96" s="59">
        <f ca="1">AVERAGE(OFFSET($FI$3,0,0,'Données projet'!$E$16+1,1))-AVERAGE(OFFSET($H$3,0,0,'Données projet'!$E$16+1,1))</f>
        <v>322.54393676667081</v>
      </c>
      <c r="FK96" s="59">
        <f t="shared" si="102"/>
        <v>296.73904998640018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1.9350106462711436</v>
      </c>
      <c r="FR96" s="21">
        <f>EXP(-LN(2)/25)*FR95+(1-EXP(-LN(2)/25))/(LN(2)/25)*Calculateur!FM96*Calculateur!FO96*VLOOKUP('Données projet'!$B$16,Paramètres!$A$1:$I$89,3,0)*0.475*44/12</f>
        <v>2.3402292298602596</v>
      </c>
      <c r="FS96" s="21">
        <f>EXP(-LN(2)/2)*FS95+(1-EXP(-LN(2)/2))/(LN(2)/2)*FM96*FP96*VLOOKUP('Données projet'!$B$16,Paramètres!$A$1:$I$89,3,0)*0.475*44/12</f>
        <v>6.8859993366473786E-9</v>
      </c>
      <c r="FT96" s="22">
        <f t="shared" si="78"/>
        <v>4.2752398830174023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293.33333333333974</v>
      </c>
      <c r="S97" s="59">
        <f ca="1">AVERAGE(OFFSET($R$3,0,0,'Données projet'!$E$9+1,1))-AVERAGE(OFFSET($H$3,0,0,'Données projet'!$E$9+1,1))</f>
        <v>401.06118089678654</v>
      </c>
      <c r="T97" s="59">
        <f t="shared" si="88"/>
        <v>399.58193819355591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6.2527760746888816E-13</v>
      </c>
      <c r="AJ97" s="13">
        <f>AI97*VLOOKUP('Données projet'!$B$10,Paramètres!$A$1:$I$89,3,0)*VLOOKUP('Données projet'!$B$10,Paramètres!$A$1:$I$89,5,0)</f>
        <v>3.9017322706058616E-13</v>
      </c>
      <c r="AK97" s="13">
        <f t="shared" si="89"/>
        <v>5.0025007393608908E-12</v>
      </c>
      <c r="AL97" s="20">
        <f t="shared" si="58"/>
        <v>9.3922404915174053E-12</v>
      </c>
      <c r="AM97" s="59">
        <f t="shared" si="59"/>
        <v>293.33333333334269</v>
      </c>
      <c r="AN97" s="59">
        <f ca="1">AVERAGE(OFFSET($AM$3,0,0,'Données projet'!$E$10+1,1))-AVERAGE(OFFSET($H$3,0,0,'Données projet'!$E$10+1,1))</f>
        <v>240.30073883588199</v>
      </c>
      <c r="AO97" s="59">
        <f t="shared" si="90"/>
        <v>263.20351282678843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1.9576605219897854</v>
      </c>
      <c r="AV97" s="21">
        <f>EXP(-LN(2)/25)*AV96+(1-EXP(-LN(2)/25))/(LN(2)/25)*Calculateur!AQ97*Calculateur!AS97*VLOOKUP('Données projet'!$B$10,Paramètres!$A$1:$I$89,3,0)*0.475*44/12</f>
        <v>3.525120821561627</v>
      </c>
      <c r="AW97" s="21">
        <f>EXP(-LN(2)/2)*AW96+(1-EXP(-LN(2)/2))/(LN(2)/2)*AQ97*AT97*VLOOKUP('Données projet'!$B$10,Paramètres!$A$1:$I$89,3,0)*0.475*44/12</f>
        <v>4.7010405696265176E-9</v>
      </c>
      <c r="AX97" s="21">
        <f t="shared" si="60"/>
        <v>5.4827813482524528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-1.0936673788819462E-13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364.67510777943329</v>
      </c>
      <c r="BJ97" s="59">
        <f t="shared" si="92"/>
        <v>352.13878061387169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2.4898994764057609</v>
      </c>
      <c r="BQ97" s="21">
        <f>EXP(-LN(2)/25)*BQ96+(1-EXP(-LN(2)/25))/(LN(2)/25)*Calculateur!BL97*Calculateur!BN97*VLOOKUP('Données projet'!$B$11,Paramètres!$A$1:$I$89,3,0)*0.475*44/12</f>
        <v>3.0549444551240388</v>
      </c>
      <c r="BR97" s="21">
        <f>EXP(-LN(2)/2)*BR96+(1-EXP(-LN(2)/2))/(LN(2)/2)*BL97*BO97*VLOOKUP('Données projet'!$B$11,Paramètres!$A$1:$I$89,3,0)*0.475*44/12</f>
        <v>6.3966858549134165E-9</v>
      </c>
      <c r="BS97" s="22">
        <f t="shared" si="63"/>
        <v>5.5448439379264851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615.19999999999993</v>
      </c>
      <c r="BZ97" s="13">
        <f>BY97*VLOOKUP('Données projet'!$B$12,Paramètres!$A$1:$I$89,3,0)*VLOOKUP('Données projet'!$B$12,Paramètres!$A$1:$I$89,5,0)</f>
        <v>287.91359999999997</v>
      </c>
      <c r="CA97" s="13">
        <f t="shared" si="93"/>
        <v>68.636657677063752</v>
      </c>
      <c r="CB97" s="20">
        <f t="shared" si="64"/>
        <v>620.99169878755254</v>
      </c>
      <c r="CC97" s="59">
        <f t="shared" si="65"/>
        <v>914.32503212088591</v>
      </c>
      <c r="CD97" s="59">
        <f ca="1">AVERAGE(OFFSET($CC$3,0,0,'Données projet'!$E$12+1,1))-AVERAGE(OFFSET($H$3,0,0,'Données projet'!$E$12+1,1))</f>
        <v>252.98248842635206</v>
      </c>
      <c r="CE97" s="59">
        <f t="shared" si="94"/>
        <v>207.11938580878308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0.88252035495771752</v>
      </c>
      <c r="CL97" s="21">
        <f>EXP(-LN(2)/25)*CL96+(1-EXP(-LN(2)/25))/(LN(2)/25)*Calculateur!CG97*Calculateur!CI97*VLOOKUP('Données projet'!$B$12,Paramètres!$A$1:$I$89,3,0)*0.475*44/12</f>
        <v>1.3320946170922678</v>
      </c>
      <c r="CM97" s="21">
        <f>EXP(-LN(2)/2)*CM96+(1-EXP(-LN(2)/2))/(LN(2)/2)*CG97*CJ97*VLOOKUP('Données projet'!$B$12,Paramètres!$A$1:$I$89,3,0)*0.475*44/12</f>
        <v>2.2892319784257542E-9</v>
      </c>
      <c r="CN97" s="22">
        <f t="shared" si="66"/>
        <v>2.2146149743392174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-5.6843418860808015E-13</v>
      </c>
      <c r="CU97" s="17">
        <f>CT97*VLOOKUP('Données projet'!$B$13,Paramètres!$A$1:$I$89,3,0)*VLOOKUP('Données projet'!$B$13,Paramètres!$A$1:$I$89,5,0)</f>
        <v>-3.177547114319168E-13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356.67698551373468</v>
      </c>
      <c r="CZ97" s="59">
        <f t="shared" si="96"/>
        <v>353.21836615408171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1.2860742040294026</v>
      </c>
      <c r="DG97" s="21">
        <f>EXP(-LN(2)/25)*DG96+(1-EXP(-LN(2)/25))/(LN(2)/25)*Calculateur!DB97*Calculateur!DD97*VLOOKUP('Données projet'!$B$13,Paramètres!$A$1:$I$89,3,0)*0.475*44/12</f>
        <v>5.1165940241187862</v>
      </c>
      <c r="DH97" s="21">
        <f>EXP(-LN(2)/2)*DH96+(1-EXP(-LN(2)/2))/(LN(2)/2)*DB97*DE97*VLOOKUP('Données projet'!$B$13,Paramètres!$A$1:$I$89,3,0)*0.475*44/12</f>
        <v>7.5721387682564654E-9</v>
      </c>
      <c r="DI97" s="22">
        <f t="shared" si="69"/>
        <v>6.4026682357203271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-4.5474735088646412E-13</v>
      </c>
      <c r="DP97" s="17">
        <f>DO97*VLOOKUP('Données projet'!$B$14,Paramètres!$A$1:$I$89,3,0)*VLOOKUP('Données projet'!$B$14,Paramètres!$A$1:$I$89,5,0)</f>
        <v>-2.7193891583010558E-13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247.30892363953825</v>
      </c>
      <c r="DU97" s="59">
        <f t="shared" si="98"/>
        <v>248.38414731596578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2.1789208173694612</v>
      </c>
      <c r="EC97" s="21">
        <f>EXP(-LN(2)/2)*EC96+(1-EXP(-LN(2)/2))/(LN(2)/2)*DW97*DZ97*VLOOKUP('Données projet'!$B$14,Paramètres!$A$1:$I$89,3,0)*0.475*44/12</f>
        <v>5.5249221329155777E-9</v>
      </c>
      <c r="ED97" s="22">
        <f t="shared" si="72"/>
        <v>2.1789208228943835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-4.5474735088646412E-13</v>
      </c>
      <c r="EK97" s="17">
        <f>EJ97*VLOOKUP('Données projet'!$B$15,Paramètres!$A$1:$I$89,3,0)*VLOOKUP('Données projet'!$B$15,Paramètres!$A$1:$I$89,5,0)</f>
        <v>-2.7193891583010558E-13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247.30892363953825</v>
      </c>
      <c r="EP97" s="59">
        <f t="shared" si="100"/>
        <v>248.38414731596578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2.1789208173694612</v>
      </c>
      <c r="EX97" s="21">
        <f>EXP(-LN(2)/2)*EX96+(1-EXP(-LN(2)/2))/(LN(2)/2)*ER97*EU97*VLOOKUP('Données projet'!$B$15,Paramètres!$A$1:$I$89,3,0)*0.475*44/12</f>
        <v>5.5249221329155777E-9</v>
      </c>
      <c r="EY97" s="22">
        <f t="shared" si="75"/>
        <v>2.1789208228943835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6.8212102632969618E-13</v>
      </c>
      <c r="FF97" s="17">
        <f>FE97*VLOOKUP('Données projet'!$B$16,Paramètres!$A$1:$I$89,3,0)*VLOOKUP('Données projet'!$B$16,Paramètres!$A$1:$I$89,5,0)</f>
        <v>3.2810021366458383E-13</v>
      </c>
      <c r="FG97" s="13">
        <f t="shared" si="101"/>
        <v>4.2923528923937213E-12</v>
      </c>
      <c r="FH97" s="20">
        <f t="shared" si="76"/>
        <v>8.0472891597182151E-12</v>
      </c>
      <c r="FI97" s="59">
        <f t="shared" si="77"/>
        <v>293.33333333334139</v>
      </c>
      <c r="FJ97" s="59">
        <f ca="1">AVERAGE(OFFSET($FI$3,0,0,'Données projet'!$E$16+1,1))-AVERAGE(OFFSET($H$3,0,0,'Données projet'!$E$16+1,1))</f>
        <v>322.54393676667081</v>
      </c>
      <c r="FK97" s="59">
        <f t="shared" si="102"/>
        <v>296.73904998640018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1.8970662677377217</v>
      </c>
      <c r="FR97" s="21">
        <f>EXP(-LN(2)/25)*FR96+(1-EXP(-LN(2)/25))/(LN(2)/25)*Calculateur!FM97*Calculateur!FO97*VLOOKUP('Données projet'!$B$16,Paramètres!$A$1:$I$89,3,0)*0.475*44/12</f>
        <v>2.2762355385024242</v>
      </c>
      <c r="FS97" s="21">
        <f>EXP(-LN(2)/2)*FS96+(1-EXP(-LN(2)/2))/(LN(2)/2)*FM97*FP97*VLOOKUP('Données projet'!$B$16,Paramètres!$A$1:$I$89,3,0)*0.475*44/12</f>
        <v>4.8691368261894293E-9</v>
      </c>
      <c r="FT97" s="22">
        <f t="shared" si="78"/>
        <v>4.1733018111092832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293.33333333333974</v>
      </c>
      <c r="S98" s="59">
        <f ca="1">AVERAGE(OFFSET($R$3,0,0,'Données projet'!$E$9+1,1))-AVERAGE(OFFSET($H$3,0,0,'Données projet'!$E$9+1,1))</f>
        <v>401.06118089678654</v>
      </c>
      <c r="T98" s="59">
        <f t="shared" si="88"/>
        <v>399.58193819355591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6.2527760746888816E-13</v>
      </c>
      <c r="AJ98" s="13">
        <f>AI98*VLOOKUP('Données projet'!$B$10,Paramètres!$A$1:$I$89,3,0)*VLOOKUP('Données projet'!$B$10,Paramètres!$A$1:$I$89,5,0)</f>
        <v>3.9017322706058616E-13</v>
      </c>
      <c r="AK98" s="13">
        <f t="shared" si="89"/>
        <v>5.0025007393608908E-12</v>
      </c>
      <c r="AL98" s="20">
        <f t="shared" si="58"/>
        <v>9.3922404915174053E-12</v>
      </c>
      <c r="AM98" s="59">
        <f t="shared" si="59"/>
        <v>293.33333333334269</v>
      </c>
      <c r="AN98" s="59">
        <f ca="1">AVERAGE(OFFSET($AM$3,0,0,'Données projet'!$E$10+1,1))-AVERAGE(OFFSET($H$3,0,0,'Données projet'!$E$10+1,1))</f>
        <v>240.30073883588199</v>
      </c>
      <c r="AO98" s="59">
        <f t="shared" si="90"/>
        <v>263.20351282678843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1.9192719932085809</v>
      </c>
      <c r="AV98" s="21">
        <f>EXP(-LN(2)/25)*AV97+(1-EXP(-LN(2)/25))/(LN(2)/25)*Calculateur!AQ98*Calculateur!AS98*VLOOKUP('Données projet'!$B$10,Paramètres!$A$1:$I$89,3,0)*0.475*44/12</f>
        <v>3.4287262073179772</v>
      </c>
      <c r="AW98" s="21">
        <f>EXP(-LN(2)/2)*AW97+(1-EXP(-LN(2)/2))/(LN(2)/2)*AQ98*AT98*VLOOKUP('Données projet'!$B$10,Paramètres!$A$1:$I$89,3,0)*0.475*44/12</f>
        <v>3.3241376654159808E-9</v>
      </c>
      <c r="AX98" s="21">
        <f t="shared" si="60"/>
        <v>5.347998203850695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-1.0936673788819462E-13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364.67510777943329</v>
      </c>
      <c r="BJ98" s="59">
        <f t="shared" si="92"/>
        <v>352.13878061387169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2.4410740663621664</v>
      </c>
      <c r="BQ98" s="21">
        <f>EXP(-LN(2)/25)*BQ97+(1-EXP(-LN(2)/25))/(LN(2)/25)*Calculateur!BL98*Calculateur!BN98*VLOOKUP('Données projet'!$B$11,Paramètres!$A$1:$I$89,3,0)*0.475*44/12</f>
        <v>2.9714068383461254</v>
      </c>
      <c r="BR98" s="21">
        <f>EXP(-LN(2)/2)*BR97+(1-EXP(-LN(2)/2))/(LN(2)/2)*BL98*BO98*VLOOKUP('Données projet'!$B$11,Paramètres!$A$1:$I$89,3,0)*0.475*44/12</f>
        <v>4.5231399451293448E-9</v>
      </c>
      <c r="BS98" s="22">
        <f t="shared" si="63"/>
        <v>5.4124809092314319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633.69999999999993</v>
      </c>
      <c r="BZ98" s="13">
        <f>BY98*VLOOKUP('Données projet'!$B$12,Paramètres!$A$1:$I$89,3,0)*VLOOKUP('Données projet'!$B$12,Paramètres!$A$1:$I$89,5,0)</f>
        <v>296.57159999999999</v>
      </c>
      <c r="CA98" s="13">
        <f t="shared" si="93"/>
        <v>70.457259073622822</v>
      </c>
      <c r="CB98" s="20">
        <f t="shared" si="64"/>
        <v>639.24192955322633</v>
      </c>
      <c r="CC98" s="59">
        <f t="shared" si="65"/>
        <v>932.57526288655959</v>
      </c>
      <c r="CD98" s="59">
        <f ca="1">AVERAGE(OFFSET($CC$3,0,0,'Données projet'!$E$12+1,1))-AVERAGE(OFFSET($H$3,0,0,'Données projet'!$E$12+1,1))</f>
        <v>252.98248842635206</v>
      </c>
      <c r="CE98" s="59">
        <f t="shared" si="94"/>
        <v>207.11938580878308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0.8652146690812621</v>
      </c>
      <c r="CL98" s="21">
        <f>EXP(-LN(2)/25)*CL97+(1-EXP(-LN(2)/25))/(LN(2)/25)*Calculateur!CG98*Calculateur!CI98*VLOOKUP('Données projet'!$B$12,Paramètres!$A$1:$I$89,3,0)*0.475*44/12</f>
        <v>1.2956684197360684</v>
      </c>
      <c r="CM98" s="21">
        <f>EXP(-LN(2)/2)*CM97+(1-EXP(-LN(2)/2))/(LN(2)/2)*CG98*CJ98*VLOOKUP('Données projet'!$B$12,Paramètres!$A$1:$I$89,3,0)*0.475*44/12</f>
        <v>1.6187314556539471E-9</v>
      </c>
      <c r="CN98" s="22">
        <f t="shared" si="66"/>
        <v>2.1608830904360619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-5.6843418860808015E-13</v>
      </c>
      <c r="CU98" s="17">
        <f>CT98*VLOOKUP('Données projet'!$B$13,Paramètres!$A$1:$I$89,3,0)*VLOOKUP('Données projet'!$B$13,Paramètres!$A$1:$I$89,5,0)</f>
        <v>-3.177547114319168E-13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356.67698551373468</v>
      </c>
      <c r="CZ98" s="59">
        <f t="shared" si="96"/>
        <v>353.21836615408171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1.2608550733161947</v>
      </c>
      <c r="DG98" s="21">
        <f>EXP(-LN(2)/25)*DG97+(1-EXP(-LN(2)/25))/(LN(2)/25)*Calculateur!DB98*Calculateur!DD98*VLOOKUP('Données projet'!$B$13,Paramètres!$A$1:$I$89,3,0)*0.475*44/12</f>
        <v>4.9766804914592724</v>
      </c>
      <c r="DH98" s="21">
        <f>EXP(-LN(2)/2)*DH97+(1-EXP(-LN(2)/2))/(LN(2)/2)*DB98*DE98*VLOOKUP('Données projet'!$B$13,Paramètres!$A$1:$I$89,3,0)*0.475*44/12</f>
        <v>5.3543106711196979E-9</v>
      </c>
      <c r="DI98" s="22">
        <f t="shared" si="69"/>
        <v>6.2375355701297774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-4.5474735088646412E-13</v>
      </c>
      <c r="DP98" s="17">
        <f>DO98*VLOOKUP('Données projet'!$B$14,Paramètres!$A$1:$I$89,3,0)*VLOOKUP('Données projet'!$B$14,Paramètres!$A$1:$I$89,5,0)</f>
        <v>-2.7193891583010558E-13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247.30892363953825</v>
      </c>
      <c r="DU98" s="59">
        <f t="shared" si="98"/>
        <v>248.38414731596578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2.1193381130340274</v>
      </c>
      <c r="EC98" s="21">
        <f>EXP(-LN(2)/2)*EC97+(1-EXP(-LN(2)/2))/(LN(2)/2)*DW98*DZ98*VLOOKUP('Données projet'!$B$14,Paramètres!$A$1:$I$89,3,0)*0.475*44/12</f>
        <v>3.9067099057122488E-9</v>
      </c>
      <c r="ED98" s="22">
        <f t="shared" si="72"/>
        <v>2.1193381169407375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-4.5474735088646412E-13</v>
      </c>
      <c r="EK98" s="17">
        <f>EJ98*VLOOKUP('Données projet'!$B$15,Paramètres!$A$1:$I$89,3,0)*VLOOKUP('Données projet'!$B$15,Paramètres!$A$1:$I$89,5,0)</f>
        <v>-2.7193891583010558E-13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247.30892363953825</v>
      </c>
      <c r="EP98" s="59">
        <f t="shared" si="100"/>
        <v>248.38414731596578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2.1193381130340274</v>
      </c>
      <c r="EX98" s="21">
        <f>EXP(-LN(2)/2)*EX97+(1-EXP(-LN(2)/2))/(LN(2)/2)*ER98*EU98*VLOOKUP('Données projet'!$B$15,Paramètres!$A$1:$I$89,3,0)*0.475*44/12</f>
        <v>3.9067099057122488E-9</v>
      </c>
      <c r="EY98" s="22">
        <f t="shared" si="75"/>
        <v>2.1193381169407375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6.8212102632969618E-13</v>
      </c>
      <c r="FF98" s="17">
        <f>FE98*VLOOKUP('Données projet'!$B$16,Paramètres!$A$1:$I$89,3,0)*VLOOKUP('Données projet'!$B$16,Paramètres!$A$1:$I$89,5,0)</f>
        <v>3.2810021366458383E-13</v>
      </c>
      <c r="FG98" s="13">
        <f t="shared" si="101"/>
        <v>4.2923528923937213E-12</v>
      </c>
      <c r="FH98" s="20">
        <f t="shared" si="76"/>
        <v>8.0472891597182151E-12</v>
      </c>
      <c r="FI98" s="59">
        <f t="shared" si="77"/>
        <v>293.33333333334139</v>
      </c>
      <c r="FJ98" s="59">
        <f ca="1">AVERAGE(OFFSET($FI$3,0,0,'Données projet'!$E$16+1,1))-AVERAGE(OFFSET($H$3,0,0,'Données projet'!$E$16+1,1))</f>
        <v>322.54393676667081</v>
      </c>
      <c r="FK98" s="59">
        <f t="shared" si="102"/>
        <v>296.73904998640018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1.8598659553235546</v>
      </c>
      <c r="FR98" s="21">
        <f>EXP(-LN(2)/25)*FR97+(1-EXP(-LN(2)/25))/(LN(2)/25)*Calculateur!FM98*Calculateur!FO98*VLOOKUP('Données projet'!$B$16,Paramètres!$A$1:$I$89,3,0)*0.475*44/12</f>
        <v>2.2139917580000508</v>
      </c>
      <c r="FS98" s="21">
        <f>EXP(-LN(2)/2)*FS97+(1-EXP(-LN(2)/2))/(LN(2)/2)*FM98*FP98*VLOOKUP('Données projet'!$B$16,Paramètres!$A$1:$I$89,3,0)*0.475*44/12</f>
        <v>3.4429996683236893E-9</v>
      </c>
      <c r="FT98" s="22">
        <f t="shared" si="78"/>
        <v>4.0738577167666046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293.33333333333974</v>
      </c>
      <c r="S99" s="59">
        <f ca="1">AVERAGE(OFFSET($R$3,0,0,'Données projet'!$E$9+1,1))-AVERAGE(OFFSET($H$3,0,0,'Données projet'!$E$9+1,1))</f>
        <v>401.06118089678654</v>
      </c>
      <c r="T99" s="59">
        <f t="shared" si="88"/>
        <v>399.58193819355591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6.2527760746888816E-13</v>
      </c>
      <c r="AJ99" s="13">
        <f>AI99*VLOOKUP('Données projet'!$B$10,Paramètres!$A$1:$I$89,3,0)*VLOOKUP('Données projet'!$B$10,Paramètres!$A$1:$I$89,5,0)</f>
        <v>3.9017322706058616E-13</v>
      </c>
      <c r="AK99" s="13">
        <f t="shared" si="89"/>
        <v>5.0025007393608908E-12</v>
      </c>
      <c r="AL99" s="20">
        <f t="shared" si="58"/>
        <v>9.3922404915174053E-12</v>
      </c>
      <c r="AM99" s="59">
        <f t="shared" si="59"/>
        <v>293.33333333334269</v>
      </c>
      <c r="AN99" s="59">
        <f ca="1">AVERAGE(OFFSET($AM$3,0,0,'Données projet'!$E$10+1,1))-AVERAGE(OFFSET($H$3,0,0,'Données projet'!$E$10+1,1))</f>
        <v>240.30073883588199</v>
      </c>
      <c r="AO99" s="59">
        <f t="shared" si="90"/>
        <v>263.20351282678843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1.8816362400620854</v>
      </c>
      <c r="AV99" s="21">
        <f>EXP(-LN(2)/25)*AV98+(1-EXP(-LN(2)/25))/(LN(2)/25)*Calculateur!AQ99*Calculateur!AS99*VLOOKUP('Données projet'!$B$10,Paramètres!$A$1:$I$89,3,0)*0.475*44/12</f>
        <v>3.3349675088699922</v>
      </c>
      <c r="AW99" s="21">
        <f>EXP(-LN(2)/2)*AW98+(1-EXP(-LN(2)/2))/(LN(2)/2)*AQ99*AT99*VLOOKUP('Données projet'!$B$10,Paramètres!$A$1:$I$89,3,0)*0.475*44/12</f>
        <v>2.3505202848132588E-9</v>
      </c>
      <c r="AX99" s="21">
        <f t="shared" si="60"/>
        <v>5.216603751282598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-1.0936673788819462E-13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364.67510777943329</v>
      </c>
      <c r="BJ99" s="59">
        <f t="shared" si="92"/>
        <v>352.13878061387169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2.3932060928289673</v>
      </c>
      <c r="BQ99" s="21">
        <f>EXP(-LN(2)/25)*BQ98+(1-EXP(-LN(2)/25))/(LN(2)/25)*Calculateur!BL99*Calculateur!BN99*VLOOKUP('Données projet'!$B$11,Paramètres!$A$1:$I$89,3,0)*0.475*44/12</f>
        <v>2.8901535620920562</v>
      </c>
      <c r="BR99" s="21">
        <f>EXP(-LN(2)/2)*BR98+(1-EXP(-LN(2)/2))/(LN(2)/2)*BL99*BO99*VLOOKUP('Données projet'!$B$11,Paramètres!$A$1:$I$89,3,0)*0.475*44/12</f>
        <v>3.1983429274567083E-9</v>
      </c>
      <c r="BS99" s="22">
        <f t="shared" si="63"/>
        <v>5.283359658119366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652.19999999999993</v>
      </c>
      <c r="BZ99" s="13">
        <f>BY99*VLOOKUP('Données projet'!$B$12,Paramètres!$A$1:$I$89,3,0)*VLOOKUP('Données projet'!$B$12,Paramètres!$A$1:$I$89,5,0)</f>
        <v>305.22959999999995</v>
      </c>
      <c r="CA99" s="13">
        <f t="shared" si="93"/>
        <v>72.271683388093081</v>
      </c>
      <c r="CB99" s="20">
        <f t="shared" si="64"/>
        <v>657.48140190092874</v>
      </c>
      <c r="CC99" s="59">
        <f t="shared" si="65"/>
        <v>950.81473523426212</v>
      </c>
      <c r="CD99" s="59">
        <f ca="1">AVERAGE(OFFSET($CC$3,0,0,'Données projet'!$E$12+1,1))-AVERAGE(OFFSET($H$3,0,0,'Données projet'!$E$12+1,1))</f>
        <v>252.98248842635206</v>
      </c>
      <c r="CE99" s="59">
        <f t="shared" si="94"/>
        <v>207.11938580878308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0.84824833714941783</v>
      </c>
      <c r="CL99" s="21">
        <f>EXP(-LN(2)/25)*CL98+(1-EXP(-LN(2)/25))/(LN(2)/25)*Calculateur!CG99*Calculateur!CI99*VLOOKUP('Données projet'!$B$12,Paramètres!$A$1:$I$89,3,0)*0.475*44/12</f>
        <v>1.2602382986621448</v>
      </c>
      <c r="CM99" s="21">
        <f>EXP(-LN(2)/2)*CM98+(1-EXP(-LN(2)/2))/(LN(2)/2)*CG99*CJ99*VLOOKUP('Données projet'!$B$12,Paramètres!$A$1:$I$89,3,0)*0.475*44/12</f>
        <v>1.1446159892128771E-9</v>
      </c>
      <c r="CN99" s="22">
        <f t="shared" si="66"/>
        <v>2.1084866369561786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-5.6843418860808015E-13</v>
      </c>
      <c r="CU99" s="17">
        <f>CT99*VLOOKUP('Données projet'!$B$13,Paramètres!$A$1:$I$89,3,0)*VLOOKUP('Données projet'!$B$13,Paramètres!$A$1:$I$89,5,0)</f>
        <v>-3.177547114319168E-13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356.67698551373468</v>
      </c>
      <c r="CZ99" s="59">
        <f t="shared" si="96"/>
        <v>353.21836615408171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1.2361304743741219</v>
      </c>
      <c r="DG99" s="21">
        <f>EXP(-LN(2)/25)*DG98+(1-EXP(-LN(2)/25))/(LN(2)/25)*Calculateur!DB99*Calculateur!DD99*VLOOKUP('Données projet'!$B$13,Paramètres!$A$1:$I$89,3,0)*0.475*44/12</f>
        <v>4.8405929017080656</v>
      </c>
      <c r="DH99" s="21">
        <f>EXP(-LN(2)/2)*DH98+(1-EXP(-LN(2)/2))/(LN(2)/2)*DB99*DE99*VLOOKUP('Données projet'!$B$13,Paramètres!$A$1:$I$89,3,0)*0.475*44/12</f>
        <v>3.7860693841282327E-9</v>
      </c>
      <c r="DI99" s="22">
        <f t="shared" si="69"/>
        <v>6.0767233798682563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-4.5474735088646412E-13</v>
      </c>
      <c r="DP99" s="17">
        <f>DO99*VLOOKUP('Données projet'!$B$14,Paramètres!$A$1:$I$89,3,0)*VLOOKUP('Données projet'!$B$14,Paramètres!$A$1:$I$89,5,0)</f>
        <v>-2.7193891583010558E-13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247.30892363953825</v>
      </c>
      <c r="DU99" s="59">
        <f t="shared" si="98"/>
        <v>248.38414731596578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2.0613847008819643</v>
      </c>
      <c r="EC99" s="21">
        <f>EXP(-LN(2)/2)*EC98+(1-EXP(-LN(2)/2))/(LN(2)/2)*DW99*DZ99*VLOOKUP('Données projet'!$B$14,Paramètres!$A$1:$I$89,3,0)*0.475*44/12</f>
        <v>2.7624610664577889E-9</v>
      </c>
      <c r="ED99" s="22">
        <f t="shared" si="72"/>
        <v>2.0613847036444253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-4.5474735088646412E-13</v>
      </c>
      <c r="EK99" s="17">
        <f>EJ99*VLOOKUP('Données projet'!$B$15,Paramètres!$A$1:$I$89,3,0)*VLOOKUP('Données projet'!$B$15,Paramètres!$A$1:$I$89,5,0)</f>
        <v>-2.7193891583010558E-13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247.30892363953825</v>
      </c>
      <c r="EP99" s="59">
        <f t="shared" si="100"/>
        <v>248.38414731596578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2.0613847008819643</v>
      </c>
      <c r="EX99" s="21">
        <f>EXP(-LN(2)/2)*EX98+(1-EXP(-LN(2)/2))/(LN(2)/2)*ER99*EU99*VLOOKUP('Données projet'!$B$15,Paramètres!$A$1:$I$89,3,0)*0.475*44/12</f>
        <v>2.7624610664577889E-9</v>
      </c>
      <c r="EY99" s="22">
        <f t="shared" si="75"/>
        <v>2.0613847036444253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6.8212102632969618E-13</v>
      </c>
      <c r="FF99" s="17">
        <f>FE99*VLOOKUP('Données projet'!$B$16,Paramètres!$A$1:$I$89,3,0)*VLOOKUP('Données projet'!$B$16,Paramètres!$A$1:$I$89,5,0)</f>
        <v>3.2810021366458383E-13</v>
      </c>
      <c r="FG99" s="13">
        <f t="shared" si="101"/>
        <v>4.2923528923937213E-12</v>
      </c>
      <c r="FH99" s="20">
        <f t="shared" si="76"/>
        <v>8.0472891597182151E-12</v>
      </c>
      <c r="FI99" s="59">
        <f t="shared" si="77"/>
        <v>293.33333333334139</v>
      </c>
      <c r="FJ99" s="59">
        <f ca="1">AVERAGE(OFFSET($FI$3,0,0,'Données projet'!$E$16+1,1))-AVERAGE(OFFSET($H$3,0,0,'Données projet'!$E$16+1,1))</f>
        <v>322.54393676667081</v>
      </c>
      <c r="FK99" s="59">
        <f t="shared" si="102"/>
        <v>296.73904998640018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1.8233951183458792</v>
      </c>
      <c r="FR99" s="21">
        <f>EXP(-LN(2)/25)*FR98+(1-EXP(-LN(2)/25))/(LN(2)/25)*Calculateur!FM99*Calculateur!FO99*VLOOKUP('Données projet'!$B$16,Paramètres!$A$1:$I$89,3,0)*0.475*44/12</f>
        <v>2.1534500369487728</v>
      </c>
      <c r="FS99" s="21">
        <f>EXP(-LN(2)/2)*FS98+(1-EXP(-LN(2)/2))/(LN(2)/2)*FM99*FP99*VLOOKUP('Données projet'!$B$16,Paramètres!$A$1:$I$89,3,0)*0.475*44/12</f>
        <v>2.4345684130947146E-9</v>
      </c>
      <c r="FT99" s="22">
        <f t="shared" si="78"/>
        <v>3.9768451577292203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293.33333333333974</v>
      </c>
      <c r="S100" s="59">
        <f ca="1">AVERAGE(OFFSET($R$3,0,0,'Données projet'!$E$9+1,1))-AVERAGE(OFFSET($H$3,0,0,'Données projet'!$E$9+1,1))</f>
        <v>401.06118089678654</v>
      </c>
      <c r="T100" s="59">
        <f t="shared" si="88"/>
        <v>399.58193819355591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6.2527760746888816E-13</v>
      </c>
      <c r="AJ100" s="13">
        <f>AI100*VLOOKUP('Données projet'!$B$10,Paramètres!$A$1:$I$89,3,0)*VLOOKUP('Données projet'!$B$10,Paramètres!$A$1:$I$89,5,0)</f>
        <v>3.9017322706058616E-13</v>
      </c>
      <c r="AK100" s="13">
        <f t="shared" si="89"/>
        <v>5.0025007393608908E-12</v>
      </c>
      <c r="AL100" s="20">
        <f t="shared" si="58"/>
        <v>9.3922404915174053E-12</v>
      </c>
      <c r="AM100" s="59">
        <f t="shared" si="59"/>
        <v>293.33333333334269</v>
      </c>
      <c r="AN100" s="59">
        <f ca="1">AVERAGE(OFFSET($AM$3,0,0,'Données projet'!$E$10+1,1))-AVERAGE(OFFSET($H$3,0,0,'Données projet'!$E$10+1,1))</f>
        <v>240.30073883588199</v>
      </c>
      <c r="AO100" s="59">
        <f t="shared" si="90"/>
        <v>263.20351282678843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1.8447385010792499</v>
      </c>
      <c r="AV100" s="21">
        <f>EXP(-LN(2)/25)*AV99+(1-EXP(-LN(2)/25))/(LN(2)/25)*Calculateur!AQ100*Calculateur!AS100*VLOOKUP('Données projet'!$B$10,Paramètres!$A$1:$I$89,3,0)*0.475*44/12</f>
        <v>3.2437726469616233</v>
      </c>
      <c r="AW100" s="21">
        <f>EXP(-LN(2)/2)*AW99+(1-EXP(-LN(2)/2))/(LN(2)/2)*AQ100*AT100*VLOOKUP('Données projet'!$B$10,Paramètres!$A$1:$I$89,3,0)*0.475*44/12</f>
        <v>1.6620688327079904E-9</v>
      </c>
      <c r="AX100" s="21">
        <f t="shared" si="60"/>
        <v>5.088511149702942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-1.0936673788819462E-13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364.67510777943329</v>
      </c>
      <c r="BJ100" s="59">
        <f t="shared" si="92"/>
        <v>352.13878061387169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2.3462767810601735</v>
      </c>
      <c r="BQ100" s="21">
        <f>EXP(-LN(2)/25)*BQ99+(1-EXP(-LN(2)/25))/(LN(2)/25)*Calculateur!BL100*Calculateur!BN100*VLOOKUP('Données projet'!$B$11,Paramètres!$A$1:$I$89,3,0)*0.475*44/12</f>
        <v>2.8111221609500787</v>
      </c>
      <c r="BR100" s="21">
        <f>EXP(-LN(2)/2)*BR99+(1-EXP(-LN(2)/2))/(LN(2)/2)*BL100*BO100*VLOOKUP('Données projet'!$B$11,Paramètres!$A$1:$I$89,3,0)*0.475*44/12</f>
        <v>2.2615699725646724E-9</v>
      </c>
      <c r="BS100" s="22">
        <f t="shared" si="63"/>
        <v>5.1573989442718213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670.69999999999993</v>
      </c>
      <c r="BZ100" s="13">
        <f>BY100*VLOOKUP('Données projet'!$B$12,Paramètres!$A$1:$I$89,3,0)*VLOOKUP('Données projet'!$B$12,Paramètres!$A$1:$I$89,5,0)</f>
        <v>313.88759999999996</v>
      </c>
      <c r="CA100" s="13">
        <f t="shared" si="93"/>
        <v>74.080125962367049</v>
      </c>
      <c r="CB100" s="20">
        <f t="shared" si="64"/>
        <v>675.71045605112249</v>
      </c>
      <c r="CC100" s="59">
        <f t="shared" si="65"/>
        <v>969.04378938445575</v>
      </c>
      <c r="CD100" s="59">
        <f ca="1">AVERAGE(OFFSET($CC$3,0,0,'Données projet'!$E$12+1,1))-AVERAGE(OFFSET($H$3,0,0,'Données projet'!$E$12+1,1))</f>
        <v>252.98248842635206</v>
      </c>
      <c r="CE100" s="59">
        <f t="shared" si="94"/>
        <v>207.11938580878308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0.83161470463831633</v>
      </c>
      <c r="CL100" s="21">
        <f>EXP(-LN(2)/25)*CL99+(1-EXP(-LN(2)/25))/(LN(2)/25)*Calculateur!CG100*Calculateur!CI100*VLOOKUP('Données projet'!$B$12,Paramètres!$A$1:$I$89,3,0)*0.475*44/12</f>
        <v>1.2257770161121766</v>
      </c>
      <c r="CM100" s="21">
        <f>EXP(-LN(2)/2)*CM99+(1-EXP(-LN(2)/2))/(LN(2)/2)*CG100*CJ100*VLOOKUP('Données projet'!$B$12,Paramètres!$A$1:$I$89,3,0)*0.475*44/12</f>
        <v>8.0936572782697355E-10</v>
      </c>
      <c r="CN100" s="22">
        <f t="shared" si="66"/>
        <v>2.0573917215598589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-5.6843418860808015E-13</v>
      </c>
      <c r="CU100" s="17">
        <f>CT100*VLOOKUP('Données projet'!$B$13,Paramètres!$A$1:$I$89,3,0)*VLOOKUP('Données projet'!$B$13,Paramètres!$A$1:$I$89,5,0)</f>
        <v>-3.177547114319168E-13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356.67698551373468</v>
      </c>
      <c r="CZ100" s="59">
        <f t="shared" si="96"/>
        <v>353.21836615408171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1.2118907097367868</v>
      </c>
      <c r="DG100" s="21">
        <f>EXP(-LN(2)/25)*DG99+(1-EXP(-LN(2)/25))/(LN(2)/25)*Calculateur!DB100*Calculateur!DD100*VLOOKUP('Données projet'!$B$13,Paramètres!$A$1:$I$89,3,0)*0.475*44/12</f>
        <v>4.7082266342551415</v>
      </c>
      <c r="DH100" s="21">
        <f>EXP(-LN(2)/2)*DH99+(1-EXP(-LN(2)/2))/(LN(2)/2)*DB100*DE100*VLOOKUP('Données projet'!$B$13,Paramètres!$A$1:$I$89,3,0)*0.475*44/12</f>
        <v>2.677155335559849E-9</v>
      </c>
      <c r="DI100" s="22">
        <f t="shared" si="69"/>
        <v>5.920117346669084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-4.5474735088646412E-13</v>
      </c>
      <c r="DP100" s="17">
        <f>DO100*VLOOKUP('Données projet'!$B$14,Paramètres!$A$1:$I$89,3,0)*VLOOKUP('Données projet'!$B$14,Paramètres!$A$1:$I$89,5,0)</f>
        <v>-2.7193891583010558E-13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247.30892363953825</v>
      </c>
      <c r="DU100" s="59">
        <f t="shared" si="98"/>
        <v>248.38414731596578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2.0050160278328368</v>
      </c>
      <c r="EC100" s="21">
        <f>EXP(-LN(2)/2)*EC99+(1-EXP(-LN(2)/2))/(LN(2)/2)*DW100*DZ100*VLOOKUP('Données projet'!$B$14,Paramètres!$A$1:$I$89,3,0)*0.475*44/12</f>
        <v>1.9533549528561244E-9</v>
      </c>
      <c r="ED100" s="22">
        <f t="shared" si="72"/>
        <v>2.0050160297861916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-4.5474735088646412E-13</v>
      </c>
      <c r="EK100" s="17">
        <f>EJ100*VLOOKUP('Données projet'!$B$15,Paramètres!$A$1:$I$89,3,0)*VLOOKUP('Données projet'!$B$15,Paramètres!$A$1:$I$89,5,0)</f>
        <v>-2.7193891583010558E-13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247.30892363953825</v>
      </c>
      <c r="EP100" s="59">
        <f t="shared" si="100"/>
        <v>248.38414731596578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2.0050160278328368</v>
      </c>
      <c r="EX100" s="21">
        <f>EXP(-LN(2)/2)*EX99+(1-EXP(-LN(2)/2))/(LN(2)/2)*ER100*EU100*VLOOKUP('Données projet'!$B$15,Paramètres!$A$1:$I$89,3,0)*0.475*44/12</f>
        <v>1.9533549528561244E-9</v>
      </c>
      <c r="EY100" s="22">
        <f t="shared" si="75"/>
        <v>2.0050160297861916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6.8212102632969618E-13</v>
      </c>
      <c r="FF100" s="17">
        <f>FE100*VLOOKUP('Données projet'!$B$16,Paramètres!$A$1:$I$89,3,0)*VLOOKUP('Données projet'!$B$16,Paramètres!$A$1:$I$89,5,0)</f>
        <v>3.2810021366458383E-13</v>
      </c>
      <c r="FG100" s="13">
        <f t="shared" si="101"/>
        <v>4.2923528923937213E-12</v>
      </c>
      <c r="FH100" s="20">
        <f t="shared" si="76"/>
        <v>8.0472891597182151E-12</v>
      </c>
      <c r="FI100" s="59">
        <f t="shared" si="77"/>
        <v>293.33333333334139</v>
      </c>
      <c r="FJ100" s="59">
        <f ca="1">AVERAGE(OFFSET($FI$3,0,0,'Données projet'!$E$16+1,1))-AVERAGE(OFFSET($H$3,0,0,'Données projet'!$E$16+1,1))</f>
        <v>322.54393676667081</v>
      </c>
      <c r="FK100" s="59">
        <f t="shared" si="102"/>
        <v>296.73904998640018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1.7876394522363219</v>
      </c>
      <c r="FR100" s="21">
        <f>EXP(-LN(2)/25)*FR99+(1-EXP(-LN(2)/25))/(LN(2)/25)*Calculateur!FM100*Calculateur!FO100*VLOOKUP('Données projet'!$B$16,Paramètres!$A$1:$I$89,3,0)*0.475*44/12</f>
        <v>2.0945638324433928</v>
      </c>
      <c r="FS100" s="21">
        <f>EXP(-LN(2)/2)*FS99+(1-EXP(-LN(2)/2))/(LN(2)/2)*FM100*FP100*VLOOKUP('Données projet'!$B$16,Paramètres!$A$1:$I$89,3,0)*0.475*44/12</f>
        <v>1.7214998341618447E-9</v>
      </c>
      <c r="FT100" s="22">
        <f t="shared" si="78"/>
        <v>3.8822032864012148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293.33333333333974</v>
      </c>
      <c r="S101" s="59">
        <f ca="1">AVERAGE(OFFSET($R$3,0,0,'Données projet'!$E$9+1,1))-AVERAGE(OFFSET($H$3,0,0,'Données projet'!$E$9+1,1))</f>
        <v>401.06118089678654</v>
      </c>
      <c r="T101" s="59">
        <f t="shared" si="88"/>
        <v>399.58193819355591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6.2527760746888816E-13</v>
      </c>
      <c r="AJ101" s="13">
        <f>AI101*VLOOKUP('Données projet'!$B$10,Paramètres!$A$1:$I$89,3,0)*VLOOKUP('Données projet'!$B$10,Paramètres!$A$1:$I$89,5,0)</f>
        <v>3.9017322706058616E-13</v>
      </c>
      <c r="AK101" s="13">
        <f t="shared" si="89"/>
        <v>5.0025007393608908E-12</v>
      </c>
      <c r="AL101" s="20">
        <f t="shared" si="58"/>
        <v>9.3922404915174053E-12</v>
      </c>
      <c r="AM101" s="59">
        <f t="shared" si="59"/>
        <v>293.33333333334269</v>
      </c>
      <c r="AN101" s="59">
        <f ca="1">AVERAGE(OFFSET($AM$3,0,0,'Données projet'!$E$10+1,1))-AVERAGE(OFFSET($H$3,0,0,'Données projet'!$E$10+1,1))</f>
        <v>240.30073883588199</v>
      </c>
      <c r="AO101" s="59">
        <f t="shared" si="90"/>
        <v>263.20351282678843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1.8085643042524693</v>
      </c>
      <c r="AV101" s="21">
        <f>EXP(-LN(2)/25)*AV100+(1-EXP(-LN(2)/25))/(LN(2)/25)*Calculateur!AQ101*Calculateur!AS101*VLOOKUP('Données projet'!$B$10,Paramètres!$A$1:$I$89,3,0)*0.475*44/12</f>
        <v>3.1550715133478677</v>
      </c>
      <c r="AW101" s="21">
        <f>EXP(-LN(2)/2)*AW100+(1-EXP(-LN(2)/2))/(LN(2)/2)*AQ101*AT101*VLOOKUP('Données projet'!$B$10,Paramètres!$A$1:$I$89,3,0)*0.475*44/12</f>
        <v>1.1752601424066294E-9</v>
      </c>
      <c r="AX101" s="21">
        <f t="shared" si="60"/>
        <v>4.9636358187755967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-1.0936673788819462E-13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364.67510777943329</v>
      </c>
      <c r="BJ101" s="59">
        <f t="shared" si="92"/>
        <v>352.13878061387169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2.3002677244711118</v>
      </c>
      <c r="BQ101" s="21">
        <f>EXP(-LN(2)/25)*BQ100+(1-EXP(-LN(2)/25))/(LN(2)/25)*Calculateur!BL101*Calculateur!BN101*VLOOKUP('Données projet'!$B$11,Paramètres!$A$1:$I$89,3,0)*0.475*44/12</f>
        <v>2.7342518776284095</v>
      </c>
      <c r="BR101" s="21">
        <f>EXP(-LN(2)/2)*BR100+(1-EXP(-LN(2)/2))/(LN(2)/2)*BL101*BO101*VLOOKUP('Données projet'!$B$11,Paramètres!$A$1:$I$89,3,0)*0.475*44/12</f>
        <v>1.5991714637283541E-9</v>
      </c>
      <c r="BS101" s="22">
        <f t="shared" si="63"/>
        <v>5.0345196036986932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689.19999999999993</v>
      </c>
      <c r="BZ101" s="13">
        <f>BY101*VLOOKUP('Données projet'!$B$12,Paramètres!$A$1:$I$89,3,0)*VLOOKUP('Données projet'!$B$12,Paramètres!$A$1:$I$89,5,0)</f>
        <v>322.54559999999998</v>
      </c>
      <c r="CA101" s="13">
        <f t="shared" si="93"/>
        <v>75.882770748800752</v>
      </c>
      <c r="CB101" s="20">
        <f t="shared" si="64"/>
        <v>693.92941238749461</v>
      </c>
      <c r="CC101" s="59">
        <f t="shared" si="65"/>
        <v>987.26274572082798</v>
      </c>
      <c r="CD101" s="59">
        <f ca="1">AVERAGE(OFFSET($CC$3,0,0,'Données projet'!$E$12+1,1))-AVERAGE(OFFSET($H$3,0,0,'Données projet'!$E$12+1,1))</f>
        <v>252.98248842635206</v>
      </c>
      <c r="CE101" s="59">
        <f t="shared" si="94"/>
        <v>207.11938580878308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0.81530724751524353</v>
      </c>
      <c r="CL101" s="21">
        <f>EXP(-LN(2)/25)*CL100+(1-EXP(-LN(2)/25))/(LN(2)/25)*Calculateur!CG101*Calculateur!CI101*VLOOKUP('Données projet'!$B$12,Paramètres!$A$1:$I$89,3,0)*0.475*44/12</f>
        <v>1.1922580791457773</v>
      </c>
      <c r="CM101" s="21">
        <f>EXP(-LN(2)/2)*CM100+(1-EXP(-LN(2)/2))/(LN(2)/2)*CG101*CJ101*VLOOKUP('Données projet'!$B$12,Paramètres!$A$1:$I$89,3,0)*0.475*44/12</f>
        <v>5.7230799460643855E-10</v>
      </c>
      <c r="CN101" s="22">
        <f t="shared" si="66"/>
        <v>2.0075653272333289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-5.6843418860808015E-13</v>
      </c>
      <c r="CU101" s="17">
        <f>CT101*VLOOKUP('Données projet'!$B$13,Paramètres!$A$1:$I$89,3,0)*VLOOKUP('Données projet'!$B$13,Paramètres!$A$1:$I$89,5,0)</f>
        <v>-3.177547114319168E-13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356.67698551373468</v>
      </c>
      <c r="CZ101" s="59">
        <f t="shared" si="96"/>
        <v>353.21836615408171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1.1881262720991934</v>
      </c>
      <c r="DG101" s="21">
        <f>EXP(-LN(2)/25)*DG100+(1-EXP(-LN(2)/25))/(LN(2)/25)*Calculateur!DB101*Calculateur!DD101*VLOOKUP('Données projet'!$B$13,Paramètres!$A$1:$I$89,3,0)*0.475*44/12</f>
        <v>4.5794799293465571</v>
      </c>
      <c r="DH101" s="21">
        <f>EXP(-LN(2)/2)*DH100+(1-EXP(-LN(2)/2))/(LN(2)/2)*DB101*DE101*VLOOKUP('Données projet'!$B$13,Paramètres!$A$1:$I$89,3,0)*0.475*44/12</f>
        <v>1.8930346920641163E-9</v>
      </c>
      <c r="DI101" s="22">
        <f t="shared" si="69"/>
        <v>5.7676062033387856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-4.5474735088646412E-13</v>
      </c>
      <c r="DP101" s="17">
        <f>DO101*VLOOKUP('Données projet'!$B$14,Paramètres!$A$1:$I$89,3,0)*VLOOKUP('Données projet'!$B$14,Paramètres!$A$1:$I$89,5,0)</f>
        <v>-2.7193891583010558E-13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247.30892363953825</v>
      </c>
      <c r="DU101" s="59">
        <f t="shared" si="98"/>
        <v>248.38414731596578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1.9501887591125375</v>
      </c>
      <c r="EC101" s="21">
        <f>EXP(-LN(2)/2)*EC100+(1-EXP(-LN(2)/2))/(LN(2)/2)*DW101*DZ101*VLOOKUP('Données projet'!$B$14,Paramètres!$A$1:$I$89,3,0)*0.475*44/12</f>
        <v>1.3812305332288944E-9</v>
      </c>
      <c r="ED101" s="22">
        <f t="shared" si="72"/>
        <v>1.950188760493768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-4.5474735088646412E-13</v>
      </c>
      <c r="EK101" s="17">
        <f>EJ101*VLOOKUP('Données projet'!$B$15,Paramètres!$A$1:$I$89,3,0)*VLOOKUP('Données projet'!$B$15,Paramètres!$A$1:$I$89,5,0)</f>
        <v>-2.7193891583010558E-13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247.30892363953825</v>
      </c>
      <c r="EP101" s="59">
        <f t="shared" si="100"/>
        <v>248.38414731596578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1.9501887591125375</v>
      </c>
      <c r="EX101" s="21">
        <f>EXP(-LN(2)/2)*EX100+(1-EXP(-LN(2)/2))/(LN(2)/2)*ER101*EU101*VLOOKUP('Données projet'!$B$15,Paramètres!$A$1:$I$89,3,0)*0.475*44/12</f>
        <v>1.3812305332288944E-9</v>
      </c>
      <c r="EY101" s="22">
        <f t="shared" si="75"/>
        <v>1.950188760493768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6.8212102632969618E-13</v>
      </c>
      <c r="FF101" s="17">
        <f>FE101*VLOOKUP('Données projet'!$B$16,Paramètres!$A$1:$I$89,3,0)*VLOOKUP('Données projet'!$B$16,Paramètres!$A$1:$I$89,5,0)</f>
        <v>3.2810021366458383E-13</v>
      </c>
      <c r="FG101" s="13">
        <f t="shared" si="101"/>
        <v>4.2923528923937213E-12</v>
      </c>
      <c r="FH101" s="20">
        <f t="shared" si="76"/>
        <v>8.0472891597182151E-12</v>
      </c>
      <c r="FI101" s="59">
        <f t="shared" si="77"/>
        <v>293.33333333334139</v>
      </c>
      <c r="FJ101" s="59">
        <f ca="1">AVERAGE(OFFSET($FI$3,0,0,'Données projet'!$E$16+1,1))-AVERAGE(OFFSET($H$3,0,0,'Données projet'!$E$16+1,1))</f>
        <v>322.54393676667081</v>
      </c>
      <c r="FK101" s="59">
        <f t="shared" si="102"/>
        <v>296.73904998640018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1.7525849329303702</v>
      </c>
      <c r="FR101" s="21">
        <f>EXP(-LN(2)/25)*FR100+(1-EXP(-LN(2)/25))/(LN(2)/25)*Calculateur!FM101*Calculateur!FO101*VLOOKUP('Données projet'!$B$16,Paramètres!$A$1:$I$89,3,0)*0.475*44/12</f>
        <v>2.0372878742969034</v>
      </c>
      <c r="FS101" s="21">
        <f>EXP(-LN(2)/2)*FS100+(1-EXP(-LN(2)/2))/(LN(2)/2)*FM101*FP101*VLOOKUP('Données projet'!$B$16,Paramètres!$A$1:$I$89,3,0)*0.475*44/12</f>
        <v>1.2172842065473573E-9</v>
      </c>
      <c r="FT101" s="22">
        <f t="shared" si="78"/>
        <v>3.7898728084445574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293.33333333333974</v>
      </c>
      <c r="S102" s="59">
        <f ca="1">AVERAGE(OFFSET($R$3,0,0,'Données projet'!$E$9+1,1))-AVERAGE(OFFSET($H$3,0,0,'Données projet'!$E$9+1,1))</f>
        <v>401.06118089678654</v>
      </c>
      <c r="T102" s="59">
        <f t="shared" si="88"/>
        <v>399.58193819355591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6.2527760746888816E-13</v>
      </c>
      <c r="AJ102" s="13">
        <f>AI102*VLOOKUP('Données projet'!$B$10,Paramètres!$A$1:$I$89,3,0)*VLOOKUP('Données projet'!$B$10,Paramètres!$A$1:$I$89,5,0)</f>
        <v>3.9017322706058616E-13</v>
      </c>
      <c r="AK102" s="13">
        <f t="shared" si="89"/>
        <v>5.0025007393608908E-12</v>
      </c>
      <c r="AL102" s="20">
        <f t="shared" si="58"/>
        <v>9.3922404915174053E-12</v>
      </c>
      <c r="AM102" s="59">
        <f t="shared" si="59"/>
        <v>293.33333333334269</v>
      </c>
      <c r="AN102" s="59">
        <f ca="1">AVERAGE(OFFSET($AM$3,0,0,'Données projet'!$E$10+1,1))-AVERAGE(OFFSET($H$3,0,0,'Données projet'!$E$10+1,1))</f>
        <v>240.30073883588199</v>
      </c>
      <c r="AO102" s="59">
        <f t="shared" si="90"/>
        <v>263.20351282678843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1.7730994613613804</v>
      </c>
      <c r="AV102" s="21">
        <f>EXP(-LN(2)/25)*AV101+(1-EXP(-LN(2)/25))/(LN(2)/25)*Calculateur!AQ102*Calculateur!AS102*VLOOKUP('Données projet'!$B$10,Paramètres!$A$1:$I$89,3,0)*0.475*44/12</f>
        <v>3.0687959168973702</v>
      </c>
      <c r="AW102" s="21">
        <f>EXP(-LN(2)/2)*AW101+(1-EXP(-LN(2)/2))/(LN(2)/2)*AQ102*AT102*VLOOKUP('Données projet'!$B$10,Paramètres!$A$1:$I$89,3,0)*0.475*44/12</f>
        <v>8.3103441635399519E-10</v>
      </c>
      <c r="AX102" s="21">
        <f t="shared" si="60"/>
        <v>4.8418953790897854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-1.0936673788819462E-13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364.67510777943329</v>
      </c>
      <c r="BJ102" s="59">
        <f t="shared" si="92"/>
        <v>352.13878061387169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2.2551608774190082</v>
      </c>
      <c r="BQ102" s="21">
        <f>EXP(-LN(2)/25)*BQ101+(1-EXP(-LN(2)/25))/(LN(2)/25)*Calculateur!BL102*Calculateur!BN102*VLOOKUP('Données projet'!$B$11,Paramètres!$A$1:$I$89,3,0)*0.475*44/12</f>
        <v>2.6594836162466038</v>
      </c>
      <c r="BR102" s="21">
        <f>EXP(-LN(2)/2)*BR101+(1-EXP(-LN(2)/2))/(LN(2)/2)*BL102*BO102*VLOOKUP('Données projet'!$B$11,Paramètres!$A$1:$I$89,3,0)*0.475*44/12</f>
        <v>1.1307849862823362E-9</v>
      </c>
      <c r="BS102" s="22">
        <f t="shared" si="63"/>
        <v>4.9146444947963976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707.69999999999993</v>
      </c>
      <c r="BZ102" s="13">
        <f>BY102*VLOOKUP('Données projet'!$B$12,Paramètres!$A$1:$I$89,3,0)*VLOOKUP('Données projet'!$B$12,Paramètres!$A$1:$I$89,5,0)</f>
        <v>331.20359999999994</v>
      </c>
      <c r="CA102" s="13">
        <f t="shared" si="93"/>
        <v>77.67979126195354</v>
      </c>
      <c r="CB102" s="20">
        <f t="shared" si="64"/>
        <v>712.13857311456889</v>
      </c>
      <c r="CC102" s="59">
        <f t="shared" si="65"/>
        <v>1005.4719064479023</v>
      </c>
      <c r="CD102" s="59">
        <f ca="1">AVERAGE(OFFSET($CC$3,0,0,'Données projet'!$E$12+1,1))-AVERAGE(OFFSET($H$3,0,0,'Données projet'!$E$12+1,1))</f>
        <v>252.98248842635206</v>
      </c>
      <c r="CE102" s="59">
        <f t="shared" si="94"/>
        <v>207.11938580878308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0.79931956967978746</v>
      </c>
      <c r="CL102" s="21">
        <f>EXP(-LN(2)/25)*CL101+(1-EXP(-LN(2)/25))/(LN(2)/25)*Calculateur!CG102*Calculateur!CI102*VLOOKUP('Données projet'!$B$12,Paramètres!$A$1:$I$89,3,0)*0.475*44/12</f>
        <v>1.1596557192734085</v>
      </c>
      <c r="CM102" s="21">
        <f>EXP(-LN(2)/2)*CM101+(1-EXP(-LN(2)/2))/(LN(2)/2)*CG102*CJ102*VLOOKUP('Données projet'!$B$12,Paramètres!$A$1:$I$89,3,0)*0.475*44/12</f>
        <v>4.0468286391348677E-10</v>
      </c>
      <c r="CN102" s="22">
        <f t="shared" si="66"/>
        <v>1.9589752893578789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-5.6843418860808015E-13</v>
      </c>
      <c r="CU102" s="17">
        <f>CT102*VLOOKUP('Données projet'!$B$13,Paramètres!$A$1:$I$89,3,0)*VLOOKUP('Données projet'!$B$13,Paramètres!$A$1:$I$89,5,0)</f>
        <v>-3.177547114319168E-13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356.67698551373468</v>
      </c>
      <c r="CZ102" s="59">
        <f t="shared" si="96"/>
        <v>353.21836615408171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1.1648278405887975</v>
      </c>
      <c r="DG102" s="21">
        <f>EXP(-LN(2)/25)*DG101+(1-EXP(-LN(2)/25))/(LN(2)/25)*Calculateur!DB102*Calculateur!DD102*VLOOKUP('Données projet'!$B$13,Paramètres!$A$1:$I$89,3,0)*0.475*44/12</f>
        <v>4.4542538098541922</v>
      </c>
      <c r="DH102" s="21">
        <f>EXP(-LN(2)/2)*DH101+(1-EXP(-LN(2)/2))/(LN(2)/2)*DB102*DE102*VLOOKUP('Données projet'!$B$13,Paramètres!$A$1:$I$89,3,0)*0.475*44/12</f>
        <v>1.3385776677799245E-9</v>
      </c>
      <c r="DI102" s="22">
        <f t="shared" si="69"/>
        <v>5.6190816517815669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-4.5474735088646412E-13</v>
      </c>
      <c r="DP102" s="17">
        <f>DO102*VLOOKUP('Données projet'!$B$14,Paramètres!$A$1:$I$89,3,0)*VLOOKUP('Données projet'!$B$14,Paramètres!$A$1:$I$89,5,0)</f>
        <v>-2.7193891583010558E-13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247.30892363953825</v>
      </c>
      <c r="DU102" s="59">
        <f t="shared" si="98"/>
        <v>248.38414731596578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1.8968607449386357</v>
      </c>
      <c r="EC102" s="21">
        <f>EXP(-LN(2)/2)*EC101+(1-EXP(-LN(2)/2))/(LN(2)/2)*DW102*DZ102*VLOOKUP('Données projet'!$B$14,Paramètres!$A$1:$I$89,3,0)*0.475*44/12</f>
        <v>9.7667747642806219E-10</v>
      </c>
      <c r="ED102" s="22">
        <f t="shared" si="72"/>
        <v>1.8968607459153131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-4.5474735088646412E-13</v>
      </c>
      <c r="EK102" s="17">
        <f>EJ102*VLOOKUP('Données projet'!$B$15,Paramètres!$A$1:$I$89,3,0)*VLOOKUP('Données projet'!$B$15,Paramètres!$A$1:$I$89,5,0)</f>
        <v>-2.7193891583010558E-13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247.30892363953825</v>
      </c>
      <c r="EP102" s="59">
        <f t="shared" si="100"/>
        <v>248.38414731596578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1.8968607449386357</v>
      </c>
      <c r="EX102" s="21">
        <f>EXP(-LN(2)/2)*EX101+(1-EXP(-LN(2)/2))/(LN(2)/2)*ER102*EU102*VLOOKUP('Données projet'!$B$15,Paramètres!$A$1:$I$89,3,0)*0.475*44/12</f>
        <v>9.7667747642806219E-10</v>
      </c>
      <c r="EY102" s="22">
        <f t="shared" si="75"/>
        <v>1.8968607459153131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6.8212102632969618E-13</v>
      </c>
      <c r="FF102" s="17">
        <f>FE102*VLOOKUP('Données projet'!$B$16,Paramètres!$A$1:$I$89,3,0)*VLOOKUP('Données projet'!$B$16,Paramètres!$A$1:$I$89,5,0)</f>
        <v>3.2810021366458383E-13</v>
      </c>
      <c r="FG102" s="13">
        <f t="shared" si="101"/>
        <v>4.2923528923937213E-12</v>
      </c>
      <c r="FH102" s="20">
        <f t="shared" si="76"/>
        <v>8.0472891597182151E-12</v>
      </c>
      <c r="FI102" s="59">
        <f t="shared" si="77"/>
        <v>293.33333333334139</v>
      </c>
      <c r="FJ102" s="59">
        <f ca="1">AVERAGE(OFFSET($FI$3,0,0,'Données projet'!$E$16+1,1))-AVERAGE(OFFSET($H$3,0,0,'Données projet'!$E$16+1,1))</f>
        <v>322.54393676667081</v>
      </c>
      <c r="FK102" s="59">
        <f t="shared" si="102"/>
        <v>296.73904998640018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1.7182178113668627</v>
      </c>
      <c r="FR102" s="21">
        <f>EXP(-LN(2)/25)*FR101+(1-EXP(-LN(2)/25))/(LN(2)/25)*Calculateur!FM102*Calculateur!FO102*VLOOKUP('Données projet'!$B$16,Paramètres!$A$1:$I$89,3,0)*0.475*44/12</f>
        <v>1.9815781302379416</v>
      </c>
      <c r="FS102" s="21">
        <f>EXP(-LN(2)/2)*FS101+(1-EXP(-LN(2)/2))/(LN(2)/2)*FM102*FP102*VLOOKUP('Données projet'!$B$16,Paramètres!$A$1:$I$89,3,0)*0.475*44/12</f>
        <v>8.6074991708092233E-10</v>
      </c>
      <c r="FT102" s="22">
        <f t="shared" si="78"/>
        <v>3.6997959424655544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293.33333333333974</v>
      </c>
      <c r="S103" s="59">
        <f ca="1">AVERAGE(OFFSET($R$3,0,0,'Données projet'!$E$9+1,1))-AVERAGE(OFFSET($H$3,0,0,'Données projet'!$E$9+1,1))</f>
        <v>401.06118089678654</v>
      </c>
      <c r="T103" s="59">
        <f t="shared" si="88"/>
        <v>399.58193819355591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6.2527760746888816E-13</v>
      </c>
      <c r="AJ103" s="13">
        <f>AI103*VLOOKUP('Données projet'!$B$10,Paramètres!$A$1:$I$89,3,0)*VLOOKUP('Données projet'!$B$10,Paramètres!$A$1:$I$89,5,0)</f>
        <v>3.9017322706058616E-13</v>
      </c>
      <c r="AK103" s="13">
        <f t="shared" si="89"/>
        <v>5.0025007393608908E-12</v>
      </c>
      <c r="AL103" s="20">
        <f t="shared" si="58"/>
        <v>9.3922404915174053E-12</v>
      </c>
      <c r="AM103" s="59">
        <f t="shared" si="59"/>
        <v>293.33333333334269</v>
      </c>
      <c r="AN103" s="59">
        <f ca="1">AVERAGE(OFFSET($AM$3,0,0,'Données projet'!$E$10+1,1))-AVERAGE(OFFSET($H$3,0,0,'Données projet'!$E$10+1,1))</f>
        <v>240.30073883588199</v>
      </c>
      <c r="AO103" s="59">
        <f t="shared" si="90"/>
        <v>263.20351282678843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1.7383300624079676</v>
      </c>
      <c r="AV103" s="21">
        <f>EXP(-LN(2)/25)*AV102+(1-EXP(-LN(2)/25))/(LN(2)/25)*Calculateur!AQ103*Calculateur!AS103*VLOOKUP('Données projet'!$B$10,Paramètres!$A$1:$I$89,3,0)*0.475*44/12</f>
        <v>2.9848795311688483</v>
      </c>
      <c r="AW103" s="21">
        <f>EXP(-LN(2)/2)*AW102+(1-EXP(-LN(2)/2))/(LN(2)/2)*AQ103*AT103*VLOOKUP('Données projet'!$B$10,Paramètres!$A$1:$I$89,3,0)*0.475*44/12</f>
        <v>5.876300712033147E-10</v>
      </c>
      <c r="AX103" s="21">
        <f t="shared" si="60"/>
        <v>4.7232095941644463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-1.0936673788819462E-13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364.67510777943329</v>
      </c>
      <c r="BJ103" s="59">
        <f t="shared" si="92"/>
        <v>352.13878061387169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2.210938548125136</v>
      </c>
      <c r="BQ103" s="21">
        <f>EXP(-LN(2)/25)*BQ102+(1-EXP(-LN(2)/25))/(LN(2)/25)*Calculateur!BL103*Calculateur!BN103*VLOOKUP('Données projet'!$B$11,Paramètres!$A$1:$I$89,3,0)*0.475*44/12</f>
        <v>2.5867598969041752</v>
      </c>
      <c r="BR103" s="21">
        <f>EXP(-LN(2)/2)*BR102+(1-EXP(-LN(2)/2))/(LN(2)/2)*BL103*BO103*VLOOKUP('Données projet'!$B$11,Paramètres!$A$1:$I$89,3,0)*0.475*44/12</f>
        <v>7.9958573186417707E-10</v>
      </c>
      <c r="BS103" s="22">
        <f t="shared" si="63"/>
        <v>4.7976984458288978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726.2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726.19999999999993</v>
      </c>
      <c r="BZ103" s="13">
        <f>BY103*VLOOKUP('Données projet'!$B$12,Paramètres!$A$1:$I$89,3,0)*VLOOKUP('Données projet'!$B$12,Paramètres!$A$1:$I$89,5,0)</f>
        <v>339.86159999999995</v>
      </c>
      <c r="CA103" s="13">
        <f t="shared" si="93"/>
        <v>79.47135142801136</v>
      </c>
      <c r="CB103" s="20">
        <f t="shared" si="64"/>
        <v>730.33822373711973</v>
      </c>
      <c r="CC103" s="59">
        <f t="shared" si="65"/>
        <v>1023.671557070453</v>
      </c>
      <c r="CD103" s="59">
        <f ca="1">AVERAGE(OFFSET($CC$3,0,0,'Données projet'!$E$12+1,1))-AVERAGE(OFFSET($H$3,0,0,'Données projet'!$E$12+1,1))</f>
        <v>252.98248842635206</v>
      </c>
      <c r="CE103" s="59">
        <f t="shared" si="94"/>
        <v>207.11938580878308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726.2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0.78364540045516407</v>
      </c>
      <c r="CL103" s="21">
        <f>EXP(-LN(2)/25)*CL102+(1-EXP(-LN(2)/25))/(LN(2)/25)*Calculateur!CG103*Calculateur!CI103*VLOOKUP('Données projet'!$B$12,Paramètres!$A$1:$I$89,3,0)*0.475*44/12</f>
        <v>1.1279448726462333</v>
      </c>
      <c r="CM103" s="21">
        <f>EXP(-LN(2)/2)*CM102+(1-EXP(-LN(2)/2))/(LN(2)/2)*CG103*CJ103*VLOOKUP('Données projet'!$B$12,Paramètres!$A$1:$I$89,3,0)*0.475*44/12</f>
        <v>2.8615399730321928E-10</v>
      </c>
      <c r="CN103" s="22">
        <f t="shared" si="66"/>
        <v>1.9115902733875514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-5.6843418860808015E-13</v>
      </c>
      <c r="CU103" s="17">
        <f>CT103*VLOOKUP('Données projet'!$B$13,Paramètres!$A$1:$I$89,3,0)*VLOOKUP('Données projet'!$B$13,Paramètres!$A$1:$I$89,5,0)</f>
        <v>-3.177547114319168E-13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356.67698551373468</v>
      </c>
      <c r="CZ103" s="59">
        <f t="shared" si="96"/>
        <v>353.21836615408171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1.1419862771096805</v>
      </c>
      <c r="DG103" s="21">
        <f>EXP(-LN(2)/25)*DG102+(1-EXP(-LN(2)/25))/(LN(2)/25)*Calculateur!DB103*Calculateur!DD103*VLOOKUP('Données projet'!$B$13,Paramètres!$A$1:$I$89,3,0)*0.475*44/12</f>
        <v>4.3324520051847015</v>
      </c>
      <c r="DH103" s="21">
        <f>EXP(-LN(2)/2)*DH102+(1-EXP(-LN(2)/2))/(LN(2)/2)*DB103*DE103*VLOOKUP('Données projet'!$B$13,Paramètres!$A$1:$I$89,3,0)*0.475*44/12</f>
        <v>9.4651734603205817E-10</v>
      </c>
      <c r="DI103" s="22">
        <f t="shared" si="69"/>
        <v>5.4744382832408993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-4.5474735088646412E-13</v>
      </c>
      <c r="DP103" s="17">
        <f>DO103*VLOOKUP('Données projet'!$B$14,Paramètres!$A$1:$I$89,3,0)*VLOOKUP('Données projet'!$B$14,Paramètres!$A$1:$I$89,5,0)</f>
        <v>-2.7193891583010558E-13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247.30892363953825</v>
      </c>
      <c r="DU103" s="59">
        <f t="shared" si="98"/>
        <v>248.38414731596578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1.8449909881167175</v>
      </c>
      <c r="EC103" s="21">
        <f>EXP(-LN(2)/2)*EC102+(1-EXP(-LN(2)/2))/(LN(2)/2)*DW103*DZ103*VLOOKUP('Données projet'!$B$14,Paramètres!$A$1:$I$89,3,0)*0.475*44/12</f>
        <v>6.9061526661444722E-10</v>
      </c>
      <c r="ED103" s="22">
        <f t="shared" si="72"/>
        <v>1.8449909888073328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-4.5474735088646412E-13</v>
      </c>
      <c r="EK103" s="17">
        <f>EJ103*VLOOKUP('Données projet'!$B$15,Paramètres!$A$1:$I$89,3,0)*VLOOKUP('Données projet'!$B$15,Paramètres!$A$1:$I$89,5,0)</f>
        <v>-2.7193891583010558E-13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247.30892363953825</v>
      </c>
      <c r="EP103" s="59">
        <f t="shared" si="100"/>
        <v>248.38414731596578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1.8449909881167175</v>
      </c>
      <c r="EX103" s="21">
        <f>EXP(-LN(2)/2)*EX102+(1-EXP(-LN(2)/2))/(LN(2)/2)*ER103*EU103*VLOOKUP('Données projet'!$B$15,Paramètres!$A$1:$I$89,3,0)*0.475*44/12</f>
        <v>6.9061526661444722E-10</v>
      </c>
      <c r="EY103" s="22">
        <f t="shared" si="75"/>
        <v>1.8449909888073328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6.8212102632969618E-13</v>
      </c>
      <c r="FF103" s="17">
        <f>FE103*VLOOKUP('Données projet'!$B$16,Paramètres!$A$1:$I$89,3,0)*VLOOKUP('Données projet'!$B$16,Paramètres!$A$1:$I$89,5,0)</f>
        <v>3.2810021366458383E-13</v>
      </c>
      <c r="FG103" s="13">
        <f t="shared" si="101"/>
        <v>4.2923528923937213E-12</v>
      </c>
      <c r="FH103" s="20">
        <f t="shared" si="76"/>
        <v>8.0472891597182151E-12</v>
      </c>
      <c r="FI103" s="59">
        <f t="shared" si="77"/>
        <v>293.33333333334139</v>
      </c>
      <c r="FJ103" s="59">
        <f ca="1">AVERAGE(OFFSET($FI$3,0,0,'Données projet'!$E$16+1,1))-AVERAGE(OFFSET($H$3,0,0,'Données projet'!$E$16+1,1))</f>
        <v>322.54393676667081</v>
      </c>
      <c r="FK103" s="59">
        <f t="shared" si="102"/>
        <v>296.73904998640018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1.6845246080953411</v>
      </c>
      <c r="FR103" s="21">
        <f>EXP(-LN(2)/25)*FR102+(1-EXP(-LN(2)/25))/(LN(2)/25)*Calculateur!FM103*Calculateur!FO103*VLOOKUP('Données projet'!$B$16,Paramètres!$A$1:$I$89,3,0)*0.475*44/12</f>
        <v>1.9273917720599201</v>
      </c>
      <c r="FS103" s="21">
        <f>EXP(-LN(2)/2)*FS102+(1-EXP(-LN(2)/2))/(LN(2)/2)*FM103*FP103*VLOOKUP('Données projet'!$B$16,Paramètres!$A$1:$I$89,3,0)*0.475*44/12</f>
        <v>6.0864210327367866E-10</v>
      </c>
      <c r="FT103" s="22">
        <f t="shared" si="78"/>
        <v>3.611916380763903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293.33333333333974</v>
      </c>
      <c r="S104" s="59">
        <f ca="1">AVERAGE(OFFSET($R$3,0,0,'Données projet'!$E$9+1,1))-AVERAGE(OFFSET($H$3,0,0,'Données projet'!$E$9+1,1))</f>
        <v>401.06118089678654</v>
      </c>
      <c r="T104" s="59">
        <f t="shared" si="88"/>
        <v>399.58193819355591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6.2527760746888816E-13</v>
      </c>
      <c r="AJ104" s="13">
        <f>AI104*VLOOKUP('Données projet'!$B$10,Paramètres!$A$1:$I$89,3,0)*VLOOKUP('Données projet'!$B$10,Paramètres!$A$1:$I$89,5,0)</f>
        <v>3.9017322706058616E-13</v>
      </c>
      <c r="AK104" s="13">
        <f t="shared" si="89"/>
        <v>5.0025007393608908E-12</v>
      </c>
      <c r="AL104" s="20">
        <f t="shared" si="58"/>
        <v>9.3922404915174053E-12</v>
      </c>
      <c r="AM104" s="59">
        <f t="shared" si="59"/>
        <v>293.33333333334269</v>
      </c>
      <c r="AN104" s="59">
        <f ca="1">AVERAGE(OFFSET($AM$3,0,0,'Données projet'!$E$10+1,1))-AVERAGE(OFFSET($H$3,0,0,'Données projet'!$E$10+1,1))</f>
        <v>240.30073883588199</v>
      </c>
      <c r="AO104" s="59">
        <f t="shared" si="90"/>
        <v>263.20351282678843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1.7042424701607919</v>
      </c>
      <c r="AV104" s="21">
        <f>EXP(-LN(2)/25)*AV103+(1-EXP(-LN(2)/25))/(LN(2)/25)*Calculateur!AQ104*Calculateur!AS104*VLOOKUP('Données projet'!$B$10,Paramètres!$A$1:$I$89,3,0)*0.475*44/12</f>
        <v>2.9032578434210436</v>
      </c>
      <c r="AW104" s="21">
        <f>EXP(-LN(2)/2)*AW103+(1-EXP(-LN(2)/2))/(LN(2)/2)*AQ104*AT104*VLOOKUP('Données projet'!$B$10,Paramètres!$A$1:$I$89,3,0)*0.475*44/12</f>
        <v>4.1551720817699759E-10</v>
      </c>
      <c r="AX104" s="21">
        <f t="shared" si="60"/>
        <v>4.6075003139973534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-1.0936673788819462E-13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364.67510777943329</v>
      </c>
      <c r="BJ104" s="59">
        <f t="shared" si="92"/>
        <v>352.13878061387169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2.1675833917357594</v>
      </c>
      <c r="BQ104" s="21">
        <f>EXP(-LN(2)/25)*BQ103+(1-EXP(-LN(2)/25))/(LN(2)/25)*Calculateur!BL104*Calculateur!BN104*VLOOKUP('Données projet'!$B$11,Paramètres!$A$1:$I$89,3,0)*0.475*44/12</f>
        <v>2.5160248114915396</v>
      </c>
      <c r="BR104" s="21">
        <f>EXP(-LN(2)/2)*BR103+(1-EXP(-LN(2)/2))/(LN(2)/2)*BL104*BO104*VLOOKUP('Données projet'!$B$11,Paramètres!$A$1:$I$89,3,0)*0.475*44/12</f>
        <v>5.653924931411681E-10</v>
      </c>
      <c r="BS104" s="22">
        <f t="shared" si="63"/>
        <v>4.6836082037926916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-5.3205440053716299E-14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252.98248842635206</v>
      </c>
      <c r="CE104" s="59">
        <f t="shared" si="94"/>
        <v>207.11938580878308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0.76827859212873628</v>
      </c>
      <c r="CL104" s="21">
        <f>EXP(-LN(2)/25)*CL103+(1-EXP(-LN(2)/25))/(LN(2)/25)*Calculateur!CG104*Calculateur!CI104*VLOOKUP('Données projet'!$B$12,Paramètres!$A$1:$I$89,3,0)*0.475*44/12</f>
        <v>1.0971011607876793</v>
      </c>
      <c r="CM104" s="21">
        <f>EXP(-LN(2)/2)*CM103+(1-EXP(-LN(2)/2))/(LN(2)/2)*CG104*CJ104*VLOOKUP('Données projet'!$B$12,Paramètres!$A$1:$I$89,3,0)*0.475*44/12</f>
        <v>2.0234143195674339E-10</v>
      </c>
      <c r="CN104" s="22">
        <f t="shared" si="66"/>
        <v>1.865379753118757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-5.6843418860808015E-13</v>
      </c>
      <c r="CU104" s="17">
        <f>CT104*VLOOKUP('Données projet'!$B$13,Paramètres!$A$1:$I$89,3,0)*VLOOKUP('Données projet'!$B$13,Paramètres!$A$1:$I$89,5,0)</f>
        <v>-3.177547114319168E-13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356.67698551373468</v>
      </c>
      <c r="CZ104" s="59">
        <f t="shared" si="96"/>
        <v>353.21836615408171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1.1195926227584108</v>
      </c>
      <c r="DG104" s="21">
        <f>EXP(-LN(2)/25)*DG103+(1-EXP(-LN(2)/25))/(LN(2)/25)*Calculateur!DB104*Calculateur!DD104*VLOOKUP('Données projet'!$B$13,Paramètres!$A$1:$I$89,3,0)*0.475*44/12</f>
        <v>4.2139808772691767</v>
      </c>
      <c r="DH104" s="21">
        <f>EXP(-LN(2)/2)*DH103+(1-EXP(-LN(2)/2))/(LN(2)/2)*DB104*DE104*VLOOKUP('Données projet'!$B$13,Paramètres!$A$1:$I$89,3,0)*0.475*44/12</f>
        <v>6.6928883388996224E-10</v>
      </c>
      <c r="DI104" s="22">
        <f t="shared" si="69"/>
        <v>5.3335735006968763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-4.5474735088646412E-13</v>
      </c>
      <c r="DP104" s="17">
        <f>DO104*VLOOKUP('Données projet'!$B$14,Paramètres!$A$1:$I$89,3,0)*VLOOKUP('Données projet'!$B$14,Paramètres!$A$1:$I$89,5,0)</f>
        <v>-2.7193891583010558E-13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247.30892363953825</v>
      </c>
      <c r="DU104" s="59">
        <f t="shared" si="98"/>
        <v>248.38414731596578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1.7945396125228066</v>
      </c>
      <c r="EC104" s="21">
        <f>EXP(-LN(2)/2)*EC103+(1-EXP(-LN(2)/2))/(LN(2)/2)*DW104*DZ104*VLOOKUP('Données projet'!$B$14,Paramètres!$A$1:$I$89,3,0)*0.475*44/12</f>
        <v>4.883387382140311E-10</v>
      </c>
      <c r="ED104" s="22">
        <f t="shared" si="72"/>
        <v>1.7945396130111453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-4.5474735088646412E-13</v>
      </c>
      <c r="EK104" s="17">
        <f>EJ104*VLOOKUP('Données projet'!$B$15,Paramètres!$A$1:$I$89,3,0)*VLOOKUP('Données projet'!$B$15,Paramètres!$A$1:$I$89,5,0)</f>
        <v>-2.7193891583010558E-13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247.30892363953825</v>
      </c>
      <c r="EP104" s="59">
        <f t="shared" si="100"/>
        <v>248.38414731596578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1.7945396125228066</v>
      </c>
      <c r="EX104" s="21">
        <f>EXP(-LN(2)/2)*EX103+(1-EXP(-LN(2)/2))/(LN(2)/2)*ER104*EU104*VLOOKUP('Données projet'!$B$15,Paramètres!$A$1:$I$89,3,0)*0.475*44/12</f>
        <v>4.883387382140311E-10</v>
      </c>
      <c r="EY104" s="22">
        <f t="shared" si="75"/>
        <v>1.7945396130111453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6.8212102632969618E-13</v>
      </c>
      <c r="FF104" s="17">
        <f>FE104*VLOOKUP('Données projet'!$B$16,Paramètres!$A$1:$I$89,3,0)*VLOOKUP('Données projet'!$B$16,Paramètres!$A$1:$I$89,5,0)</f>
        <v>3.2810021366458383E-13</v>
      </c>
      <c r="FG104" s="13">
        <f t="shared" si="101"/>
        <v>4.2923528923937213E-12</v>
      </c>
      <c r="FH104" s="20">
        <f t="shared" si="76"/>
        <v>8.0472891597182151E-12</v>
      </c>
      <c r="FI104" s="59">
        <f t="shared" si="77"/>
        <v>293.33333333334139</v>
      </c>
      <c r="FJ104" s="59">
        <f ca="1">AVERAGE(OFFSET($FI$3,0,0,'Données projet'!$E$16+1,1))-AVERAGE(OFFSET($H$3,0,0,'Données projet'!$E$16+1,1))</f>
        <v>322.54393676667081</v>
      </c>
      <c r="FK104" s="59">
        <f t="shared" si="102"/>
        <v>296.73904998640018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1.6514921079891494</v>
      </c>
      <c r="FR104" s="21">
        <f>EXP(-LN(2)/25)*FR103+(1-EXP(-LN(2)/25))/(LN(2)/25)*Calculateur!FM104*Calculateur!FO104*VLOOKUP('Données projet'!$B$16,Paramètres!$A$1:$I$89,3,0)*0.475*44/12</f>
        <v>1.8746871426958134</v>
      </c>
      <c r="FS104" s="21">
        <f>EXP(-LN(2)/2)*FS103+(1-EXP(-LN(2)/2))/(LN(2)/2)*FM104*FP104*VLOOKUP('Données projet'!$B$16,Paramètres!$A$1:$I$89,3,0)*0.475*44/12</f>
        <v>4.3037495854046116E-10</v>
      </c>
      <c r="FT104" s="22">
        <f t="shared" si="78"/>
        <v>3.5261792511153374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293.33333333333974</v>
      </c>
      <c r="S105" s="59">
        <f ca="1">AVERAGE(OFFSET($R$3,0,0,'Données projet'!$E$9+1,1))-AVERAGE(OFFSET($H$3,0,0,'Données projet'!$E$9+1,1))</f>
        <v>401.06118089678654</v>
      </c>
      <c r="T105" s="59">
        <f t="shared" si="88"/>
        <v>399.58193819355591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6.2527760746888816E-13</v>
      </c>
      <c r="AJ105" s="13">
        <f>AI105*VLOOKUP('Données projet'!$B$10,Paramètres!$A$1:$I$89,3,0)*VLOOKUP('Données projet'!$B$10,Paramètres!$A$1:$I$89,5,0)</f>
        <v>3.9017322706058616E-13</v>
      </c>
      <c r="AK105" s="13">
        <f t="shared" si="89"/>
        <v>5.0025007393608908E-12</v>
      </c>
      <c r="AL105" s="20">
        <f t="shared" si="58"/>
        <v>9.3922404915174053E-12</v>
      </c>
      <c r="AM105" s="59">
        <f t="shared" si="59"/>
        <v>293.33333333334269</v>
      </c>
      <c r="AN105" s="59">
        <f ca="1">AVERAGE(OFFSET($AM$3,0,0,'Données projet'!$E$10+1,1))-AVERAGE(OFFSET($H$3,0,0,'Données projet'!$E$10+1,1))</f>
        <v>240.30073883588199</v>
      </c>
      <c r="AO105" s="59">
        <f t="shared" si="90"/>
        <v>263.20351282678843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1.6708233148062048</v>
      </c>
      <c r="AV105" s="21">
        <f>EXP(-LN(2)/25)*AV104+(1-EXP(-LN(2)/25))/(LN(2)/25)*Calculateur!AQ105*Calculateur!AS105*VLOOKUP('Données projet'!$B$10,Paramètres!$A$1:$I$89,3,0)*0.475*44/12</f>
        <v>2.8238681050170009</v>
      </c>
      <c r="AW105" s="21">
        <f>EXP(-LN(2)/2)*AW104+(1-EXP(-LN(2)/2))/(LN(2)/2)*AQ105*AT105*VLOOKUP('Données projet'!$B$10,Paramètres!$A$1:$I$89,3,0)*0.475*44/12</f>
        <v>2.9381503560165735E-10</v>
      </c>
      <c r="AX105" s="21">
        <f t="shared" si="60"/>
        <v>4.4946914201170207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-1.0936673788819462E-13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364.67510777943329</v>
      </c>
      <c r="BJ105" s="59">
        <f t="shared" si="92"/>
        <v>352.13878061387169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2.1250784035191441</v>
      </c>
      <c r="BQ105" s="21">
        <f>EXP(-LN(2)/25)*BQ104+(1-EXP(-LN(2)/25))/(LN(2)/25)*Calculateur!BL105*Calculateur!BN105*VLOOKUP('Données projet'!$B$11,Paramètres!$A$1:$I$89,3,0)*0.475*44/12</f>
        <v>2.447223980709309</v>
      </c>
      <c r="BR105" s="21">
        <f>EXP(-LN(2)/2)*BR104+(1-EXP(-LN(2)/2))/(LN(2)/2)*BL105*BO105*VLOOKUP('Données projet'!$B$11,Paramètres!$A$1:$I$89,3,0)*0.475*44/12</f>
        <v>3.9979286593208853E-10</v>
      </c>
      <c r="BS105" s="22">
        <f t="shared" si="63"/>
        <v>4.5723023846282462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-5.3205440053716299E-14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252.98248842635206</v>
      </c>
      <c r="CE105" s="59">
        <f t="shared" si="94"/>
        <v>207.11938580878308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0.75321311754076214</v>
      </c>
      <c r="CL105" s="21">
        <f>EXP(-LN(2)/25)*CL104+(1-EXP(-LN(2)/25))/(LN(2)/25)*Calculateur!CG105*Calculateur!CI105*VLOOKUP('Données projet'!$B$12,Paramètres!$A$1:$I$89,3,0)*0.475*44/12</f>
        <v>1.0671008718518975</v>
      </c>
      <c r="CM105" s="21">
        <f>EXP(-LN(2)/2)*CM104+(1-EXP(-LN(2)/2))/(LN(2)/2)*CG105*CJ105*VLOOKUP('Données projet'!$B$12,Paramètres!$A$1:$I$89,3,0)*0.475*44/12</f>
        <v>1.4307699865160964E-10</v>
      </c>
      <c r="CN105" s="22">
        <f t="shared" si="66"/>
        <v>1.8203139895357368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-5.6843418860808015E-13</v>
      </c>
      <c r="CU105" s="17">
        <f>CT105*VLOOKUP('Données projet'!$B$13,Paramètres!$A$1:$I$89,3,0)*VLOOKUP('Données projet'!$B$13,Paramètres!$A$1:$I$89,5,0)</f>
        <v>-3.177547114319168E-13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356.67698551373468</v>
      </c>
      <c r="CZ105" s="59">
        <f t="shared" si="96"/>
        <v>353.21836615408171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1.0976380943101891</v>
      </c>
      <c r="DG105" s="21">
        <f>EXP(-LN(2)/25)*DG104+(1-EXP(-LN(2)/25))/(LN(2)/25)*Calculateur!DB105*Calculateur!DD105*VLOOKUP('Données projet'!$B$13,Paramètres!$A$1:$I$89,3,0)*0.475*44/12</f>
        <v>4.0987493485766278</v>
      </c>
      <c r="DH105" s="21">
        <f>EXP(-LN(2)/2)*DH104+(1-EXP(-LN(2)/2))/(LN(2)/2)*DB105*DE105*VLOOKUP('Données projet'!$B$13,Paramètres!$A$1:$I$89,3,0)*0.475*44/12</f>
        <v>4.7325867301602909E-10</v>
      </c>
      <c r="DI105" s="22">
        <f t="shared" si="69"/>
        <v>5.1963874433600754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-4.5474735088646412E-13</v>
      </c>
      <c r="DP105" s="17">
        <f>DO105*VLOOKUP('Données projet'!$B$14,Paramètres!$A$1:$I$89,3,0)*VLOOKUP('Données projet'!$B$14,Paramètres!$A$1:$I$89,5,0)</f>
        <v>-2.7193891583010558E-13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247.30892363953825</v>
      </c>
      <c r="DU105" s="59">
        <f t="shared" si="98"/>
        <v>248.38414731596578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1.7454678324476336</v>
      </c>
      <c r="EC105" s="21">
        <f>EXP(-LN(2)/2)*EC104+(1-EXP(-LN(2)/2))/(LN(2)/2)*DW105*DZ105*VLOOKUP('Données projet'!$B$14,Paramètres!$A$1:$I$89,3,0)*0.475*44/12</f>
        <v>3.4530763330722361E-10</v>
      </c>
      <c r="ED105" s="22">
        <f t="shared" si="72"/>
        <v>1.7454678327929412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-4.5474735088646412E-13</v>
      </c>
      <c r="EK105" s="17">
        <f>EJ105*VLOOKUP('Données projet'!$B$15,Paramètres!$A$1:$I$89,3,0)*VLOOKUP('Données projet'!$B$15,Paramètres!$A$1:$I$89,5,0)</f>
        <v>-2.7193891583010558E-13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247.30892363953825</v>
      </c>
      <c r="EP105" s="59">
        <f t="shared" si="100"/>
        <v>248.38414731596578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1.7454678324476336</v>
      </c>
      <c r="EX105" s="21">
        <f>EXP(-LN(2)/2)*EX104+(1-EXP(-LN(2)/2))/(LN(2)/2)*ER105*EU105*VLOOKUP('Données projet'!$B$15,Paramètres!$A$1:$I$89,3,0)*0.475*44/12</f>
        <v>3.4530763330722361E-10</v>
      </c>
      <c r="EY105" s="22">
        <f t="shared" si="75"/>
        <v>1.7454678327929412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6.8212102632969618E-13</v>
      </c>
      <c r="FF105" s="17">
        <f>FE105*VLOOKUP('Données projet'!$B$16,Paramètres!$A$1:$I$89,3,0)*VLOOKUP('Données projet'!$B$16,Paramètres!$A$1:$I$89,5,0)</f>
        <v>3.2810021366458383E-13</v>
      </c>
      <c r="FG105" s="13">
        <f t="shared" si="101"/>
        <v>4.2923528923937213E-12</v>
      </c>
      <c r="FH105" s="20">
        <f t="shared" si="76"/>
        <v>8.0472891597182151E-12</v>
      </c>
      <c r="FI105" s="59">
        <f t="shared" si="77"/>
        <v>293.33333333334139</v>
      </c>
      <c r="FJ105" s="59">
        <f ca="1">AVERAGE(OFFSET($FI$3,0,0,'Données projet'!$E$16+1,1))-AVERAGE(OFFSET($H$3,0,0,'Données projet'!$E$16+1,1))</f>
        <v>322.54393676667081</v>
      </c>
      <c r="FK105" s="59">
        <f t="shared" si="102"/>
        <v>296.73904998640018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1.6191073550622044</v>
      </c>
      <c r="FR105" s="21">
        <f>EXP(-LN(2)/25)*FR104+(1-EXP(-LN(2)/25))/(LN(2)/25)*Calculateur!FM105*Calculateur!FO105*VLOOKUP('Données projet'!$B$16,Paramètres!$A$1:$I$89,3,0)*0.475*44/12</f>
        <v>1.8234237241932842</v>
      </c>
      <c r="FS105" s="21">
        <f>EXP(-LN(2)/2)*FS104+(1-EXP(-LN(2)/2))/(LN(2)/2)*FM105*FP105*VLOOKUP('Données projet'!$B$16,Paramètres!$A$1:$I$89,3,0)*0.475*44/12</f>
        <v>3.0432105163683933E-10</v>
      </c>
      <c r="FT105" s="22">
        <f t="shared" si="78"/>
        <v>3.4425310795598096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293.33333333333974</v>
      </c>
      <c r="S106" s="59">
        <f ca="1">AVERAGE(OFFSET($R$3,0,0,'Données projet'!$E$9+1,1))-AVERAGE(OFFSET($H$3,0,0,'Données projet'!$E$9+1,1))</f>
        <v>401.06118089678654</v>
      </c>
      <c r="T106" s="59">
        <f t="shared" si="88"/>
        <v>399.58193819355591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6.2527760746888816E-13</v>
      </c>
      <c r="AJ106" s="13">
        <f>AI106*VLOOKUP('Données projet'!$B$10,Paramètres!$A$1:$I$89,3,0)*VLOOKUP('Données projet'!$B$10,Paramètres!$A$1:$I$89,5,0)</f>
        <v>3.9017322706058616E-13</v>
      </c>
      <c r="AK106" s="13">
        <f t="shared" si="89"/>
        <v>5.0025007393608908E-12</v>
      </c>
      <c r="AL106" s="20">
        <f t="shared" si="58"/>
        <v>9.3922404915174053E-12</v>
      </c>
      <c r="AM106" s="59">
        <f t="shared" si="59"/>
        <v>293.33333333334269</v>
      </c>
      <c r="AN106" s="59">
        <f ca="1">AVERAGE(OFFSET($AM$3,0,0,'Données projet'!$E$10+1,1))-AVERAGE(OFFSET($H$3,0,0,'Données projet'!$E$10+1,1))</f>
        <v>240.30073883588199</v>
      </c>
      <c r="AO106" s="59">
        <f t="shared" si="90"/>
        <v>263.20351282678843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1.6380594887044493</v>
      </c>
      <c r="AV106" s="21">
        <f>EXP(-LN(2)/25)*AV105+(1-EXP(-LN(2)/25))/(LN(2)/25)*Calculateur!AQ106*Calculateur!AS106*VLOOKUP('Données projet'!$B$10,Paramètres!$A$1:$I$89,3,0)*0.475*44/12</f>
        <v>2.7466492831845413</v>
      </c>
      <c r="AW106" s="21">
        <f>EXP(-LN(2)/2)*AW105+(1-EXP(-LN(2)/2))/(LN(2)/2)*AQ106*AT106*VLOOKUP('Données projet'!$B$10,Paramètres!$A$1:$I$89,3,0)*0.475*44/12</f>
        <v>2.077586040884988E-10</v>
      </c>
      <c r="AX106" s="21">
        <f t="shared" si="60"/>
        <v>4.384708772096749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-1.0936673788819462E-13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364.67510777943329</v>
      </c>
      <c r="BJ106" s="59">
        <f t="shared" si="92"/>
        <v>352.13878061387169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2.0834069121959735</v>
      </c>
      <c r="BQ106" s="21">
        <f>EXP(-LN(2)/25)*BQ105+(1-EXP(-LN(2)/25))/(LN(2)/25)*Calculateur!BL106*Calculateur!BN106*VLOOKUP('Données projet'!$B$11,Paramètres!$A$1:$I$89,3,0)*0.475*44/12</f>
        <v>2.3803045122628972</v>
      </c>
      <c r="BR106" s="21">
        <f>EXP(-LN(2)/2)*BR105+(1-EXP(-LN(2)/2))/(LN(2)/2)*BL106*BO106*VLOOKUP('Données projet'!$B$11,Paramètres!$A$1:$I$89,3,0)*0.475*44/12</f>
        <v>2.8269624657058405E-10</v>
      </c>
      <c r="BS106" s="22">
        <f t="shared" si="63"/>
        <v>4.4637114247415672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-5.3205440053716299E-14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252.98248842635206</v>
      </c>
      <c r="CE106" s="59">
        <f t="shared" si="94"/>
        <v>207.11938580878308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0.73844306772042612</v>
      </c>
      <c r="CL106" s="21">
        <f>EXP(-LN(2)/25)*CL105+(1-EXP(-LN(2)/25))/(LN(2)/25)*Calculateur!CG106*Calculateur!CI106*VLOOKUP('Données projet'!$B$12,Paramètres!$A$1:$I$89,3,0)*0.475*44/12</f>
        <v>1.0379209423947113</v>
      </c>
      <c r="CM106" s="21">
        <f>EXP(-LN(2)/2)*CM105+(1-EXP(-LN(2)/2))/(LN(2)/2)*CG106*CJ106*VLOOKUP('Données projet'!$B$12,Paramètres!$A$1:$I$89,3,0)*0.475*44/12</f>
        <v>1.0117071597837169E-10</v>
      </c>
      <c r="CN106" s="22">
        <f t="shared" si="66"/>
        <v>1.7763640102163081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-5.6843418860808015E-13</v>
      </c>
      <c r="CU106" s="17">
        <f>CT106*VLOOKUP('Données projet'!$B$13,Paramètres!$A$1:$I$89,3,0)*VLOOKUP('Données projet'!$B$13,Paramètres!$A$1:$I$89,5,0)</f>
        <v>-3.177547114319168E-13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356.67698551373468</v>
      </c>
      <c r="CZ106" s="59">
        <f t="shared" si="96"/>
        <v>353.21836615408171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1.0761140807738969</v>
      </c>
      <c r="DG106" s="21">
        <f>EXP(-LN(2)/25)*DG105+(1-EXP(-LN(2)/25))/(LN(2)/25)*Calculateur!DB106*Calculateur!DD106*VLOOKUP('Données projet'!$B$13,Paramètres!$A$1:$I$89,3,0)*0.475*44/12</f>
        <v>3.9866688320959396</v>
      </c>
      <c r="DH106" s="21">
        <f>EXP(-LN(2)/2)*DH105+(1-EXP(-LN(2)/2))/(LN(2)/2)*DB106*DE106*VLOOKUP('Données projet'!$B$13,Paramètres!$A$1:$I$89,3,0)*0.475*44/12</f>
        <v>3.3464441694498112E-10</v>
      </c>
      <c r="DI106" s="22">
        <f t="shared" si="69"/>
        <v>5.0627829132044813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-4.5474735088646412E-13</v>
      </c>
      <c r="DP106" s="17">
        <f>DO106*VLOOKUP('Données projet'!$B$14,Paramètres!$A$1:$I$89,3,0)*VLOOKUP('Données projet'!$B$14,Paramètres!$A$1:$I$89,5,0)</f>
        <v>-2.7193891583010558E-13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247.30892363953825</v>
      </c>
      <c r="DU106" s="59">
        <f t="shared" si="98"/>
        <v>248.38414731596578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1.6977379227791891</v>
      </c>
      <c r="EC106" s="21">
        <f>EXP(-LN(2)/2)*EC105+(1-EXP(-LN(2)/2))/(LN(2)/2)*DW106*DZ106*VLOOKUP('Données projet'!$B$14,Paramètres!$A$1:$I$89,3,0)*0.475*44/12</f>
        <v>2.4416936910701555E-10</v>
      </c>
      <c r="ED106" s="22">
        <f t="shared" si="72"/>
        <v>1.6977379230233585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-4.5474735088646412E-13</v>
      </c>
      <c r="EK106" s="17">
        <f>EJ106*VLOOKUP('Données projet'!$B$15,Paramètres!$A$1:$I$89,3,0)*VLOOKUP('Données projet'!$B$15,Paramètres!$A$1:$I$89,5,0)</f>
        <v>-2.7193891583010558E-13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247.30892363953825</v>
      </c>
      <c r="EP106" s="59">
        <f t="shared" si="100"/>
        <v>248.38414731596578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1.6977379227791891</v>
      </c>
      <c r="EX106" s="21">
        <f>EXP(-LN(2)/2)*EX105+(1-EXP(-LN(2)/2))/(LN(2)/2)*ER106*EU106*VLOOKUP('Données projet'!$B$15,Paramètres!$A$1:$I$89,3,0)*0.475*44/12</f>
        <v>2.4416936910701555E-10</v>
      </c>
      <c r="EY106" s="22">
        <f t="shared" si="75"/>
        <v>1.6977379230233585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6.8212102632969618E-13</v>
      </c>
      <c r="FF106" s="17">
        <f>FE106*VLOOKUP('Données projet'!$B$16,Paramètres!$A$1:$I$89,3,0)*VLOOKUP('Données projet'!$B$16,Paramètres!$A$1:$I$89,5,0)</f>
        <v>3.2810021366458383E-13</v>
      </c>
      <c r="FG106" s="13">
        <f t="shared" si="101"/>
        <v>4.2923528923937213E-12</v>
      </c>
      <c r="FH106" s="20">
        <f t="shared" si="76"/>
        <v>8.0472891597182151E-12</v>
      </c>
      <c r="FI106" s="59">
        <f t="shared" si="77"/>
        <v>293.33333333334139</v>
      </c>
      <c r="FJ106" s="59">
        <f ca="1">AVERAGE(OFFSET($FI$3,0,0,'Données projet'!$E$16+1,1))-AVERAGE(OFFSET($H$3,0,0,'Données projet'!$E$16+1,1))</f>
        <v>322.54393676667081</v>
      </c>
      <c r="FK106" s="59">
        <f t="shared" si="102"/>
        <v>296.73904998640018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1.5873576473874078</v>
      </c>
      <c r="FR106" s="21">
        <f>EXP(-LN(2)/25)*FR105+(1-EXP(-LN(2)/25))/(LN(2)/25)*Calculateur!FM106*Calculateur!FO106*VLOOKUP('Données projet'!$B$16,Paramètres!$A$1:$I$89,3,0)*0.475*44/12</f>
        <v>1.7735621065655327</v>
      </c>
      <c r="FS106" s="21">
        <f>EXP(-LN(2)/2)*FS105+(1-EXP(-LN(2)/2))/(LN(2)/2)*FM106*FP106*VLOOKUP('Données projet'!$B$16,Paramètres!$A$1:$I$89,3,0)*0.475*44/12</f>
        <v>2.1518747927023058E-10</v>
      </c>
      <c r="FT106" s="22">
        <f t="shared" si="78"/>
        <v>3.3609197541681279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293.33333333333974</v>
      </c>
      <c r="S107" s="59">
        <f ca="1">AVERAGE(OFFSET($R$3,0,0,'Données projet'!$E$9+1,1))-AVERAGE(OFFSET($H$3,0,0,'Données projet'!$E$9+1,1))</f>
        <v>401.06118089678654</v>
      </c>
      <c r="T107" s="59">
        <f t="shared" si="88"/>
        <v>399.58193819355591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6.2527760746888816E-13</v>
      </c>
      <c r="AJ107" s="13">
        <f>AI107*VLOOKUP('Données projet'!$B$10,Paramètres!$A$1:$I$89,3,0)*VLOOKUP('Données projet'!$B$10,Paramètres!$A$1:$I$89,5,0)</f>
        <v>3.9017322706058616E-13</v>
      </c>
      <c r="AK107" s="13">
        <f t="shared" si="89"/>
        <v>5.0025007393608908E-12</v>
      </c>
      <c r="AL107" s="20">
        <f t="shared" si="58"/>
        <v>9.3922404915174053E-12</v>
      </c>
      <c r="AM107" s="59">
        <f t="shared" si="59"/>
        <v>293.33333333334269</v>
      </c>
      <c r="AN107" s="59">
        <f ca="1">AVERAGE(OFFSET($AM$3,0,0,'Données projet'!$E$10+1,1))-AVERAGE(OFFSET($H$3,0,0,'Données projet'!$E$10+1,1))</f>
        <v>240.30073883588199</v>
      </c>
      <c r="AO107" s="59">
        <f t="shared" si="90"/>
        <v>263.20351282678843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1.6059381412485885</v>
      </c>
      <c r="AV107" s="21">
        <f>EXP(-LN(2)/25)*AV106+(1-EXP(-LN(2)/25))/(LN(2)/25)*Calculateur!AQ107*Calculateur!AS107*VLOOKUP('Données projet'!$B$10,Paramètres!$A$1:$I$89,3,0)*0.475*44/12</f>
        <v>2.6715420140958517</v>
      </c>
      <c r="AW107" s="21">
        <f>EXP(-LN(2)/2)*AW106+(1-EXP(-LN(2)/2))/(LN(2)/2)*AQ107*AT107*VLOOKUP('Données projet'!$B$10,Paramètres!$A$1:$I$89,3,0)*0.475*44/12</f>
        <v>1.4690751780082868E-10</v>
      </c>
      <c r="AX107" s="21">
        <f t="shared" si="60"/>
        <v>4.2774801554913475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-1.0936673788819462E-13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364.67510777943329</v>
      </c>
      <c r="BJ107" s="59">
        <f t="shared" si="92"/>
        <v>352.13878061387169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2.0425525734005503</v>
      </c>
      <c r="BQ107" s="21">
        <f>EXP(-LN(2)/25)*BQ106+(1-EXP(-LN(2)/25))/(LN(2)/25)*Calculateur!BL107*Calculateur!BN107*VLOOKUP('Données projet'!$B$11,Paramètres!$A$1:$I$89,3,0)*0.475*44/12</f>
        <v>2.315214960200294</v>
      </c>
      <c r="BR107" s="21">
        <f>EXP(-LN(2)/2)*BR106+(1-EXP(-LN(2)/2))/(LN(2)/2)*BL107*BO107*VLOOKUP('Données projet'!$B$11,Paramètres!$A$1:$I$89,3,0)*0.475*44/12</f>
        <v>1.9989643296604427E-10</v>
      </c>
      <c r="BS107" s="22">
        <f t="shared" si="63"/>
        <v>4.3577675338007404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-5.3205440053716299E-14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252.98248842635206</v>
      </c>
      <c r="CE107" s="59">
        <f t="shared" si="94"/>
        <v>207.11938580878308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0.72396264956822598</v>
      </c>
      <c r="CL107" s="21">
        <f>EXP(-LN(2)/25)*CL106+(1-EXP(-LN(2)/25))/(LN(2)/25)*Calculateur!CG107*Calculateur!CI107*VLOOKUP('Données projet'!$B$12,Paramètres!$A$1:$I$89,3,0)*0.475*44/12</f>
        <v>1.0095389396430379</v>
      </c>
      <c r="CM107" s="21">
        <f>EXP(-LN(2)/2)*CM106+(1-EXP(-LN(2)/2))/(LN(2)/2)*CG107*CJ107*VLOOKUP('Données projet'!$B$12,Paramètres!$A$1:$I$89,3,0)*0.475*44/12</f>
        <v>7.1538499325804819E-11</v>
      </c>
      <c r="CN107" s="22">
        <f t="shared" si="66"/>
        <v>1.7335015892828023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-5.6843418860808015E-13</v>
      </c>
      <c r="CU107" s="17">
        <f>CT107*VLOOKUP('Données projet'!$B$13,Paramètres!$A$1:$I$89,3,0)*VLOOKUP('Données projet'!$B$13,Paramètres!$A$1:$I$89,5,0)</f>
        <v>-3.177547114319168E-13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356.67698551373468</v>
      </c>
      <c r="CZ107" s="59">
        <f t="shared" si="96"/>
        <v>353.21836615408171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1.0550121400146995</v>
      </c>
      <c r="DG107" s="21">
        <f>EXP(-LN(2)/25)*DG106+(1-EXP(-LN(2)/25))/(LN(2)/25)*Calculateur!DB107*Calculateur!DD107*VLOOKUP('Données projet'!$B$13,Paramètres!$A$1:$I$89,3,0)*0.475*44/12</f>
        <v>3.8776531632324738</v>
      </c>
      <c r="DH107" s="21">
        <f>EXP(-LN(2)/2)*DH106+(1-EXP(-LN(2)/2))/(LN(2)/2)*DB107*DE107*VLOOKUP('Données projet'!$B$13,Paramètres!$A$1:$I$89,3,0)*0.475*44/12</f>
        <v>2.3662933650801454E-10</v>
      </c>
      <c r="DI107" s="22">
        <f t="shared" si="69"/>
        <v>4.9326653034838026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-4.5474735088646412E-13</v>
      </c>
      <c r="DP107" s="17">
        <f>DO107*VLOOKUP('Données projet'!$B$14,Paramètres!$A$1:$I$89,3,0)*VLOOKUP('Données projet'!$B$14,Paramètres!$A$1:$I$89,5,0)</f>
        <v>-2.7193891583010558E-13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247.30892363953825</v>
      </c>
      <c r="DU107" s="59">
        <f t="shared" si="98"/>
        <v>248.38414731596578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1.651313190000635</v>
      </c>
      <c r="EC107" s="21">
        <f>EXP(-LN(2)/2)*EC106+(1-EXP(-LN(2)/2))/(LN(2)/2)*DW107*DZ107*VLOOKUP('Données projet'!$B$14,Paramètres!$A$1:$I$89,3,0)*0.475*44/12</f>
        <v>1.726538166536118E-10</v>
      </c>
      <c r="ED107" s="22">
        <f t="shared" si="72"/>
        <v>1.6513131901732889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-4.5474735088646412E-13</v>
      </c>
      <c r="EK107" s="17">
        <f>EJ107*VLOOKUP('Données projet'!$B$15,Paramètres!$A$1:$I$89,3,0)*VLOOKUP('Données projet'!$B$15,Paramètres!$A$1:$I$89,5,0)</f>
        <v>-2.7193891583010558E-13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247.30892363953825</v>
      </c>
      <c r="EP107" s="59">
        <f t="shared" si="100"/>
        <v>248.38414731596578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1.651313190000635</v>
      </c>
      <c r="EX107" s="21">
        <f>EXP(-LN(2)/2)*EX106+(1-EXP(-LN(2)/2))/(LN(2)/2)*ER107*EU107*VLOOKUP('Données projet'!$B$15,Paramètres!$A$1:$I$89,3,0)*0.475*44/12</f>
        <v>1.726538166536118E-10</v>
      </c>
      <c r="EY107" s="22">
        <f t="shared" si="75"/>
        <v>1.6513131901732889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6.8212102632969618E-13</v>
      </c>
      <c r="FF107" s="17">
        <f>FE107*VLOOKUP('Données projet'!$B$16,Paramètres!$A$1:$I$89,3,0)*VLOOKUP('Données projet'!$B$16,Paramètres!$A$1:$I$89,5,0)</f>
        <v>3.2810021366458383E-13</v>
      </c>
      <c r="FG107" s="13">
        <f t="shared" si="101"/>
        <v>4.2923528923937213E-12</v>
      </c>
      <c r="FH107" s="20">
        <f t="shared" si="76"/>
        <v>8.0472891597182151E-12</v>
      </c>
      <c r="FI107" s="59">
        <f t="shared" si="77"/>
        <v>293.33333333334139</v>
      </c>
      <c r="FJ107" s="59">
        <f ca="1">AVERAGE(OFFSET($FI$3,0,0,'Données projet'!$E$16+1,1))-AVERAGE(OFFSET($H$3,0,0,'Données projet'!$E$16+1,1))</f>
        <v>322.54393676667081</v>
      </c>
      <c r="FK107" s="59">
        <f t="shared" si="102"/>
        <v>296.73904998640018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1.5562305321147045</v>
      </c>
      <c r="FR107" s="21">
        <f>EXP(-LN(2)/25)*FR106+(1-EXP(-LN(2)/25))/(LN(2)/25)*Calculateur!FM107*Calculateur!FO107*VLOOKUP('Données projet'!$B$16,Paramètres!$A$1:$I$89,3,0)*0.475*44/12</f>
        <v>1.7250639574939206</v>
      </c>
      <c r="FS107" s="21">
        <f>EXP(-LN(2)/2)*FS106+(1-EXP(-LN(2)/2))/(LN(2)/2)*FM107*FP107*VLOOKUP('Données projet'!$B$16,Paramètres!$A$1:$I$89,3,0)*0.475*44/12</f>
        <v>1.5216052581841967E-10</v>
      </c>
      <c r="FT107" s="22">
        <f t="shared" si="78"/>
        <v>3.2812944897607856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293.33333333333974</v>
      </c>
      <c r="S108" s="59">
        <f ca="1">AVERAGE(OFFSET($R$3,0,0,'Données projet'!$E$9+1,1))-AVERAGE(OFFSET($H$3,0,0,'Données projet'!$E$9+1,1))</f>
        <v>401.06118089678654</v>
      </c>
      <c r="T108" s="59">
        <f t="shared" si="88"/>
        <v>399.58193819355591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6.2527760746888816E-13</v>
      </c>
      <c r="AJ108" s="13">
        <f>AI108*VLOOKUP('Données projet'!$B$10,Paramètres!$A$1:$I$89,3,0)*VLOOKUP('Données projet'!$B$10,Paramètres!$A$1:$I$89,5,0)</f>
        <v>3.9017322706058616E-13</v>
      </c>
      <c r="AK108" s="13">
        <f t="shared" si="89"/>
        <v>5.0025007393608908E-12</v>
      </c>
      <c r="AL108" s="20">
        <f t="shared" si="58"/>
        <v>9.3922404915174053E-12</v>
      </c>
      <c r="AM108" s="59">
        <f t="shared" si="59"/>
        <v>293.33333333334269</v>
      </c>
      <c r="AN108" s="59">
        <f ca="1">AVERAGE(OFFSET($AM$3,0,0,'Données projet'!$E$10+1,1))-AVERAGE(OFFSET($H$3,0,0,'Données projet'!$E$10+1,1))</f>
        <v>240.30073883588199</v>
      </c>
      <c r="AO108" s="59">
        <f t="shared" si="90"/>
        <v>263.20351282678843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1.5744466738242497</v>
      </c>
      <c r="AV108" s="21">
        <f>EXP(-LN(2)/25)*AV107+(1-EXP(-LN(2)/25))/(LN(2)/25)*Calculateur!AQ108*Calculateur!AS108*VLOOKUP('Données projet'!$B$10,Paramètres!$A$1:$I$89,3,0)*0.475*44/12</f>
        <v>2.598488557230112</v>
      </c>
      <c r="AW108" s="21">
        <f>EXP(-LN(2)/2)*AW107+(1-EXP(-LN(2)/2))/(LN(2)/2)*AQ108*AT108*VLOOKUP('Données projet'!$B$10,Paramètres!$A$1:$I$89,3,0)*0.475*44/12</f>
        <v>1.038793020442494E-10</v>
      </c>
      <c r="AX108" s="21">
        <f t="shared" si="60"/>
        <v>4.1729352311582417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-1.0936673788819462E-13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364.67510777943329</v>
      </c>
      <c r="BJ108" s="59">
        <f t="shared" si="92"/>
        <v>352.13878061387169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2.0024993632702195</v>
      </c>
      <c r="BQ108" s="21">
        <f>EXP(-LN(2)/25)*BQ107+(1-EXP(-LN(2)/25))/(LN(2)/25)*Calculateur!BL108*Calculateur!BN108*VLOOKUP('Données projet'!$B$11,Paramètres!$A$1:$I$89,3,0)*0.475*44/12</f>
        <v>2.2519052853617536</v>
      </c>
      <c r="BR108" s="21">
        <f>EXP(-LN(2)/2)*BR107+(1-EXP(-LN(2)/2))/(LN(2)/2)*BL108*BO108*VLOOKUP('Données projet'!$B$11,Paramètres!$A$1:$I$89,3,0)*0.475*44/12</f>
        <v>1.4134812328529203E-10</v>
      </c>
      <c r="BS108" s="22">
        <f t="shared" si="63"/>
        <v>4.2544046487733214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-5.3205440053716299E-14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252.98248842635206</v>
      </c>
      <c r="CE108" s="59">
        <f t="shared" si="94"/>
        <v>207.11938580878308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0.7097661835838075</v>
      </c>
      <c r="CL108" s="21">
        <f>EXP(-LN(2)/25)*CL107+(1-EXP(-LN(2)/25))/(LN(2)/25)*Calculateur!CG108*Calculateur!CI108*VLOOKUP('Données projet'!$B$12,Paramètres!$A$1:$I$89,3,0)*0.475*44/12</f>
        <v>0.98193304424915351</v>
      </c>
      <c r="CM108" s="21">
        <f>EXP(-LN(2)/2)*CM107+(1-EXP(-LN(2)/2))/(LN(2)/2)*CG108*CJ108*VLOOKUP('Données projet'!$B$12,Paramètres!$A$1:$I$89,3,0)*0.475*44/12</f>
        <v>5.0585357989185847E-11</v>
      </c>
      <c r="CN108" s="22">
        <f t="shared" si="66"/>
        <v>1.6916992278835463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-5.6843418860808015E-13</v>
      </c>
      <c r="CU108" s="17">
        <f>CT108*VLOOKUP('Données projet'!$B$13,Paramètres!$A$1:$I$89,3,0)*VLOOKUP('Données projet'!$B$13,Paramètres!$A$1:$I$89,5,0)</f>
        <v>-3.177547114319168E-13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356.67698551373468</v>
      </c>
      <c r="CZ108" s="59">
        <f t="shared" si="96"/>
        <v>353.21836615408171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1.0343239954428769</v>
      </c>
      <c r="DG108" s="21">
        <f>EXP(-LN(2)/25)*DG107+(1-EXP(-LN(2)/25))/(LN(2)/25)*Calculateur!DB108*Calculateur!DD108*VLOOKUP('Données projet'!$B$13,Paramètres!$A$1:$I$89,3,0)*0.475*44/12</f>
        <v>3.7716185335669645</v>
      </c>
      <c r="DH108" s="21">
        <f>EXP(-LN(2)/2)*DH107+(1-EXP(-LN(2)/2))/(LN(2)/2)*DB108*DE108*VLOOKUP('Données projet'!$B$13,Paramètres!$A$1:$I$89,3,0)*0.475*44/12</f>
        <v>1.6732220847249056E-10</v>
      </c>
      <c r="DI108" s="22">
        <f t="shared" si="69"/>
        <v>4.8059425291771634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-4.5474735088646412E-13</v>
      </c>
      <c r="DP108" s="17">
        <f>DO108*VLOOKUP('Données projet'!$B$14,Paramètres!$A$1:$I$89,3,0)*VLOOKUP('Données projet'!$B$14,Paramètres!$A$1:$I$89,5,0)</f>
        <v>-2.7193891583010558E-13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247.30892363953825</v>
      </c>
      <c r="DU108" s="59">
        <f t="shared" si="98"/>
        <v>248.38414731596578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1.6061579439812812</v>
      </c>
      <c r="EC108" s="21">
        <f>EXP(-LN(2)/2)*EC107+(1-EXP(-LN(2)/2))/(LN(2)/2)*DW108*DZ108*VLOOKUP('Données projet'!$B$14,Paramètres!$A$1:$I$89,3,0)*0.475*44/12</f>
        <v>1.2208468455350777E-10</v>
      </c>
      <c r="ED108" s="22">
        <f t="shared" si="72"/>
        <v>1.606157944103366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-4.5474735088646412E-13</v>
      </c>
      <c r="EK108" s="17">
        <f>EJ108*VLOOKUP('Données projet'!$B$15,Paramètres!$A$1:$I$89,3,0)*VLOOKUP('Données projet'!$B$15,Paramètres!$A$1:$I$89,5,0)</f>
        <v>-2.7193891583010558E-13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247.30892363953825</v>
      </c>
      <c r="EP108" s="59">
        <f t="shared" si="100"/>
        <v>248.38414731596578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1.6061579439812812</v>
      </c>
      <c r="EX108" s="21">
        <f>EXP(-LN(2)/2)*EX107+(1-EXP(-LN(2)/2))/(LN(2)/2)*ER108*EU108*VLOOKUP('Données projet'!$B$15,Paramètres!$A$1:$I$89,3,0)*0.475*44/12</f>
        <v>1.2208468455350777E-10</v>
      </c>
      <c r="EY108" s="22">
        <f t="shared" si="75"/>
        <v>1.606157944103366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6.8212102632969618E-13</v>
      </c>
      <c r="FF108" s="17">
        <f>FE108*VLOOKUP('Données projet'!$B$16,Paramètres!$A$1:$I$89,3,0)*VLOOKUP('Données projet'!$B$16,Paramètres!$A$1:$I$89,5,0)</f>
        <v>3.2810021366458383E-13</v>
      </c>
      <c r="FG108" s="13">
        <f t="shared" si="101"/>
        <v>4.2923528923937213E-12</v>
      </c>
      <c r="FH108" s="20">
        <f t="shared" si="76"/>
        <v>8.0472891597182151E-12</v>
      </c>
      <c r="FI108" s="59">
        <f t="shared" si="77"/>
        <v>293.33333333334139</v>
      </c>
      <c r="FJ108" s="59">
        <f ca="1">AVERAGE(OFFSET($FI$3,0,0,'Données projet'!$E$16+1,1))-AVERAGE(OFFSET($H$3,0,0,'Données projet'!$E$16+1,1))</f>
        <v>322.54393676667081</v>
      </c>
      <c r="FK108" s="59">
        <f t="shared" si="102"/>
        <v>296.73904998640018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1.5257138005868334</v>
      </c>
      <c r="FR108" s="21">
        <f>EXP(-LN(2)/25)*FR107+(1-EXP(-LN(2)/25))/(LN(2)/25)*Calculateur!FM108*Calculateur!FO108*VLOOKUP('Données projet'!$B$16,Paramètres!$A$1:$I$89,3,0)*0.475*44/12</f>
        <v>1.6778919928590785</v>
      </c>
      <c r="FS108" s="21">
        <f>EXP(-LN(2)/2)*FS107+(1-EXP(-LN(2)/2))/(LN(2)/2)*FM108*FP108*VLOOKUP('Données projet'!$B$16,Paramètres!$A$1:$I$89,3,0)*0.475*44/12</f>
        <v>1.0759373963511529E-10</v>
      </c>
      <c r="FT108" s="22">
        <f t="shared" si="78"/>
        <v>3.2036057935535061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293.33333333333974</v>
      </c>
      <c r="S109" s="59">
        <f ca="1">AVERAGE(OFFSET($R$3,0,0,'Données projet'!$E$9+1,1))-AVERAGE(OFFSET($H$3,0,0,'Données projet'!$E$9+1,1))</f>
        <v>401.06118089678654</v>
      </c>
      <c r="T109" s="59">
        <f t="shared" si="88"/>
        <v>399.58193819355591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6.2527760746888816E-13</v>
      </c>
      <c r="AJ109" s="13">
        <f>AI109*VLOOKUP('Données projet'!$B$10,Paramètres!$A$1:$I$89,3,0)*VLOOKUP('Données projet'!$B$10,Paramètres!$A$1:$I$89,5,0)</f>
        <v>3.9017322706058616E-13</v>
      </c>
      <c r="AK109" s="13">
        <f t="shared" si="89"/>
        <v>5.0025007393608908E-12</v>
      </c>
      <c r="AL109" s="20">
        <f t="shared" si="58"/>
        <v>9.3922404915174053E-12</v>
      </c>
      <c r="AM109" s="59">
        <f t="shared" si="59"/>
        <v>293.33333333334269</v>
      </c>
      <c r="AN109" s="59">
        <f ca="1">AVERAGE(OFFSET($AM$3,0,0,'Données projet'!$E$10+1,1))-AVERAGE(OFFSET($H$3,0,0,'Données projet'!$E$10+1,1))</f>
        <v>240.30073883588199</v>
      </c>
      <c r="AO109" s="59">
        <f t="shared" si="90"/>
        <v>263.20351282678843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1.5435727348682038</v>
      </c>
      <c r="AV109" s="21">
        <f>EXP(-LN(2)/25)*AV108+(1-EXP(-LN(2)/25))/(LN(2)/25)*Calculateur!AQ109*Calculateur!AS109*VLOOKUP('Données projet'!$B$10,Paramètres!$A$1:$I$89,3,0)*0.475*44/12</f>
        <v>2.5274327509840804</v>
      </c>
      <c r="AW109" s="21">
        <f>EXP(-LN(2)/2)*AW108+(1-EXP(-LN(2)/2))/(LN(2)/2)*AQ109*AT109*VLOOKUP('Données projet'!$B$10,Paramètres!$A$1:$I$89,3,0)*0.475*44/12</f>
        <v>7.3453758900414338E-11</v>
      </c>
      <c r="AX109" s="21">
        <f t="shared" si="60"/>
        <v>4.0710054859257383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-1.0936673788819462E-13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364.67510777943329</v>
      </c>
      <c r="BJ109" s="59">
        <f t="shared" si="92"/>
        <v>352.13878061387169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1.9632315721604985</v>
      </c>
      <c r="BQ109" s="21">
        <f>EXP(-LN(2)/25)*BQ108+(1-EXP(-LN(2)/25))/(LN(2)/25)*Calculateur!BL109*Calculateur!BN109*VLOOKUP('Données projet'!$B$11,Paramètres!$A$1:$I$89,3,0)*0.475*44/12</f>
        <v>2.1903268169109844</v>
      </c>
      <c r="BR109" s="21">
        <f>EXP(-LN(2)/2)*BR108+(1-EXP(-LN(2)/2))/(LN(2)/2)*BL109*BO109*VLOOKUP('Données projet'!$B$11,Paramètres!$A$1:$I$89,3,0)*0.475*44/12</f>
        <v>9.9948216483022133E-11</v>
      </c>
      <c r="BS109" s="22">
        <f t="shared" si="63"/>
        <v>4.1535583891714314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-5.3205440053716299E-14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252.98248842635206</v>
      </c>
      <c r="CE109" s="59">
        <f t="shared" si="94"/>
        <v>207.11938580878308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0.6958481016383542</v>
      </c>
      <c r="CL109" s="21">
        <f>EXP(-LN(2)/25)*CL108+(1-EXP(-LN(2)/25))/(LN(2)/25)*Calculateur!CG109*Calculateur!CI109*VLOOKUP('Données projet'!$B$12,Paramètres!$A$1:$I$89,3,0)*0.475*44/12</f>
        <v>0.95508203351654586</v>
      </c>
      <c r="CM109" s="21">
        <f>EXP(-LN(2)/2)*CM108+(1-EXP(-LN(2)/2))/(LN(2)/2)*CG109*CJ109*VLOOKUP('Données projet'!$B$12,Paramètres!$A$1:$I$89,3,0)*0.475*44/12</f>
        <v>3.576924966290241E-11</v>
      </c>
      <c r="CN109" s="22">
        <f t="shared" si="66"/>
        <v>1.6509301351906691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-5.6843418860808015E-13</v>
      </c>
      <c r="CU109" s="17">
        <f>CT109*VLOOKUP('Données projet'!$B$13,Paramètres!$A$1:$I$89,3,0)*VLOOKUP('Données projet'!$B$13,Paramètres!$A$1:$I$89,5,0)</f>
        <v>-3.177547114319168E-13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356.67698551373468</v>
      </c>
      <c r="CZ109" s="59">
        <f t="shared" si="96"/>
        <v>353.21836615408171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1.0140415327675856</v>
      </c>
      <c r="DG109" s="21">
        <f>EXP(-LN(2)/25)*DG108+(1-EXP(-LN(2)/25))/(LN(2)/25)*Calculateur!DB109*Calculateur!DD109*VLOOKUP('Données projet'!$B$13,Paramètres!$A$1:$I$89,3,0)*0.475*44/12</f>
        <v>3.6684834264257775</v>
      </c>
      <c r="DH109" s="21">
        <f>EXP(-LN(2)/2)*DH108+(1-EXP(-LN(2)/2))/(LN(2)/2)*DB109*DE109*VLOOKUP('Données projet'!$B$13,Paramètres!$A$1:$I$89,3,0)*0.475*44/12</f>
        <v>1.1831466825400727E-10</v>
      </c>
      <c r="DI109" s="22">
        <f t="shared" si="69"/>
        <v>4.6825249593116771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-4.5474735088646412E-13</v>
      </c>
      <c r="DP109" s="17">
        <f>DO109*VLOOKUP('Données projet'!$B$14,Paramètres!$A$1:$I$89,3,0)*VLOOKUP('Données projet'!$B$14,Paramètres!$A$1:$I$89,5,0)</f>
        <v>-2.7193891583010558E-13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247.30892363953825</v>
      </c>
      <c r="DU109" s="59">
        <f t="shared" si="98"/>
        <v>248.38414731596578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1.5622374705389377</v>
      </c>
      <c r="EC109" s="21">
        <f>EXP(-LN(2)/2)*EC108+(1-EXP(-LN(2)/2))/(LN(2)/2)*DW109*DZ109*VLOOKUP('Données projet'!$B$14,Paramètres!$A$1:$I$89,3,0)*0.475*44/12</f>
        <v>8.6326908326805902E-11</v>
      </c>
      <c r="ED109" s="22">
        <f t="shared" si="72"/>
        <v>1.5622374706252646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-4.5474735088646412E-13</v>
      </c>
      <c r="EK109" s="17">
        <f>EJ109*VLOOKUP('Données projet'!$B$15,Paramètres!$A$1:$I$89,3,0)*VLOOKUP('Données projet'!$B$15,Paramètres!$A$1:$I$89,5,0)</f>
        <v>-2.7193891583010558E-13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247.30892363953825</v>
      </c>
      <c r="EP109" s="59">
        <f t="shared" si="100"/>
        <v>248.38414731596578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1.5622374705389377</v>
      </c>
      <c r="EX109" s="21">
        <f>EXP(-LN(2)/2)*EX108+(1-EXP(-LN(2)/2))/(LN(2)/2)*ER109*EU109*VLOOKUP('Données projet'!$B$15,Paramètres!$A$1:$I$89,3,0)*0.475*44/12</f>
        <v>8.6326908326805902E-11</v>
      </c>
      <c r="EY109" s="22">
        <f t="shared" si="75"/>
        <v>1.5622374706252646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6.8212102632969618E-13</v>
      </c>
      <c r="FF109" s="17">
        <f>FE109*VLOOKUP('Données projet'!$B$16,Paramètres!$A$1:$I$89,3,0)*VLOOKUP('Données projet'!$B$16,Paramètres!$A$1:$I$89,5,0)</f>
        <v>3.2810021366458383E-13</v>
      </c>
      <c r="FG109" s="13">
        <f t="shared" si="101"/>
        <v>4.2923528923937213E-12</v>
      </c>
      <c r="FH109" s="20">
        <f t="shared" si="76"/>
        <v>8.0472891597182151E-12</v>
      </c>
      <c r="FI109" s="59">
        <f t="shared" si="77"/>
        <v>293.33333333334139</v>
      </c>
      <c r="FJ109" s="59">
        <f ca="1">AVERAGE(OFFSET($FI$3,0,0,'Données projet'!$E$16+1,1))-AVERAGE(OFFSET($H$3,0,0,'Données projet'!$E$16+1,1))</f>
        <v>322.54393676667081</v>
      </c>
      <c r="FK109" s="59">
        <f t="shared" si="102"/>
        <v>296.73904998640018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1.4957954835508553</v>
      </c>
      <c r="FR109" s="21">
        <f>EXP(-LN(2)/25)*FR108+(1-EXP(-LN(2)/25))/(LN(2)/25)*Calculateur!FM109*Calculateur!FO109*VLOOKUP('Données projet'!$B$16,Paramètres!$A$1:$I$89,3,0)*0.475*44/12</f>
        <v>1.6320099480778421</v>
      </c>
      <c r="FS109" s="21">
        <f>EXP(-LN(2)/2)*FS108+(1-EXP(-LN(2)/2))/(LN(2)/2)*FM109*FP109*VLOOKUP('Données projet'!$B$16,Paramètres!$A$1:$I$89,3,0)*0.475*44/12</f>
        <v>7.6080262909209833E-11</v>
      </c>
      <c r="FT109" s="22">
        <f t="shared" si="78"/>
        <v>3.1278054317047781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293.33333333333974</v>
      </c>
      <c r="S110" s="59">
        <f ca="1">AVERAGE(OFFSET($R$3,0,0,'Données projet'!$E$9+1,1))-AVERAGE(OFFSET($H$3,0,0,'Données projet'!$E$9+1,1))</f>
        <v>401.06118089678654</v>
      </c>
      <c r="T110" s="59">
        <f t="shared" si="88"/>
        <v>399.58193819355591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6.2527760746888816E-13</v>
      </c>
      <c r="AJ110" s="13">
        <f>AI110*VLOOKUP('Données projet'!$B$10,Paramètres!$A$1:$I$89,3,0)*VLOOKUP('Données projet'!$B$10,Paramètres!$A$1:$I$89,5,0)</f>
        <v>3.9017322706058616E-13</v>
      </c>
      <c r="AK110" s="13">
        <f t="shared" si="89"/>
        <v>5.0025007393608908E-12</v>
      </c>
      <c r="AL110" s="20">
        <f t="shared" si="58"/>
        <v>9.3922404915174053E-12</v>
      </c>
      <c r="AM110" s="59">
        <f t="shared" si="59"/>
        <v>293.33333333334269</v>
      </c>
      <c r="AN110" s="59">
        <f ca="1">AVERAGE(OFFSET($AM$3,0,0,'Données projet'!$E$10+1,1))-AVERAGE(OFFSET($H$3,0,0,'Données projet'!$E$10+1,1))</f>
        <v>240.30073883588199</v>
      </c>
      <c r="AO110" s="59">
        <f t="shared" si="90"/>
        <v>263.20351282678843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1.5133042150238425</v>
      </c>
      <c r="AV110" s="21">
        <f>EXP(-LN(2)/25)*AV109+(1-EXP(-LN(2)/25))/(LN(2)/25)*Calculateur!AQ110*Calculateur!AS110*VLOOKUP('Données projet'!$B$10,Paramètres!$A$1:$I$89,3,0)*0.475*44/12</f>
        <v>2.4583199694965088</v>
      </c>
      <c r="AW110" s="21">
        <f>EXP(-LN(2)/2)*AW109+(1-EXP(-LN(2)/2))/(LN(2)/2)*AQ110*AT110*VLOOKUP('Données projet'!$B$10,Paramètres!$A$1:$I$89,3,0)*0.475*44/12</f>
        <v>5.1939651022124699E-11</v>
      </c>
      <c r="AX110" s="21">
        <f t="shared" si="60"/>
        <v>3.971624184572291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-1.0936673788819462E-13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364.67510777943329</v>
      </c>
      <c r="BJ110" s="59">
        <f t="shared" si="92"/>
        <v>352.13878061387169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1.9247337984834514</v>
      </c>
      <c r="BQ110" s="21">
        <f>EXP(-LN(2)/25)*BQ109+(1-EXP(-LN(2)/25))/(LN(2)/25)*Calculateur!BL110*Calculateur!BN110*VLOOKUP('Données projet'!$B$11,Paramètres!$A$1:$I$89,3,0)*0.475*44/12</f>
        <v>2.1304322149182724</v>
      </c>
      <c r="BR110" s="21">
        <f>EXP(-LN(2)/2)*BR109+(1-EXP(-LN(2)/2))/(LN(2)/2)*BL110*BO110*VLOOKUP('Données projet'!$B$11,Paramètres!$A$1:$I$89,3,0)*0.475*44/12</f>
        <v>7.0674061642646013E-11</v>
      </c>
      <c r="BS110" s="22">
        <f t="shared" si="63"/>
        <v>4.0551660134723981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-5.3205440053716299E-14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252.98248842635206</v>
      </c>
      <c r="CE110" s="59">
        <f t="shared" si="94"/>
        <v>207.11938580878308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0.68220294479065957</v>
      </c>
      <c r="CL110" s="21">
        <f>EXP(-LN(2)/25)*CL109+(1-EXP(-LN(2)/25))/(LN(2)/25)*Calculateur!CG110*Calculateur!CI110*VLOOKUP('Données projet'!$B$12,Paramètres!$A$1:$I$89,3,0)*0.475*44/12</f>
        <v>0.92896526508445465</v>
      </c>
      <c r="CM110" s="21">
        <f>EXP(-LN(2)/2)*CM109+(1-EXP(-LN(2)/2))/(LN(2)/2)*CG110*CJ110*VLOOKUP('Données projet'!$B$12,Paramètres!$A$1:$I$89,3,0)*0.475*44/12</f>
        <v>2.5292678994592923E-11</v>
      </c>
      <c r="CN110" s="22">
        <f t="shared" si="66"/>
        <v>1.611168209900407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-5.6843418860808015E-13</v>
      </c>
      <c r="CU110" s="17">
        <f>CT110*VLOOKUP('Données projet'!$B$13,Paramètres!$A$1:$I$89,3,0)*VLOOKUP('Données projet'!$B$13,Paramètres!$A$1:$I$89,5,0)</f>
        <v>-3.177547114319168E-13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356.67698551373468</v>
      </c>
      <c r="CZ110" s="59">
        <f t="shared" si="96"/>
        <v>353.21836615408171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0.99415679681427593</v>
      </c>
      <c r="DG110" s="21">
        <f>EXP(-LN(2)/25)*DG109+(1-EXP(-LN(2)/25))/(LN(2)/25)*Calculateur!DB110*Calculateur!DD110*VLOOKUP('Données projet'!$B$13,Paramètres!$A$1:$I$89,3,0)*0.475*44/12</f>
        <v>3.5681685542130057</v>
      </c>
      <c r="DH110" s="21">
        <f>EXP(-LN(2)/2)*DH109+(1-EXP(-LN(2)/2))/(LN(2)/2)*DB110*DE110*VLOOKUP('Données projet'!$B$13,Paramètres!$A$1:$I$89,3,0)*0.475*44/12</f>
        <v>8.366110423624528E-11</v>
      </c>
      <c r="DI110" s="22">
        <f t="shared" si="69"/>
        <v>4.5623253511109425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-4.5474735088646412E-13</v>
      </c>
      <c r="DP110" s="17">
        <f>DO110*VLOOKUP('Données projet'!$B$14,Paramètres!$A$1:$I$89,3,0)*VLOOKUP('Données projet'!$B$14,Paramètres!$A$1:$I$89,5,0)</f>
        <v>-2.7193891583010558E-13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247.30892363953825</v>
      </c>
      <c r="DU110" s="59">
        <f t="shared" si="98"/>
        <v>248.38414731596578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1.5195180047525525</v>
      </c>
      <c r="EC110" s="21">
        <f>EXP(-LN(2)/2)*EC109+(1-EXP(-LN(2)/2))/(LN(2)/2)*DW110*DZ110*VLOOKUP('Données projet'!$B$14,Paramètres!$A$1:$I$89,3,0)*0.475*44/12</f>
        <v>6.1042342276753887E-11</v>
      </c>
      <c r="ED110" s="22">
        <f t="shared" si="72"/>
        <v>1.5195180048135948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-4.5474735088646412E-13</v>
      </c>
      <c r="EK110" s="17">
        <f>EJ110*VLOOKUP('Données projet'!$B$15,Paramètres!$A$1:$I$89,3,0)*VLOOKUP('Données projet'!$B$15,Paramètres!$A$1:$I$89,5,0)</f>
        <v>-2.7193891583010558E-13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247.30892363953825</v>
      </c>
      <c r="EP110" s="59">
        <f t="shared" si="100"/>
        <v>248.38414731596578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1.5195180047525525</v>
      </c>
      <c r="EX110" s="21">
        <f>EXP(-LN(2)/2)*EX109+(1-EXP(-LN(2)/2))/(LN(2)/2)*ER110*EU110*VLOOKUP('Données projet'!$B$15,Paramètres!$A$1:$I$89,3,0)*0.475*44/12</f>
        <v>6.1042342276753887E-11</v>
      </c>
      <c r="EY110" s="22">
        <f t="shared" si="75"/>
        <v>1.5195180048135948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6.8212102632969618E-13</v>
      </c>
      <c r="FF110" s="17">
        <f>FE110*VLOOKUP('Données projet'!$B$16,Paramètres!$A$1:$I$89,3,0)*VLOOKUP('Données projet'!$B$16,Paramètres!$A$1:$I$89,5,0)</f>
        <v>3.2810021366458383E-13</v>
      </c>
      <c r="FG110" s="13">
        <f t="shared" si="101"/>
        <v>4.2923528923937213E-12</v>
      </c>
      <c r="FH110" s="20">
        <f t="shared" si="76"/>
        <v>8.0472891597182151E-12</v>
      </c>
      <c r="FI110" s="59">
        <f t="shared" si="77"/>
        <v>293.33333333334139</v>
      </c>
      <c r="FJ110" s="59">
        <f ca="1">AVERAGE(OFFSET($FI$3,0,0,'Données projet'!$E$16+1,1))-AVERAGE(OFFSET($H$3,0,0,'Données projet'!$E$16+1,1))</f>
        <v>322.54393676667081</v>
      </c>
      <c r="FK110" s="59">
        <f t="shared" si="102"/>
        <v>296.73904998640018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1.4664638464635815</v>
      </c>
      <c r="FR110" s="21">
        <f>EXP(-LN(2)/25)*FR109+(1-EXP(-LN(2)/25))/(LN(2)/25)*Calculateur!FM110*Calculateur!FO110*VLOOKUP('Données projet'!$B$16,Paramètres!$A$1:$I$89,3,0)*0.475*44/12</f>
        <v>1.5873825502239802</v>
      </c>
      <c r="FS110" s="21">
        <f>EXP(-LN(2)/2)*FS109+(1-EXP(-LN(2)/2))/(LN(2)/2)*FM110*FP110*VLOOKUP('Données projet'!$B$16,Paramètres!$A$1:$I$89,3,0)*0.475*44/12</f>
        <v>5.3796869817557645E-11</v>
      </c>
      <c r="FT110" s="22">
        <f t="shared" si="78"/>
        <v>3.0538463967413589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293.33333333333974</v>
      </c>
      <c r="S111" s="59">
        <f ca="1">AVERAGE(OFFSET($R$3,0,0,'Données projet'!$E$9+1,1))-AVERAGE(OFFSET($H$3,0,0,'Données projet'!$E$9+1,1))</f>
        <v>401.06118089678654</v>
      </c>
      <c r="T111" s="59">
        <f t="shared" si="88"/>
        <v>399.58193819355591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6.2527760746888816E-13</v>
      </c>
      <c r="AJ111" s="13">
        <f>AI111*VLOOKUP('Données projet'!$B$10,Paramètres!$A$1:$I$89,3,0)*VLOOKUP('Données projet'!$B$10,Paramètres!$A$1:$I$89,5,0)</f>
        <v>3.9017322706058616E-13</v>
      </c>
      <c r="AK111" s="13">
        <f t="shared" si="89"/>
        <v>5.0025007393608908E-12</v>
      </c>
      <c r="AL111" s="20">
        <f t="shared" si="58"/>
        <v>9.3922404915174053E-12</v>
      </c>
      <c r="AM111" s="59">
        <f t="shared" si="59"/>
        <v>293.33333333334269</v>
      </c>
      <c r="AN111" s="59">
        <f ca="1">AVERAGE(OFFSET($AM$3,0,0,'Données projet'!$E$10+1,1))-AVERAGE(OFFSET($H$3,0,0,'Données projet'!$E$10+1,1))</f>
        <v>240.30073883588199</v>
      </c>
      <c r="AO111" s="59">
        <f t="shared" si="90"/>
        <v>263.20351282678843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1.4836292423916551</v>
      </c>
      <c r="AV111" s="21">
        <f>EXP(-LN(2)/25)*AV110+(1-EXP(-LN(2)/25))/(LN(2)/25)*Calculateur!AQ111*Calculateur!AS111*VLOOKUP('Données projet'!$B$10,Paramètres!$A$1:$I$89,3,0)*0.475*44/12</f>
        <v>2.3910970806531981</v>
      </c>
      <c r="AW111" s="21">
        <f>EXP(-LN(2)/2)*AW110+(1-EXP(-LN(2)/2))/(LN(2)/2)*AQ111*AT111*VLOOKUP('Données projet'!$B$10,Paramètres!$A$1:$I$89,3,0)*0.475*44/12</f>
        <v>3.6726879450207169E-11</v>
      </c>
      <c r="AX111" s="21">
        <f t="shared" si="60"/>
        <v>3.87472632308158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-1.0936673788819462E-13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364.67510777943329</v>
      </c>
      <c r="BJ111" s="59">
        <f t="shared" si="92"/>
        <v>352.13878061387169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1.8869909426668878</v>
      </c>
      <c r="BQ111" s="21">
        <f>EXP(-LN(2)/25)*BQ110+(1-EXP(-LN(2)/25))/(LN(2)/25)*Calculateur!BL111*Calculateur!BN111*VLOOKUP('Données projet'!$B$11,Paramètres!$A$1:$I$89,3,0)*0.475*44/12</f>
        <v>2.0721754339667711</v>
      </c>
      <c r="BR111" s="21">
        <f>EXP(-LN(2)/2)*BR110+(1-EXP(-LN(2)/2))/(LN(2)/2)*BL111*BO111*VLOOKUP('Données projet'!$B$11,Paramètres!$A$1:$I$89,3,0)*0.475*44/12</f>
        <v>4.9974108241511067E-11</v>
      </c>
      <c r="BS111" s="22">
        <f t="shared" si="63"/>
        <v>3.9591663766836334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-5.3205440053716299E-14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252.98248842635206</v>
      </c>
      <c r="CE111" s="59">
        <f t="shared" si="94"/>
        <v>207.11938580878308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0.66882536114602431</v>
      </c>
      <c r="CL111" s="21">
        <f>EXP(-LN(2)/25)*CL110+(1-EXP(-LN(2)/25))/(LN(2)/25)*Calculateur!CG111*Calculateur!CI111*VLOOKUP('Données projet'!$B$12,Paramètres!$A$1:$I$89,3,0)*0.475*44/12</f>
        <v>0.90356266105856009</v>
      </c>
      <c r="CM111" s="21">
        <f>EXP(-LN(2)/2)*CM110+(1-EXP(-LN(2)/2))/(LN(2)/2)*CG111*CJ111*VLOOKUP('Données projet'!$B$12,Paramètres!$A$1:$I$89,3,0)*0.475*44/12</f>
        <v>1.7884624831451205E-11</v>
      </c>
      <c r="CN111" s="22">
        <f t="shared" si="66"/>
        <v>1.5723880222224691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-5.6843418860808015E-13</v>
      </c>
      <c r="CU111" s="17">
        <f>CT111*VLOOKUP('Données projet'!$B$13,Paramètres!$A$1:$I$89,3,0)*VLOOKUP('Données projet'!$B$13,Paramètres!$A$1:$I$89,5,0)</f>
        <v>-3.177547114319168E-13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356.67698551373468</v>
      </c>
      <c r="CZ111" s="59">
        <f t="shared" si="96"/>
        <v>353.21836615408171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0.97466198840451945</v>
      </c>
      <c r="DG111" s="21">
        <f>EXP(-LN(2)/25)*DG110+(1-EXP(-LN(2)/25))/(LN(2)/25)*Calculateur!DB111*Calculateur!DD111*VLOOKUP('Données projet'!$B$13,Paramètres!$A$1:$I$89,3,0)*0.475*44/12</f>
        <v>3.470596797456222</v>
      </c>
      <c r="DH111" s="21">
        <f>EXP(-LN(2)/2)*DH110+(1-EXP(-LN(2)/2))/(LN(2)/2)*DB111*DE111*VLOOKUP('Données projet'!$B$13,Paramètres!$A$1:$I$89,3,0)*0.475*44/12</f>
        <v>5.9157334127003636E-11</v>
      </c>
      <c r="DI111" s="22">
        <f t="shared" si="69"/>
        <v>4.4452587859198989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-4.5474735088646412E-13</v>
      </c>
      <c r="DP111" s="17">
        <f>DO111*VLOOKUP('Données projet'!$B$14,Paramètres!$A$1:$I$89,3,0)*VLOOKUP('Données projet'!$B$14,Paramètres!$A$1:$I$89,5,0)</f>
        <v>-2.7193891583010558E-13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247.30892363953825</v>
      </c>
      <c r="DU111" s="59">
        <f t="shared" si="98"/>
        <v>248.38414731596578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1.477966705004615</v>
      </c>
      <c r="EC111" s="21">
        <f>EXP(-LN(2)/2)*EC110+(1-EXP(-LN(2)/2))/(LN(2)/2)*DW111*DZ111*VLOOKUP('Données projet'!$B$14,Paramètres!$A$1:$I$89,3,0)*0.475*44/12</f>
        <v>4.3163454163402951E-11</v>
      </c>
      <c r="ED111" s="22">
        <f t="shared" si="72"/>
        <v>1.4779667050477785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-4.5474735088646412E-13</v>
      </c>
      <c r="EK111" s="17">
        <f>EJ111*VLOOKUP('Données projet'!$B$15,Paramètres!$A$1:$I$89,3,0)*VLOOKUP('Données projet'!$B$15,Paramètres!$A$1:$I$89,5,0)</f>
        <v>-2.7193891583010558E-13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247.30892363953825</v>
      </c>
      <c r="EP111" s="59">
        <f t="shared" si="100"/>
        <v>248.38414731596578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1.477966705004615</v>
      </c>
      <c r="EX111" s="21">
        <f>EXP(-LN(2)/2)*EX110+(1-EXP(-LN(2)/2))/(LN(2)/2)*ER111*EU111*VLOOKUP('Données projet'!$B$15,Paramètres!$A$1:$I$89,3,0)*0.475*44/12</f>
        <v>4.3163454163402951E-11</v>
      </c>
      <c r="EY111" s="22">
        <f t="shared" si="75"/>
        <v>1.4779667050477785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6.8212102632969618E-13</v>
      </c>
      <c r="FF111" s="17">
        <f>FE111*VLOOKUP('Données projet'!$B$16,Paramètres!$A$1:$I$89,3,0)*VLOOKUP('Données projet'!$B$16,Paramètres!$A$1:$I$89,5,0)</f>
        <v>3.2810021366458383E-13</v>
      </c>
      <c r="FG111" s="13">
        <f t="shared" si="101"/>
        <v>4.2923528923937213E-12</v>
      </c>
      <c r="FH111" s="20">
        <f t="shared" si="76"/>
        <v>8.0472891597182151E-12</v>
      </c>
      <c r="FI111" s="59">
        <f t="shared" si="77"/>
        <v>293.33333333334139</v>
      </c>
      <c r="FJ111" s="59">
        <f ca="1">AVERAGE(OFFSET($FI$3,0,0,'Données projet'!$E$16+1,1))-AVERAGE(OFFSET($H$3,0,0,'Données projet'!$E$16+1,1))</f>
        <v>322.54393676667081</v>
      </c>
      <c r="FK111" s="59">
        <f t="shared" si="102"/>
        <v>296.73904998640018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1.4377073848890569</v>
      </c>
      <c r="FR111" s="21">
        <f>EXP(-LN(2)/25)*FR110+(1-EXP(-LN(2)/25))/(LN(2)/25)*Calculateur!FM111*Calculateur!FO111*VLOOKUP('Données projet'!$B$16,Paramètres!$A$1:$I$89,3,0)*0.475*44/12</f>
        <v>1.5439754909112853</v>
      </c>
      <c r="FS111" s="21">
        <f>EXP(-LN(2)/2)*FS110+(1-EXP(-LN(2)/2))/(LN(2)/2)*FM111*FP111*VLOOKUP('Données projet'!$B$16,Paramètres!$A$1:$I$89,3,0)*0.475*44/12</f>
        <v>3.8040131454604916E-11</v>
      </c>
      <c r="FT111" s="22">
        <f t="shared" si="78"/>
        <v>2.9816828758383824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293.33333333333974</v>
      </c>
      <c r="S112" s="59">
        <f ca="1">AVERAGE(OFFSET($R$3,0,0,'Données projet'!$E$9+1,1))-AVERAGE(OFFSET($H$3,0,0,'Données projet'!$E$9+1,1))</f>
        <v>401.06118089678654</v>
      </c>
      <c r="T112" s="59">
        <f t="shared" si="88"/>
        <v>399.58193819355591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6.2527760746888816E-13</v>
      </c>
      <c r="AJ112" s="13">
        <f>AI112*VLOOKUP('Données projet'!$B$10,Paramètres!$A$1:$I$89,3,0)*VLOOKUP('Données projet'!$B$10,Paramètres!$A$1:$I$89,5,0)</f>
        <v>3.9017322706058616E-13</v>
      </c>
      <c r="AK112" s="13">
        <f t="shared" si="89"/>
        <v>5.0025007393608908E-12</v>
      </c>
      <c r="AL112" s="20">
        <f t="shared" si="58"/>
        <v>9.3922404915174053E-12</v>
      </c>
      <c r="AM112" s="59">
        <f t="shared" si="59"/>
        <v>293.33333333334269</v>
      </c>
      <c r="AN112" s="59">
        <f ca="1">AVERAGE(OFFSET($AM$3,0,0,'Données projet'!$E$10+1,1))-AVERAGE(OFFSET($H$3,0,0,'Données projet'!$E$10+1,1))</f>
        <v>240.30073883588199</v>
      </c>
      <c r="AO112" s="59">
        <f t="shared" si="90"/>
        <v>263.20351282678843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1.4545361778728387</v>
      </c>
      <c r="AV112" s="21">
        <f>EXP(-LN(2)/25)*AV111+(1-EXP(-LN(2)/25))/(LN(2)/25)*Calculateur!AQ112*Calculateur!AS112*VLOOKUP('Données projet'!$B$10,Paramètres!$A$1:$I$89,3,0)*0.475*44/12</f>
        <v>2.3257124052404059</v>
      </c>
      <c r="AW112" s="21">
        <f>EXP(-LN(2)/2)*AW111+(1-EXP(-LN(2)/2))/(LN(2)/2)*AQ112*AT112*VLOOKUP('Données projet'!$B$10,Paramètres!$A$1:$I$89,3,0)*0.475*44/12</f>
        <v>2.596982551106235E-11</v>
      </c>
      <c r="AX112" s="21">
        <f t="shared" si="60"/>
        <v>3.7802485831392145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-1.0936673788819462E-13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364.67510777943329</v>
      </c>
      <c r="BJ112" s="59">
        <f t="shared" si="92"/>
        <v>352.13878061387169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1.8499882012320181</v>
      </c>
      <c r="BQ112" s="21">
        <f>EXP(-LN(2)/25)*BQ111+(1-EXP(-LN(2)/25))/(LN(2)/25)*Calculateur!BL112*Calculateur!BN112*VLOOKUP('Données projet'!$B$11,Paramètres!$A$1:$I$89,3,0)*0.475*44/12</f>
        <v>2.0155116877539796</v>
      </c>
      <c r="BR112" s="21">
        <f>EXP(-LN(2)/2)*BR111+(1-EXP(-LN(2)/2))/(LN(2)/2)*BL112*BO112*VLOOKUP('Données projet'!$B$11,Paramètres!$A$1:$I$89,3,0)*0.475*44/12</f>
        <v>3.5337030821323006E-11</v>
      </c>
      <c r="BS112" s="22">
        <f t="shared" si="63"/>
        <v>3.8654998890213346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-5.3205440053716299E-14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252.98248842635206</v>
      </c>
      <c r="CE112" s="59">
        <f t="shared" si="94"/>
        <v>207.11938580878308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0.65571010375714001</v>
      </c>
      <c r="CL112" s="21">
        <f>EXP(-LN(2)/25)*CL111+(1-EXP(-LN(2)/25))/(LN(2)/25)*Calculateur!CG112*Calculateur!CI112*VLOOKUP('Données projet'!$B$12,Paramètres!$A$1:$I$89,3,0)*0.475*44/12</f>
        <v>0.87885469257561855</v>
      </c>
      <c r="CM112" s="21">
        <f>EXP(-LN(2)/2)*CM111+(1-EXP(-LN(2)/2))/(LN(2)/2)*CG112*CJ112*VLOOKUP('Données projet'!$B$12,Paramètres!$A$1:$I$89,3,0)*0.475*44/12</f>
        <v>1.2646339497296462E-11</v>
      </c>
      <c r="CN112" s="22">
        <f t="shared" si="66"/>
        <v>1.5345647963454048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-5.6843418860808015E-13</v>
      </c>
      <c r="CU112" s="17">
        <f>CT112*VLOOKUP('Données projet'!$B$13,Paramètres!$A$1:$I$89,3,0)*VLOOKUP('Données projet'!$B$13,Paramètres!$A$1:$I$89,5,0)</f>
        <v>-3.177547114319168E-13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356.67698551373468</v>
      </c>
      <c r="CZ112" s="59">
        <f t="shared" si="96"/>
        <v>353.21836615408171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0.95554946129701923</v>
      </c>
      <c r="DG112" s="21">
        <f>EXP(-LN(2)/25)*DG111+(1-EXP(-LN(2)/25))/(LN(2)/25)*Calculateur!DB112*Calculateur!DD112*VLOOKUP('Données projet'!$B$13,Paramètres!$A$1:$I$89,3,0)*0.475*44/12</f>
        <v>3.375693145519028</v>
      </c>
      <c r="DH112" s="21">
        <f>EXP(-LN(2)/2)*DH111+(1-EXP(-LN(2)/2))/(LN(2)/2)*DB112*DE112*VLOOKUP('Données projet'!$B$13,Paramètres!$A$1:$I$89,3,0)*0.475*44/12</f>
        <v>4.183055211812264E-11</v>
      </c>
      <c r="DI112" s="22">
        <f t="shared" si="69"/>
        <v>4.3312426068578782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-4.5474735088646412E-13</v>
      </c>
      <c r="DP112" s="17">
        <f>DO112*VLOOKUP('Données projet'!$B$14,Paramètres!$A$1:$I$89,3,0)*VLOOKUP('Données projet'!$B$14,Paramètres!$A$1:$I$89,5,0)</f>
        <v>-2.7193891583010558E-13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247.30892363953825</v>
      </c>
      <c r="DU112" s="59">
        <f t="shared" si="98"/>
        <v>248.38414731596578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1.4375516277333726</v>
      </c>
      <c r="EC112" s="21">
        <f>EXP(-LN(2)/2)*EC111+(1-EXP(-LN(2)/2))/(LN(2)/2)*DW112*DZ112*VLOOKUP('Données projet'!$B$14,Paramètres!$A$1:$I$89,3,0)*0.475*44/12</f>
        <v>3.0521171138376943E-11</v>
      </c>
      <c r="ED112" s="22">
        <f t="shared" si="72"/>
        <v>1.4375516277638938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-4.5474735088646412E-13</v>
      </c>
      <c r="EK112" s="17">
        <f>EJ112*VLOOKUP('Données projet'!$B$15,Paramètres!$A$1:$I$89,3,0)*VLOOKUP('Données projet'!$B$15,Paramètres!$A$1:$I$89,5,0)</f>
        <v>-2.7193891583010558E-13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247.30892363953825</v>
      </c>
      <c r="EP112" s="59">
        <f t="shared" si="100"/>
        <v>248.38414731596578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1.4375516277333726</v>
      </c>
      <c r="EX112" s="21">
        <f>EXP(-LN(2)/2)*EX111+(1-EXP(-LN(2)/2))/(LN(2)/2)*ER112*EU112*VLOOKUP('Données projet'!$B$15,Paramètres!$A$1:$I$89,3,0)*0.475*44/12</f>
        <v>3.0521171138376943E-11</v>
      </c>
      <c r="EY112" s="22">
        <f t="shared" si="75"/>
        <v>1.4375516277638938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6.8212102632969618E-13</v>
      </c>
      <c r="FF112" s="17">
        <f>FE112*VLOOKUP('Données projet'!$B$16,Paramètres!$A$1:$I$89,3,0)*VLOOKUP('Données projet'!$B$16,Paramètres!$A$1:$I$89,5,0)</f>
        <v>3.2810021366458383E-13</v>
      </c>
      <c r="FG112" s="13">
        <f t="shared" si="101"/>
        <v>4.2923528923937213E-12</v>
      </c>
      <c r="FH112" s="20">
        <f t="shared" si="76"/>
        <v>8.0472891597182151E-12</v>
      </c>
      <c r="FI112" s="59">
        <f t="shared" si="77"/>
        <v>293.33333333334139</v>
      </c>
      <c r="FJ112" s="59">
        <f ca="1">AVERAGE(OFFSET($FI$3,0,0,'Données projet'!$E$16+1,1))-AVERAGE(OFFSET($H$3,0,0,'Données projet'!$E$16+1,1))</f>
        <v>322.54393676667081</v>
      </c>
      <c r="FK112" s="59">
        <f t="shared" si="102"/>
        <v>296.73904998640018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1.4095148199862992</v>
      </c>
      <c r="FR112" s="21">
        <f>EXP(-LN(2)/25)*FR111+(1-EXP(-LN(2)/25))/(LN(2)/25)*Calculateur!FM112*Calculateur!FO112*VLOOKUP('Données projet'!$B$16,Paramètres!$A$1:$I$89,3,0)*0.475*44/12</f>
        <v>1.5017553999181739</v>
      </c>
      <c r="FS112" s="21">
        <f>EXP(-LN(2)/2)*FS111+(1-EXP(-LN(2)/2))/(LN(2)/2)*FM112*FP112*VLOOKUP('Données projet'!$B$16,Paramètres!$A$1:$I$89,3,0)*0.475*44/12</f>
        <v>2.6898434908778823E-11</v>
      </c>
      <c r="FT112" s="22">
        <f t="shared" si="78"/>
        <v>2.9112702199313718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293.33333333333974</v>
      </c>
      <c r="S113" s="59">
        <f ca="1">AVERAGE(OFFSET($R$3,0,0,'Données projet'!$E$9+1,1))-AVERAGE(OFFSET($H$3,0,0,'Données projet'!$E$9+1,1))</f>
        <v>401.06118089678654</v>
      </c>
      <c r="T113" s="59">
        <f t="shared" si="88"/>
        <v>399.58193819355591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6.2527760746888816E-13</v>
      </c>
      <c r="AJ113" s="13">
        <f>AI113*VLOOKUP('Données projet'!$B$10,Paramètres!$A$1:$I$89,3,0)*VLOOKUP('Données projet'!$B$10,Paramètres!$A$1:$I$89,5,0)</f>
        <v>3.9017322706058616E-13</v>
      </c>
      <c r="AK113" s="13">
        <f t="shared" si="89"/>
        <v>5.0025007393608908E-12</v>
      </c>
      <c r="AL113" s="20">
        <f t="shared" si="58"/>
        <v>9.3922404915174053E-12</v>
      </c>
      <c r="AM113" s="59">
        <f t="shared" si="59"/>
        <v>293.33333333334269</v>
      </c>
      <c r="AN113" s="59">
        <f ca="1">AVERAGE(OFFSET($AM$3,0,0,'Données projet'!$E$10+1,1))-AVERAGE(OFFSET($H$3,0,0,'Données projet'!$E$10+1,1))</f>
        <v>240.30073883588199</v>
      </c>
      <c r="AO113" s="59">
        <f t="shared" si="90"/>
        <v>263.20351282678843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1.4260136106042192</v>
      </c>
      <c r="AV113" s="21">
        <f>EXP(-LN(2)/25)*AV112+(1-EXP(-LN(2)/25))/(LN(2)/25)*Calculateur!AQ113*Calculateur!AS113*VLOOKUP('Données projet'!$B$10,Paramètres!$A$1:$I$89,3,0)*0.475*44/12</f>
        <v>2.2621156772152071</v>
      </c>
      <c r="AW113" s="21">
        <f>EXP(-LN(2)/2)*AW112+(1-EXP(-LN(2)/2))/(LN(2)/2)*AQ113*AT113*VLOOKUP('Données projet'!$B$10,Paramètres!$A$1:$I$89,3,0)*0.475*44/12</f>
        <v>1.8363439725103584E-11</v>
      </c>
      <c r="AX113" s="21">
        <f t="shared" si="60"/>
        <v>3.6881292878377896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-1.0936673788819462E-13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364.67510777943329</v>
      </c>
      <c r="BJ113" s="59">
        <f t="shared" si="92"/>
        <v>352.13878061387169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1.8137110609872427</v>
      </c>
      <c r="BQ113" s="21">
        <f>EXP(-LN(2)/25)*BQ112+(1-EXP(-LN(2)/25))/(LN(2)/25)*Calculateur!BL113*Calculateur!BN113*VLOOKUP('Données projet'!$B$11,Paramètres!$A$1:$I$89,3,0)*0.475*44/12</f>
        <v>1.9603974146611938</v>
      </c>
      <c r="BR113" s="21">
        <f>EXP(-LN(2)/2)*BR112+(1-EXP(-LN(2)/2))/(LN(2)/2)*BL113*BO113*VLOOKUP('Données projet'!$B$11,Paramètres!$A$1:$I$89,3,0)*0.475*44/12</f>
        <v>2.4987054120755533E-11</v>
      </c>
      <c r="BS113" s="22">
        <f t="shared" si="63"/>
        <v>3.7741084756734233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-5.3205440053716299E-14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252.98248842635206</v>
      </c>
      <c r="CE113" s="59">
        <f t="shared" si="94"/>
        <v>207.11938580878308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0.64285202856613466</v>
      </c>
      <c r="CL113" s="21">
        <f>EXP(-LN(2)/25)*CL112+(1-EXP(-LN(2)/25))/(LN(2)/25)*Calculateur!CG113*Calculateur!CI113*VLOOKUP('Données projet'!$B$12,Paramètres!$A$1:$I$89,3,0)*0.475*44/12</f>
        <v>0.85482236479017859</v>
      </c>
      <c r="CM113" s="21">
        <f>EXP(-LN(2)/2)*CM112+(1-EXP(-LN(2)/2))/(LN(2)/2)*CG113*CJ113*VLOOKUP('Données projet'!$B$12,Paramètres!$A$1:$I$89,3,0)*0.475*44/12</f>
        <v>8.9423124157256024E-12</v>
      </c>
      <c r="CN113" s="22">
        <f t="shared" si="66"/>
        <v>1.4976743933652557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-5.6843418860808015E-13</v>
      </c>
      <c r="CU113" s="17">
        <f>CT113*VLOOKUP('Données projet'!$B$13,Paramètres!$A$1:$I$89,3,0)*VLOOKUP('Données projet'!$B$13,Paramètres!$A$1:$I$89,5,0)</f>
        <v>-3.177547114319168E-13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356.67698551373468</v>
      </c>
      <c r="CZ113" s="59">
        <f t="shared" si="96"/>
        <v>353.21836615408171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0.93681171918860662</v>
      </c>
      <c r="DG113" s="21">
        <f>EXP(-LN(2)/25)*DG112+(1-EXP(-LN(2)/25))/(LN(2)/25)*Calculateur!DB113*Calculateur!DD113*VLOOKUP('Données projet'!$B$13,Paramètres!$A$1:$I$89,3,0)*0.475*44/12</f>
        <v>3.2833846389348227</v>
      </c>
      <c r="DH113" s="21">
        <f>EXP(-LN(2)/2)*DH112+(1-EXP(-LN(2)/2))/(LN(2)/2)*DB113*DE113*VLOOKUP('Données projet'!$B$13,Paramètres!$A$1:$I$89,3,0)*0.475*44/12</f>
        <v>2.9578667063501818E-11</v>
      </c>
      <c r="DI113" s="22">
        <f t="shared" si="69"/>
        <v>4.2201963581530082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-4.5474735088646412E-13</v>
      </c>
      <c r="DP113" s="17">
        <f>DO113*VLOOKUP('Données projet'!$B$14,Paramètres!$A$1:$I$89,3,0)*VLOOKUP('Données projet'!$B$14,Paramètres!$A$1:$I$89,5,0)</f>
        <v>-2.7193891583010558E-13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247.30892363953825</v>
      </c>
      <c r="DU113" s="59">
        <f t="shared" si="98"/>
        <v>248.38414731596578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1.398241702875449</v>
      </c>
      <c r="EC113" s="21">
        <f>EXP(-LN(2)/2)*EC112+(1-EXP(-LN(2)/2))/(LN(2)/2)*DW113*DZ113*VLOOKUP('Données projet'!$B$14,Paramètres!$A$1:$I$89,3,0)*0.475*44/12</f>
        <v>2.1581727081701476E-11</v>
      </c>
      <c r="ED113" s="22">
        <f t="shared" si="72"/>
        <v>1.3982417028970306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-4.5474735088646412E-13</v>
      </c>
      <c r="EK113" s="17">
        <f>EJ113*VLOOKUP('Données projet'!$B$15,Paramètres!$A$1:$I$89,3,0)*VLOOKUP('Données projet'!$B$15,Paramètres!$A$1:$I$89,5,0)</f>
        <v>-2.7193891583010558E-13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247.30892363953825</v>
      </c>
      <c r="EP113" s="59">
        <f t="shared" si="100"/>
        <v>248.38414731596578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1.398241702875449</v>
      </c>
      <c r="EX113" s="21">
        <f>EXP(-LN(2)/2)*EX112+(1-EXP(-LN(2)/2))/(LN(2)/2)*ER113*EU113*VLOOKUP('Données projet'!$B$15,Paramètres!$A$1:$I$89,3,0)*0.475*44/12</f>
        <v>2.1581727081701476E-11</v>
      </c>
      <c r="EY113" s="22">
        <f t="shared" si="75"/>
        <v>1.3982417028970306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6.8212102632969618E-13</v>
      </c>
      <c r="FF113" s="17">
        <f>FE113*VLOOKUP('Données projet'!$B$16,Paramètres!$A$1:$I$89,3,0)*VLOOKUP('Données projet'!$B$16,Paramètres!$A$1:$I$89,5,0)</f>
        <v>3.2810021366458383E-13</v>
      </c>
      <c r="FG113" s="13">
        <f t="shared" si="101"/>
        <v>4.2923528923937213E-12</v>
      </c>
      <c r="FH113" s="20">
        <f t="shared" si="76"/>
        <v>8.0472891597182151E-12</v>
      </c>
      <c r="FI113" s="59">
        <f t="shared" si="77"/>
        <v>293.33333333334139</v>
      </c>
      <c r="FJ113" s="59">
        <f ca="1">AVERAGE(OFFSET($FI$3,0,0,'Données projet'!$E$16+1,1))-AVERAGE(OFFSET($H$3,0,0,'Données projet'!$E$16+1,1))</f>
        <v>322.54393676667081</v>
      </c>
      <c r="FK113" s="59">
        <f t="shared" si="102"/>
        <v>296.73904998640018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1.3818750940855178</v>
      </c>
      <c r="FR113" s="21">
        <f>EXP(-LN(2)/25)*FR112+(1-EXP(-LN(2)/25))/(LN(2)/25)*Calculateur!FM113*Calculateur!FO113*VLOOKUP('Données projet'!$B$16,Paramètres!$A$1:$I$89,3,0)*0.475*44/12</f>
        <v>1.4606898195335272</v>
      </c>
      <c r="FS113" s="21">
        <f>EXP(-LN(2)/2)*FS112+(1-EXP(-LN(2)/2))/(LN(2)/2)*FM113*FP113*VLOOKUP('Données projet'!$B$16,Paramètres!$A$1:$I$89,3,0)*0.475*44/12</f>
        <v>1.9020065727302458E-11</v>
      </c>
      <c r="FT113" s="22">
        <f t="shared" si="78"/>
        <v>2.8425649136380646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293.33333333333974</v>
      </c>
      <c r="S114" s="59">
        <f ca="1">AVERAGE(OFFSET($R$3,0,0,'Données projet'!$E$9+1,1))-AVERAGE(OFFSET($H$3,0,0,'Données projet'!$E$9+1,1))</f>
        <v>401.06118089678654</v>
      </c>
      <c r="T114" s="59">
        <f t="shared" si="88"/>
        <v>399.58193819355591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6.2527760746888816E-13</v>
      </c>
      <c r="AJ114" s="13">
        <f>AI114*VLOOKUP('Données projet'!$B$10,Paramètres!$A$1:$I$89,3,0)*VLOOKUP('Données projet'!$B$10,Paramètres!$A$1:$I$89,5,0)</f>
        <v>3.9017322706058616E-13</v>
      </c>
      <c r="AK114" s="13">
        <f t="shared" si="89"/>
        <v>5.0025007393608908E-12</v>
      </c>
      <c r="AL114" s="20">
        <f t="shared" si="58"/>
        <v>9.3922404915174053E-12</v>
      </c>
      <c r="AM114" s="59">
        <f t="shared" si="59"/>
        <v>293.33333333334269</v>
      </c>
      <c r="AN114" s="59">
        <f ca="1">AVERAGE(OFFSET($AM$3,0,0,'Données projet'!$E$10+1,1))-AVERAGE(OFFSET($H$3,0,0,'Données projet'!$E$10+1,1))</f>
        <v>240.30073883588199</v>
      </c>
      <c r="AO114" s="59">
        <f t="shared" si="90"/>
        <v>263.20351282678843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1.3980503534826889</v>
      </c>
      <c r="AV114" s="21">
        <f>EXP(-LN(2)/25)*AV113+(1-EXP(-LN(2)/25))/(LN(2)/25)*Calculateur!AQ114*Calculateur!AS114*VLOOKUP('Données projet'!$B$10,Paramètres!$A$1:$I$89,3,0)*0.475*44/12</f>
        <v>2.2002580050622638</v>
      </c>
      <c r="AW114" s="21">
        <f>EXP(-LN(2)/2)*AW113+(1-EXP(-LN(2)/2))/(LN(2)/2)*AQ114*AT114*VLOOKUP('Données projet'!$B$10,Paramètres!$A$1:$I$89,3,0)*0.475*44/12</f>
        <v>1.2984912755531175E-11</v>
      </c>
      <c r="AX114" s="21">
        <f t="shared" si="60"/>
        <v>3.5983083585579374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-1.0936673788819462E-13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364.67510777943329</v>
      </c>
      <c r="BJ114" s="59">
        <f t="shared" si="92"/>
        <v>352.13878061387169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1.7781452933357964</v>
      </c>
      <c r="BQ114" s="21">
        <f>EXP(-LN(2)/25)*BQ113+(1-EXP(-LN(2)/25))/(LN(2)/25)*Calculateur!BL114*Calculateur!BN114*VLOOKUP('Données projet'!$B$11,Paramètres!$A$1:$I$89,3,0)*0.475*44/12</f>
        <v>1.906790244264464</v>
      </c>
      <c r="BR114" s="21">
        <f>EXP(-LN(2)/2)*BR113+(1-EXP(-LN(2)/2))/(LN(2)/2)*BL114*BO114*VLOOKUP('Données projet'!$B$11,Paramètres!$A$1:$I$89,3,0)*0.475*44/12</f>
        <v>1.7668515410661503E-11</v>
      </c>
      <c r="BS114" s="22">
        <f t="shared" si="63"/>
        <v>3.6849355376179291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-5.3205440053716299E-14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252.98248842635206</v>
      </c>
      <c r="CE114" s="59">
        <f t="shared" si="94"/>
        <v>207.11938580878308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0.63024609238697338</v>
      </c>
      <c r="CL114" s="21">
        <f>EXP(-LN(2)/25)*CL113+(1-EXP(-LN(2)/25))/(LN(2)/25)*Calculateur!CG114*Calculateur!CI114*VLOOKUP('Données projet'!$B$12,Paramètres!$A$1:$I$89,3,0)*0.475*44/12</f>
        <v>0.83144720227183666</v>
      </c>
      <c r="CM114" s="21">
        <f>EXP(-LN(2)/2)*CM113+(1-EXP(-LN(2)/2))/(LN(2)/2)*CG114*CJ114*VLOOKUP('Données projet'!$B$12,Paramètres!$A$1:$I$89,3,0)*0.475*44/12</f>
        <v>6.3231697486482308E-12</v>
      </c>
      <c r="CN114" s="22">
        <f t="shared" si="66"/>
        <v>1.4616932946651333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-5.6843418860808015E-13</v>
      </c>
      <c r="CU114" s="17">
        <f>CT114*VLOOKUP('Données projet'!$B$13,Paramètres!$A$1:$I$89,3,0)*VLOOKUP('Données projet'!$B$13,Paramètres!$A$1:$I$89,5,0)</f>
        <v>-3.177547114319168E-13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356.67698551373468</v>
      </c>
      <c r="CZ114" s="59">
        <f t="shared" si="96"/>
        <v>353.21836615408171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0.91844141277404578</v>
      </c>
      <c r="DG114" s="21">
        <f>EXP(-LN(2)/25)*DG113+(1-EXP(-LN(2)/25))/(LN(2)/25)*Calculateur!DB114*Calculateur!DD114*VLOOKUP('Données projet'!$B$13,Paramètres!$A$1:$I$89,3,0)*0.475*44/12</f>
        <v>3.193600313317456</v>
      </c>
      <c r="DH114" s="21">
        <f>EXP(-LN(2)/2)*DH113+(1-EXP(-LN(2)/2))/(LN(2)/2)*DB114*DE114*VLOOKUP('Données projet'!$B$13,Paramètres!$A$1:$I$89,3,0)*0.475*44/12</f>
        <v>2.091527605906132E-11</v>
      </c>
      <c r="DI114" s="22">
        <f t="shared" si="69"/>
        <v>4.1120417261124178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-4.5474735088646412E-13</v>
      </c>
      <c r="DP114" s="17">
        <f>DO114*VLOOKUP('Données projet'!$B$14,Paramètres!$A$1:$I$89,3,0)*VLOOKUP('Données projet'!$B$14,Paramètres!$A$1:$I$89,5,0)</f>
        <v>-2.7193891583010558E-13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247.30892363953825</v>
      </c>
      <c r="DU114" s="59">
        <f t="shared" si="98"/>
        <v>248.38414731596578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1.3600067099799844</v>
      </c>
      <c r="EC114" s="21">
        <f>EXP(-LN(2)/2)*EC113+(1-EXP(-LN(2)/2))/(LN(2)/2)*DW114*DZ114*VLOOKUP('Données projet'!$B$14,Paramètres!$A$1:$I$89,3,0)*0.475*44/12</f>
        <v>1.5260585569188472E-11</v>
      </c>
      <c r="ED114" s="22">
        <f t="shared" si="72"/>
        <v>1.3600067099952451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-4.5474735088646412E-13</v>
      </c>
      <c r="EK114" s="17">
        <f>EJ114*VLOOKUP('Données projet'!$B$15,Paramètres!$A$1:$I$89,3,0)*VLOOKUP('Données projet'!$B$15,Paramètres!$A$1:$I$89,5,0)</f>
        <v>-2.7193891583010558E-13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247.30892363953825</v>
      </c>
      <c r="EP114" s="59">
        <f t="shared" si="100"/>
        <v>248.38414731596578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1.3600067099799844</v>
      </c>
      <c r="EX114" s="21">
        <f>EXP(-LN(2)/2)*EX113+(1-EXP(-LN(2)/2))/(LN(2)/2)*ER114*EU114*VLOOKUP('Données projet'!$B$15,Paramètres!$A$1:$I$89,3,0)*0.475*44/12</f>
        <v>1.5260585569188472E-11</v>
      </c>
      <c r="EY114" s="22">
        <f t="shared" si="75"/>
        <v>1.3600067099952451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6.8212102632969618E-13</v>
      </c>
      <c r="FF114" s="17">
        <f>FE114*VLOOKUP('Données projet'!$B$16,Paramètres!$A$1:$I$89,3,0)*VLOOKUP('Données projet'!$B$16,Paramètres!$A$1:$I$89,5,0)</f>
        <v>3.2810021366458383E-13</v>
      </c>
      <c r="FG114" s="13">
        <f t="shared" si="101"/>
        <v>4.2923528923937213E-12</v>
      </c>
      <c r="FH114" s="20">
        <f t="shared" si="76"/>
        <v>8.0472891597182151E-12</v>
      </c>
      <c r="FI114" s="59">
        <f t="shared" si="77"/>
        <v>293.33333333334139</v>
      </c>
      <c r="FJ114" s="59">
        <f ca="1">AVERAGE(OFFSET($FI$3,0,0,'Données projet'!$E$16+1,1))-AVERAGE(OFFSET($H$3,0,0,'Données projet'!$E$16+1,1))</f>
        <v>322.54393676667081</v>
      </c>
      <c r="FK114" s="59">
        <f t="shared" si="102"/>
        <v>296.73904998640018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1.3547773663510827</v>
      </c>
      <c r="FR114" s="21">
        <f>EXP(-LN(2)/25)*FR113+(1-EXP(-LN(2)/25))/(LN(2)/25)*Calculateur!FM114*Calculateur!FO114*VLOOKUP('Données projet'!$B$16,Paramètres!$A$1:$I$89,3,0)*0.475*44/12</f>
        <v>1.4207471796040436</v>
      </c>
      <c r="FS114" s="21">
        <f>EXP(-LN(2)/2)*FS113+(1-EXP(-LN(2)/2))/(LN(2)/2)*FM114*FP114*VLOOKUP('Données projet'!$B$16,Paramètres!$A$1:$I$89,3,0)*0.475*44/12</f>
        <v>1.3449217454389411E-11</v>
      </c>
      <c r="FT114" s="22">
        <f t="shared" si="78"/>
        <v>2.7755245459685756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293.33333333333974</v>
      </c>
      <c r="S115" s="59">
        <f ca="1">AVERAGE(OFFSET($R$3,0,0,'Données projet'!$E$9+1,1))-AVERAGE(OFFSET($H$3,0,0,'Données projet'!$E$9+1,1))</f>
        <v>401.06118089678654</v>
      </c>
      <c r="T115" s="59">
        <f t="shared" si="88"/>
        <v>399.58193819355591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6.2527760746888816E-13</v>
      </c>
      <c r="AJ115" s="13">
        <f>AI115*VLOOKUP('Données projet'!$B$10,Paramètres!$A$1:$I$89,3,0)*VLOOKUP('Données projet'!$B$10,Paramètres!$A$1:$I$89,5,0)</f>
        <v>3.9017322706058616E-13</v>
      </c>
      <c r="AK115" s="13">
        <f t="shared" si="89"/>
        <v>5.0025007393608908E-12</v>
      </c>
      <c r="AL115" s="20">
        <f t="shared" si="58"/>
        <v>9.3922404915174053E-12</v>
      </c>
      <c r="AM115" s="59">
        <f t="shared" si="59"/>
        <v>293.33333333334269</v>
      </c>
      <c r="AN115" s="59">
        <f ca="1">AVERAGE(OFFSET($AM$3,0,0,'Données projet'!$E$10+1,1))-AVERAGE(OFFSET($H$3,0,0,'Données projet'!$E$10+1,1))</f>
        <v>240.30073883588199</v>
      </c>
      <c r="AO115" s="59">
        <f t="shared" si="90"/>
        <v>263.20351282678843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1.3706354387774093</v>
      </c>
      <c r="AV115" s="21">
        <f>EXP(-LN(2)/25)*AV114+(1-EXP(-LN(2)/25))/(LN(2)/25)*Calculateur!AQ115*Calculateur!AS115*VLOOKUP('Données projet'!$B$10,Paramètres!$A$1:$I$89,3,0)*0.475*44/12</f>
        <v>2.1400918342072965</v>
      </c>
      <c r="AW115" s="21">
        <f>EXP(-LN(2)/2)*AW114+(1-EXP(-LN(2)/2))/(LN(2)/2)*AQ115*AT115*VLOOKUP('Données projet'!$B$10,Paramètres!$A$1:$I$89,3,0)*0.475*44/12</f>
        <v>9.1817198625517922E-12</v>
      </c>
      <c r="AX115" s="21">
        <f t="shared" si="60"/>
        <v>3.5107272729938876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-1.0936673788819462E-13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364.67510777943329</v>
      </c>
      <c r="BJ115" s="59">
        <f t="shared" si="92"/>
        <v>352.13878061387169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1.7432769486950188</v>
      </c>
      <c r="BQ115" s="21">
        <f>EXP(-LN(2)/25)*BQ114+(1-EXP(-LN(2)/25))/(LN(2)/25)*Calculateur!BL115*Calculateur!BN115*VLOOKUP('Données projet'!$B$11,Paramètres!$A$1:$I$89,3,0)*0.475*44/12</f>
        <v>1.8546489647613114</v>
      </c>
      <c r="BR115" s="21">
        <f>EXP(-LN(2)/2)*BR114+(1-EXP(-LN(2)/2))/(LN(2)/2)*BL115*BO115*VLOOKUP('Données projet'!$B$11,Paramètres!$A$1:$I$89,3,0)*0.475*44/12</f>
        <v>1.2493527060377767E-11</v>
      </c>
      <c r="BS115" s="22">
        <f t="shared" si="63"/>
        <v>3.5979259134688237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-5.3205440053716299E-14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252.98248842635206</v>
      </c>
      <c r="CE115" s="59">
        <f t="shared" si="94"/>
        <v>207.11938580878308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0.61788735092742364</v>
      </c>
      <c r="CL115" s="21">
        <f>EXP(-LN(2)/25)*CL114+(1-EXP(-LN(2)/25))/(LN(2)/25)*Calculateur!CG115*Calculateur!CI115*VLOOKUP('Données projet'!$B$12,Paramètres!$A$1:$I$89,3,0)*0.475*44/12</f>
        <v>0.80871123480180518</v>
      </c>
      <c r="CM115" s="21">
        <f>EXP(-LN(2)/2)*CM114+(1-EXP(-LN(2)/2))/(LN(2)/2)*CG115*CJ115*VLOOKUP('Données projet'!$B$12,Paramètres!$A$1:$I$89,3,0)*0.475*44/12</f>
        <v>4.4711562078628012E-12</v>
      </c>
      <c r="CN115" s="22">
        <f t="shared" si="66"/>
        <v>1.4265985857337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-5.6843418860808015E-13</v>
      </c>
      <c r="CU115" s="17">
        <f>CT115*VLOOKUP('Données projet'!$B$13,Paramètres!$A$1:$I$89,3,0)*VLOOKUP('Données projet'!$B$13,Paramètres!$A$1:$I$89,5,0)</f>
        <v>-3.177547114319168E-13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356.67698551373468</v>
      </c>
      <c r="CZ115" s="59">
        <f t="shared" si="96"/>
        <v>353.21836615408171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0.90043133686349397</v>
      </c>
      <c r="DG115" s="21">
        <f>EXP(-LN(2)/25)*DG114+(1-EXP(-LN(2)/25))/(LN(2)/25)*Calculateur!DB115*Calculateur!DD115*VLOOKUP('Données projet'!$B$13,Paramètres!$A$1:$I$89,3,0)*0.475*44/12</f>
        <v>3.1062711448056488</v>
      </c>
      <c r="DH115" s="21">
        <f>EXP(-LN(2)/2)*DH114+(1-EXP(-LN(2)/2))/(LN(2)/2)*DB115*DE115*VLOOKUP('Données projet'!$B$13,Paramètres!$A$1:$I$89,3,0)*0.475*44/12</f>
        <v>1.4789333531750909E-11</v>
      </c>
      <c r="DI115" s="22">
        <f t="shared" si="69"/>
        <v>4.0067024816839316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-4.5474735088646412E-13</v>
      </c>
      <c r="DP115" s="17">
        <f>DO115*VLOOKUP('Données projet'!$B$14,Paramètres!$A$1:$I$89,3,0)*VLOOKUP('Données projet'!$B$14,Paramètres!$A$1:$I$89,5,0)</f>
        <v>-2.7193891583010558E-13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247.30892363953825</v>
      </c>
      <c r="DU115" s="59">
        <f t="shared" si="98"/>
        <v>248.38414731596578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1.3228172549759372</v>
      </c>
      <c r="EC115" s="21">
        <f>EXP(-LN(2)/2)*EC114+(1-EXP(-LN(2)/2))/(LN(2)/2)*DW115*DZ115*VLOOKUP('Données projet'!$B$14,Paramètres!$A$1:$I$89,3,0)*0.475*44/12</f>
        <v>1.0790863540850738E-11</v>
      </c>
      <c r="ED115" s="22">
        <f t="shared" si="72"/>
        <v>1.3228172549867281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-4.5474735088646412E-13</v>
      </c>
      <c r="EK115" s="17">
        <f>EJ115*VLOOKUP('Données projet'!$B$15,Paramètres!$A$1:$I$89,3,0)*VLOOKUP('Données projet'!$B$15,Paramètres!$A$1:$I$89,5,0)</f>
        <v>-2.7193891583010558E-13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247.30892363953825</v>
      </c>
      <c r="EP115" s="59">
        <f t="shared" si="100"/>
        <v>248.38414731596578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1.3228172549759372</v>
      </c>
      <c r="EX115" s="21">
        <f>EXP(-LN(2)/2)*EX114+(1-EXP(-LN(2)/2))/(LN(2)/2)*ER115*EU115*VLOOKUP('Données projet'!$B$15,Paramètres!$A$1:$I$89,3,0)*0.475*44/12</f>
        <v>1.0790863540850738E-11</v>
      </c>
      <c r="EY115" s="22">
        <f t="shared" si="75"/>
        <v>1.3228172549867281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6.8212102632969618E-13</v>
      </c>
      <c r="FF115" s="17">
        <f>FE115*VLOOKUP('Données projet'!$B$16,Paramètres!$A$1:$I$89,3,0)*VLOOKUP('Données projet'!$B$16,Paramètres!$A$1:$I$89,5,0)</f>
        <v>3.2810021366458383E-13</v>
      </c>
      <c r="FG115" s="13">
        <f t="shared" si="101"/>
        <v>4.2923528923937213E-12</v>
      </c>
      <c r="FH115" s="20">
        <f t="shared" si="76"/>
        <v>8.0472891597182151E-12</v>
      </c>
      <c r="FI115" s="59">
        <f t="shared" si="77"/>
        <v>293.33333333334139</v>
      </c>
      <c r="FJ115" s="59">
        <f ca="1">AVERAGE(OFFSET($FI$3,0,0,'Données projet'!$E$16+1,1))-AVERAGE(OFFSET($H$3,0,0,'Données projet'!$E$16+1,1))</f>
        <v>322.54393676667081</v>
      </c>
      <c r="FK115" s="59">
        <f t="shared" si="102"/>
        <v>296.73904998640018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1.3282110085295378</v>
      </c>
      <c r="FR115" s="21">
        <f>EXP(-LN(2)/25)*FR114+(1-EXP(-LN(2)/25))/(LN(2)/25)*Calculateur!FM115*Calculateur!FO115*VLOOKUP('Données projet'!$B$16,Paramètres!$A$1:$I$89,3,0)*0.475*44/12</f>
        <v>1.381896773263924</v>
      </c>
      <c r="FS115" s="21">
        <f>EXP(-LN(2)/2)*FS114+(1-EXP(-LN(2)/2))/(LN(2)/2)*FM115*FP115*VLOOKUP('Données projet'!$B$16,Paramètres!$A$1:$I$89,3,0)*0.475*44/12</f>
        <v>9.5100328636512291E-12</v>
      </c>
      <c r="FT115" s="22">
        <f t="shared" si="78"/>
        <v>2.710107781802972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293.33333333333974</v>
      </c>
      <c r="S116" s="59">
        <f ca="1">AVERAGE(OFFSET($R$3,0,0,'Données projet'!$E$9+1,1))-AVERAGE(OFFSET($H$3,0,0,'Données projet'!$E$9+1,1))</f>
        <v>401.06118089678654</v>
      </c>
      <c r="T116" s="59">
        <f t="shared" si="88"/>
        <v>399.58193819355591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6.2527760746888816E-13</v>
      </c>
      <c r="AJ116" s="13">
        <f>AI116*VLOOKUP('Données projet'!$B$10,Paramètres!$A$1:$I$89,3,0)*VLOOKUP('Données projet'!$B$10,Paramètres!$A$1:$I$89,5,0)</f>
        <v>3.9017322706058616E-13</v>
      </c>
      <c r="AK116" s="13">
        <f t="shared" si="89"/>
        <v>5.0025007393608908E-12</v>
      </c>
      <c r="AL116" s="20">
        <f t="shared" si="58"/>
        <v>9.3922404915174053E-12</v>
      </c>
      <c r="AM116" s="59">
        <f t="shared" si="59"/>
        <v>293.33333333334269</v>
      </c>
      <c r="AN116" s="59">
        <f ca="1">AVERAGE(OFFSET($AM$3,0,0,'Données projet'!$E$10+1,1))-AVERAGE(OFFSET($H$3,0,0,'Données projet'!$E$10+1,1))</f>
        <v>240.30073883588199</v>
      </c>
      <c r="AO116" s="59">
        <f t="shared" si="90"/>
        <v>263.20351282678843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1.3437581138280534</v>
      </c>
      <c r="AV116" s="21">
        <f>EXP(-LN(2)/25)*AV115+(1-EXP(-LN(2)/25))/(LN(2)/25)*Calculateur!AQ116*Calculateur!AS116*VLOOKUP('Données projet'!$B$10,Paramètres!$A$1:$I$89,3,0)*0.475*44/12</f>
        <v>2.0815709104583595</v>
      </c>
      <c r="AW116" s="21">
        <f>EXP(-LN(2)/2)*AW115+(1-EXP(-LN(2)/2))/(LN(2)/2)*AQ116*AT116*VLOOKUP('Données projet'!$B$10,Paramètres!$A$1:$I$89,3,0)*0.475*44/12</f>
        <v>6.4924563777655874E-12</v>
      </c>
      <c r="AX116" s="21">
        <f t="shared" si="60"/>
        <v>3.4253290242929055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-1.0936673788819462E-13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364.67510777943329</v>
      </c>
      <c r="BJ116" s="59">
        <f t="shared" si="92"/>
        <v>352.13878061387169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1.7090923510250566</v>
      </c>
      <c r="BQ116" s="21">
        <f>EXP(-LN(2)/25)*BQ115+(1-EXP(-LN(2)/25))/(LN(2)/25)*Calculateur!BL116*Calculateur!BN116*VLOOKUP('Données projet'!$B$11,Paramètres!$A$1:$I$89,3,0)*0.475*44/12</f>
        <v>1.803933491288163</v>
      </c>
      <c r="BR116" s="21">
        <f>EXP(-LN(2)/2)*BR115+(1-EXP(-LN(2)/2))/(LN(2)/2)*BL116*BO116*VLOOKUP('Données projet'!$B$11,Paramètres!$A$1:$I$89,3,0)*0.475*44/12</f>
        <v>8.8342577053307516E-12</v>
      </c>
      <c r="BS116" s="22">
        <f t="shared" si="63"/>
        <v>3.5130258423220542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-5.3205440053716299E-14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252.98248842635206</v>
      </c>
      <c r="CE116" s="59">
        <f t="shared" si="94"/>
        <v>207.11938580878308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0.60577095684980775</v>
      </c>
      <c r="CL116" s="21">
        <f>EXP(-LN(2)/25)*CL115+(1-EXP(-LN(2)/25))/(LN(2)/25)*Calculateur!CG116*Calculateur!CI116*VLOOKUP('Données projet'!$B$12,Paramètres!$A$1:$I$89,3,0)*0.475*44/12</f>
        <v>0.78659698355787433</v>
      </c>
      <c r="CM116" s="21">
        <f>EXP(-LN(2)/2)*CM115+(1-EXP(-LN(2)/2))/(LN(2)/2)*CG116*CJ116*VLOOKUP('Données projet'!$B$12,Paramètres!$A$1:$I$89,3,0)*0.475*44/12</f>
        <v>3.1615848743241154E-12</v>
      </c>
      <c r="CN116" s="22">
        <f t="shared" si="66"/>
        <v>1.3923679404108438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-5.6843418860808015E-13</v>
      </c>
      <c r="CU116" s="17">
        <f>CT116*VLOOKUP('Données projet'!$B$13,Paramètres!$A$1:$I$89,3,0)*VLOOKUP('Données projet'!$B$13,Paramètres!$A$1:$I$89,5,0)</f>
        <v>-3.177547114319168E-13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356.67698551373468</v>
      </c>
      <c r="CZ116" s="59">
        <f t="shared" si="96"/>
        <v>353.21836615408171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0.8827744275564865</v>
      </c>
      <c r="DG116" s="21">
        <f>EXP(-LN(2)/25)*DG115+(1-EXP(-LN(2)/25))/(LN(2)/25)*Calculateur!DB116*Calculateur!DD116*VLOOKUP('Données projet'!$B$13,Paramètres!$A$1:$I$89,3,0)*0.475*44/12</f>
        <v>3.0213299969992384</v>
      </c>
      <c r="DH116" s="21">
        <f>EXP(-LN(2)/2)*DH115+(1-EXP(-LN(2)/2))/(LN(2)/2)*DB116*DE116*VLOOKUP('Données projet'!$B$13,Paramètres!$A$1:$I$89,3,0)*0.475*44/12</f>
        <v>1.045763802953066E-11</v>
      </c>
      <c r="DI116" s="22">
        <f t="shared" si="69"/>
        <v>3.9041044245661829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-4.5474735088646412E-13</v>
      </c>
      <c r="DP116" s="17">
        <f>DO116*VLOOKUP('Données projet'!$B$14,Paramètres!$A$1:$I$89,3,0)*VLOOKUP('Données projet'!$B$14,Paramètres!$A$1:$I$89,5,0)</f>
        <v>-2.7193891583010558E-13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247.30892363953825</v>
      </c>
      <c r="DU116" s="59">
        <f t="shared" si="98"/>
        <v>248.38414731596578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1.2866447475746841</v>
      </c>
      <c r="EC116" s="21">
        <f>EXP(-LN(2)/2)*EC115+(1-EXP(-LN(2)/2))/(LN(2)/2)*DW116*DZ116*VLOOKUP('Données projet'!$B$14,Paramètres!$A$1:$I$89,3,0)*0.475*44/12</f>
        <v>7.6302927845942359E-12</v>
      </c>
      <c r="ED116" s="22">
        <f t="shared" si="72"/>
        <v>1.2866447475823144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-4.5474735088646412E-13</v>
      </c>
      <c r="EK116" s="17">
        <f>EJ116*VLOOKUP('Données projet'!$B$15,Paramètres!$A$1:$I$89,3,0)*VLOOKUP('Données projet'!$B$15,Paramètres!$A$1:$I$89,5,0)</f>
        <v>-2.7193891583010558E-13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247.30892363953825</v>
      </c>
      <c r="EP116" s="59">
        <f t="shared" si="100"/>
        <v>248.38414731596578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1.2866447475746841</v>
      </c>
      <c r="EX116" s="21">
        <f>EXP(-LN(2)/2)*EX115+(1-EXP(-LN(2)/2))/(LN(2)/2)*ER116*EU116*VLOOKUP('Données projet'!$B$15,Paramètres!$A$1:$I$89,3,0)*0.475*44/12</f>
        <v>7.6302927845942359E-12</v>
      </c>
      <c r="EY116" s="22">
        <f t="shared" si="75"/>
        <v>1.2866447475823144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6.8212102632969618E-13</v>
      </c>
      <c r="FF116" s="17">
        <f>FE116*VLOOKUP('Données projet'!$B$16,Paramètres!$A$1:$I$89,3,0)*VLOOKUP('Données projet'!$B$16,Paramètres!$A$1:$I$89,5,0)</f>
        <v>3.2810021366458383E-13</v>
      </c>
      <c r="FG116" s="13">
        <f t="shared" si="101"/>
        <v>4.2923528923937213E-12</v>
      </c>
      <c r="FH116" s="20">
        <f t="shared" si="76"/>
        <v>8.0472891597182151E-12</v>
      </c>
      <c r="FI116" s="59">
        <f t="shared" si="77"/>
        <v>293.33333333334139</v>
      </c>
      <c r="FJ116" s="59">
        <f ca="1">AVERAGE(OFFSET($FI$3,0,0,'Données projet'!$E$16+1,1))-AVERAGE(OFFSET($H$3,0,0,'Données projet'!$E$16+1,1))</f>
        <v>322.54393676667081</v>
      </c>
      <c r="FK116" s="59">
        <f t="shared" si="102"/>
        <v>296.73904998640018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1.3021656007809952</v>
      </c>
      <c r="FR116" s="21">
        <f>EXP(-LN(2)/25)*FR115+(1-EXP(-LN(2)/25))/(LN(2)/25)*Calculateur!FM116*Calculateur!FO116*VLOOKUP('Données projet'!$B$16,Paramètres!$A$1:$I$89,3,0)*0.475*44/12</f>
        <v>1.3441087333282291</v>
      </c>
      <c r="FS116" s="21">
        <f>EXP(-LN(2)/2)*FS115+(1-EXP(-LN(2)/2))/(LN(2)/2)*FM116*FP116*VLOOKUP('Données projet'!$B$16,Paramètres!$A$1:$I$89,3,0)*0.475*44/12</f>
        <v>6.7246087271947057E-12</v>
      </c>
      <c r="FT116" s="22">
        <f t="shared" si="78"/>
        <v>2.6462743341159487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293.33333333333974</v>
      </c>
      <c r="S117" s="59">
        <f ca="1">AVERAGE(OFFSET($R$3,0,0,'Données projet'!$E$9+1,1))-AVERAGE(OFFSET($H$3,0,0,'Données projet'!$E$9+1,1))</f>
        <v>401.06118089678654</v>
      </c>
      <c r="T117" s="59">
        <f t="shared" si="88"/>
        <v>399.58193819355591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6.2527760746888816E-13</v>
      </c>
      <c r="AJ117" s="13">
        <f>AI117*VLOOKUP('Données projet'!$B$10,Paramètres!$A$1:$I$89,3,0)*VLOOKUP('Données projet'!$B$10,Paramètres!$A$1:$I$89,5,0)</f>
        <v>3.9017322706058616E-13</v>
      </c>
      <c r="AK117" s="13">
        <f t="shared" si="89"/>
        <v>5.0025007393608908E-12</v>
      </c>
      <c r="AL117" s="20">
        <f t="shared" si="58"/>
        <v>9.3922404915174053E-12</v>
      </c>
      <c r="AM117" s="59">
        <f t="shared" si="59"/>
        <v>293.33333333334269</v>
      </c>
      <c r="AN117" s="59">
        <f ca="1">AVERAGE(OFFSET($AM$3,0,0,'Données projet'!$E$10+1,1))-AVERAGE(OFFSET($H$3,0,0,'Données projet'!$E$10+1,1))</f>
        <v>240.30073883588199</v>
      </c>
      <c r="AO117" s="59">
        <f t="shared" si="90"/>
        <v>263.20351282678843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1.3174078368274049</v>
      </c>
      <c r="AV117" s="21">
        <f>EXP(-LN(2)/25)*AV116+(1-EXP(-LN(2)/25))/(LN(2)/25)*Calculateur!AQ117*Calculateur!AS117*VLOOKUP('Données projet'!$B$10,Paramètres!$A$1:$I$89,3,0)*0.475*44/12</f>
        <v>2.0246502444468191</v>
      </c>
      <c r="AW117" s="21">
        <f>EXP(-LN(2)/2)*AW116+(1-EXP(-LN(2)/2))/(LN(2)/2)*AQ117*AT117*VLOOKUP('Données projet'!$B$10,Paramètres!$A$1:$I$89,3,0)*0.475*44/12</f>
        <v>4.5908599312758961E-12</v>
      </c>
      <c r="AX117" s="21">
        <f t="shared" si="60"/>
        <v>3.342058081278815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-1.0936673788819462E-13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364.67510777943329</v>
      </c>
      <c r="BJ117" s="59">
        <f t="shared" si="92"/>
        <v>352.13878061387169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1.6755780924648567</v>
      </c>
      <c r="BQ117" s="21">
        <f>EXP(-LN(2)/25)*BQ116+(1-EXP(-LN(2)/25))/(LN(2)/25)*Calculateur!BL117*Calculateur!BN117*VLOOKUP('Données projet'!$B$11,Paramètres!$A$1:$I$89,3,0)*0.475*44/12</f>
        <v>1.7546048351041488</v>
      </c>
      <c r="BR117" s="21">
        <f>EXP(-LN(2)/2)*BR116+(1-EXP(-LN(2)/2))/(LN(2)/2)*BL117*BO117*VLOOKUP('Données projet'!$B$11,Paramètres!$A$1:$I$89,3,0)*0.475*44/12</f>
        <v>6.2467635301888833E-12</v>
      </c>
      <c r="BS117" s="22">
        <f t="shared" si="63"/>
        <v>3.430182927575252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-5.3205440053716299E-14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252.98248842635206</v>
      </c>
      <c r="CE117" s="59">
        <f t="shared" si="94"/>
        <v>207.11938580878308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0.59389215786978322</v>
      </c>
      <c r="CL117" s="21">
        <f>EXP(-LN(2)/25)*CL116+(1-EXP(-LN(2)/25))/(LN(2)/25)*Calculateur!CG117*Calculateur!CI117*VLOOKUP('Données projet'!$B$12,Paramètres!$A$1:$I$89,3,0)*0.475*44/12</f>
        <v>0.76508744767714665</v>
      </c>
      <c r="CM117" s="21">
        <f>EXP(-LN(2)/2)*CM116+(1-EXP(-LN(2)/2))/(LN(2)/2)*CG117*CJ117*VLOOKUP('Données projet'!$B$12,Paramètres!$A$1:$I$89,3,0)*0.475*44/12</f>
        <v>2.2355781039314006E-12</v>
      </c>
      <c r="CN117" s="22">
        <f t="shared" si="66"/>
        <v>1.3589796055491654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-5.6843418860808015E-13</v>
      </c>
      <c r="CU117" s="17">
        <f>CT117*VLOOKUP('Données projet'!$B$13,Paramètres!$A$1:$I$89,3,0)*VLOOKUP('Données projet'!$B$13,Paramètres!$A$1:$I$89,5,0)</f>
        <v>-3.177547114319168E-13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356.67698551373468</v>
      </c>
      <c r="CZ117" s="59">
        <f t="shared" si="96"/>
        <v>353.21836615408171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0.86546375947133813</v>
      </c>
      <c r="DG117" s="21">
        <f>EXP(-LN(2)/25)*DG116+(1-EXP(-LN(2)/25))/(LN(2)/25)*Calculateur!DB117*Calculateur!DD117*VLOOKUP('Données projet'!$B$13,Paramètres!$A$1:$I$89,3,0)*0.475*44/12</f>
        <v>2.9387115693464549</v>
      </c>
      <c r="DH117" s="21">
        <f>EXP(-LN(2)/2)*DH116+(1-EXP(-LN(2)/2))/(LN(2)/2)*DB117*DE117*VLOOKUP('Données projet'!$B$13,Paramètres!$A$1:$I$89,3,0)*0.475*44/12</f>
        <v>7.3946667658754545E-12</v>
      </c>
      <c r="DI117" s="22">
        <f t="shared" si="69"/>
        <v>3.8041753288251878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-4.5474735088646412E-13</v>
      </c>
      <c r="DP117" s="17">
        <f>DO117*VLOOKUP('Données projet'!$B$14,Paramètres!$A$1:$I$89,3,0)*VLOOKUP('Données projet'!$B$14,Paramètres!$A$1:$I$89,5,0)</f>
        <v>-2.7193891583010558E-13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247.30892363953825</v>
      </c>
      <c r="DU117" s="59">
        <f t="shared" si="98"/>
        <v>248.38414731596578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1.2514613792905478</v>
      </c>
      <c r="EC117" s="21">
        <f>EXP(-LN(2)/2)*EC116+(1-EXP(-LN(2)/2))/(LN(2)/2)*DW117*DZ117*VLOOKUP('Données projet'!$B$14,Paramètres!$A$1:$I$89,3,0)*0.475*44/12</f>
        <v>5.3954317704253689E-12</v>
      </c>
      <c r="ED117" s="22">
        <f t="shared" si="72"/>
        <v>1.2514613792959433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-4.5474735088646412E-13</v>
      </c>
      <c r="EK117" s="17">
        <f>EJ117*VLOOKUP('Données projet'!$B$15,Paramètres!$A$1:$I$89,3,0)*VLOOKUP('Données projet'!$B$15,Paramètres!$A$1:$I$89,5,0)</f>
        <v>-2.7193891583010558E-13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247.30892363953825</v>
      </c>
      <c r="EP117" s="59">
        <f t="shared" si="100"/>
        <v>248.38414731596578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1.2514613792905478</v>
      </c>
      <c r="EX117" s="21">
        <f>EXP(-LN(2)/2)*EX116+(1-EXP(-LN(2)/2))/(LN(2)/2)*ER117*EU117*VLOOKUP('Données projet'!$B$15,Paramètres!$A$1:$I$89,3,0)*0.475*44/12</f>
        <v>5.3954317704253689E-12</v>
      </c>
      <c r="EY117" s="22">
        <f t="shared" si="75"/>
        <v>1.2514613792959433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6.8212102632969618E-13</v>
      </c>
      <c r="FF117" s="17">
        <f>FE117*VLOOKUP('Données projet'!$B$16,Paramètres!$A$1:$I$89,3,0)*VLOOKUP('Données projet'!$B$16,Paramètres!$A$1:$I$89,5,0)</f>
        <v>3.2810021366458383E-13</v>
      </c>
      <c r="FG117" s="13">
        <f t="shared" si="101"/>
        <v>4.2923528923937213E-12</v>
      </c>
      <c r="FH117" s="20">
        <f t="shared" si="76"/>
        <v>8.0472891597182151E-12</v>
      </c>
      <c r="FI117" s="59">
        <f t="shared" si="77"/>
        <v>293.33333333334139</v>
      </c>
      <c r="FJ117" s="59">
        <f ca="1">AVERAGE(OFFSET($FI$3,0,0,'Données projet'!$E$16+1,1))-AVERAGE(OFFSET($H$3,0,0,'Données projet'!$E$16+1,1))</f>
        <v>322.54393676667081</v>
      </c>
      <c r="FK117" s="59">
        <f t="shared" si="102"/>
        <v>296.73904998640018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1.2766309275922714</v>
      </c>
      <c r="FR117" s="21">
        <f>EXP(-LN(2)/25)*FR116+(1-EXP(-LN(2)/25))/(LN(2)/25)*Calculateur!FM117*Calculateur!FO117*VLOOKUP('Données projet'!$B$16,Paramètres!$A$1:$I$89,3,0)*0.475*44/12</f>
        <v>1.3073540093317624</v>
      </c>
      <c r="FS117" s="21">
        <f>EXP(-LN(2)/2)*FS116+(1-EXP(-LN(2)/2))/(LN(2)/2)*FM117*FP117*VLOOKUP('Données projet'!$B$16,Paramètres!$A$1:$I$89,3,0)*0.475*44/12</f>
        <v>4.7550164318256145E-12</v>
      </c>
      <c r="FT117" s="22">
        <f t="shared" si="78"/>
        <v>2.5839849369287884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293.33333333333974</v>
      </c>
      <c r="S118" s="59">
        <f ca="1">AVERAGE(OFFSET($R$3,0,0,'Données projet'!$E$9+1,1))-AVERAGE(OFFSET($H$3,0,0,'Données projet'!$E$9+1,1))</f>
        <v>401.06118089678654</v>
      </c>
      <c r="T118" s="59">
        <f t="shared" si="88"/>
        <v>399.58193819355591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6.2527760746888816E-13</v>
      </c>
      <c r="AJ118" s="13">
        <f>AI118*VLOOKUP('Données projet'!$B$10,Paramètres!$A$1:$I$89,3,0)*VLOOKUP('Données projet'!$B$10,Paramètres!$A$1:$I$89,5,0)</f>
        <v>3.9017322706058616E-13</v>
      </c>
      <c r="AK118" s="13">
        <f t="shared" si="89"/>
        <v>5.0025007393608908E-12</v>
      </c>
      <c r="AL118" s="20">
        <f t="shared" si="58"/>
        <v>9.3922404915174053E-12</v>
      </c>
      <c r="AM118" s="59">
        <f t="shared" si="59"/>
        <v>293.33333333334269</v>
      </c>
      <c r="AN118" s="59">
        <f ca="1">AVERAGE(OFFSET($AM$3,0,0,'Données projet'!$E$10+1,1))-AVERAGE(OFFSET($H$3,0,0,'Données projet'!$E$10+1,1))</f>
        <v>240.30073883588199</v>
      </c>
      <c r="AO118" s="59">
        <f t="shared" si="90"/>
        <v>263.20351282678843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1.291574272686657</v>
      </c>
      <c r="AV118" s="21">
        <f>EXP(-LN(2)/25)*AV117+(1-EXP(-LN(2)/25))/(LN(2)/25)*Calculateur!AQ118*Calculateur!AS118*VLOOKUP('Données projet'!$B$10,Paramètres!$A$1:$I$89,3,0)*0.475*44/12</f>
        <v>1.9692860770406919</v>
      </c>
      <c r="AW118" s="21">
        <f>EXP(-LN(2)/2)*AW117+(1-EXP(-LN(2)/2))/(LN(2)/2)*AQ118*AT118*VLOOKUP('Données projet'!$B$10,Paramètres!$A$1:$I$89,3,0)*0.475*44/12</f>
        <v>3.2462281888827937E-12</v>
      </c>
      <c r="AX118" s="21">
        <f t="shared" si="60"/>
        <v>3.2608603497305952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-1.0936673788819462E-13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364.67510777943329</v>
      </c>
      <c r="BJ118" s="59">
        <f t="shared" si="92"/>
        <v>352.13878061387169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1.6427210280733429</v>
      </c>
      <c r="BQ118" s="21">
        <f>EXP(-LN(2)/25)*BQ117+(1-EXP(-LN(2)/25))/(LN(2)/25)*Calculateur!BL118*Calculateur!BN118*VLOOKUP('Données projet'!$B$11,Paramètres!$A$1:$I$89,3,0)*0.475*44/12</f>
        <v>1.7066250736175677</v>
      </c>
      <c r="BR118" s="21">
        <f>EXP(-LN(2)/2)*BR117+(1-EXP(-LN(2)/2))/(LN(2)/2)*BL118*BO118*VLOOKUP('Données projet'!$B$11,Paramètres!$A$1:$I$89,3,0)*0.475*44/12</f>
        <v>4.4171288526653758E-12</v>
      </c>
      <c r="BS118" s="22">
        <f t="shared" si="63"/>
        <v>3.3493461016953274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-5.3205440053716299E-14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252.98248842635206</v>
      </c>
      <c r="CE118" s="59">
        <f t="shared" si="94"/>
        <v>207.11938580878308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0.58224629489240498</v>
      </c>
      <c r="CL118" s="21">
        <f>EXP(-LN(2)/25)*CL117+(1-EXP(-LN(2)/25))/(LN(2)/25)*Calculateur!CG118*Calculateur!CI118*VLOOKUP('Données projet'!$B$12,Paramètres!$A$1:$I$89,3,0)*0.475*44/12</f>
        <v>0.7441660911862148</v>
      </c>
      <c r="CM118" s="21">
        <f>EXP(-LN(2)/2)*CM117+(1-EXP(-LN(2)/2))/(LN(2)/2)*CG118*CJ118*VLOOKUP('Données projet'!$B$12,Paramètres!$A$1:$I$89,3,0)*0.475*44/12</f>
        <v>1.5807924371620577E-12</v>
      </c>
      <c r="CN118" s="22">
        <f t="shared" si="66"/>
        <v>1.3264123860802004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-5.6843418860808015E-13</v>
      </c>
      <c r="CU118" s="17">
        <f>CT118*VLOOKUP('Données projet'!$B$13,Paramètres!$A$1:$I$89,3,0)*VLOOKUP('Données projet'!$B$13,Paramètres!$A$1:$I$89,5,0)</f>
        <v>-3.177547114319168E-13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356.67698551373468</v>
      </c>
      <c r="CZ118" s="59">
        <f t="shared" si="96"/>
        <v>353.21836615408171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0.84849254302887456</v>
      </c>
      <c r="DG118" s="21">
        <f>EXP(-LN(2)/25)*DG117+(1-EXP(-LN(2)/25))/(LN(2)/25)*Calculateur!DB118*Calculateur!DD118*VLOOKUP('Données projet'!$B$13,Paramètres!$A$1:$I$89,3,0)*0.475*44/12</f>
        <v>2.8583523469425511</v>
      </c>
      <c r="DH118" s="21">
        <f>EXP(-LN(2)/2)*DH117+(1-EXP(-LN(2)/2))/(LN(2)/2)*DB118*DE118*VLOOKUP('Données projet'!$B$13,Paramètres!$A$1:$I$89,3,0)*0.475*44/12</f>
        <v>5.22881901476533E-12</v>
      </c>
      <c r="DI118" s="22">
        <f t="shared" si="69"/>
        <v>3.7068448899766544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-4.5474735088646412E-13</v>
      </c>
      <c r="DP118" s="17">
        <f>DO118*VLOOKUP('Données projet'!$B$14,Paramètres!$A$1:$I$89,3,0)*VLOOKUP('Données projet'!$B$14,Paramètres!$A$1:$I$89,5,0)</f>
        <v>-2.7193891583010558E-13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247.30892363953825</v>
      </c>
      <c r="DU118" s="59">
        <f t="shared" si="98"/>
        <v>248.38414731596578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1.217240102062354</v>
      </c>
      <c r="EC118" s="21">
        <f>EXP(-LN(2)/2)*EC117+(1-EXP(-LN(2)/2))/(LN(2)/2)*DW118*DZ118*VLOOKUP('Données projet'!$B$14,Paramètres!$A$1:$I$89,3,0)*0.475*44/12</f>
        <v>3.8151463922971179E-12</v>
      </c>
      <c r="ED118" s="22">
        <f t="shared" si="72"/>
        <v>1.2172401020661692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-4.5474735088646412E-13</v>
      </c>
      <c r="EK118" s="17">
        <f>EJ118*VLOOKUP('Données projet'!$B$15,Paramètres!$A$1:$I$89,3,0)*VLOOKUP('Données projet'!$B$15,Paramètres!$A$1:$I$89,5,0)</f>
        <v>-2.7193891583010558E-13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247.30892363953825</v>
      </c>
      <c r="EP118" s="59">
        <f t="shared" si="100"/>
        <v>248.38414731596578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1.217240102062354</v>
      </c>
      <c r="EX118" s="21">
        <f>EXP(-LN(2)/2)*EX117+(1-EXP(-LN(2)/2))/(LN(2)/2)*ER118*EU118*VLOOKUP('Données projet'!$B$15,Paramètres!$A$1:$I$89,3,0)*0.475*44/12</f>
        <v>3.8151463922971179E-12</v>
      </c>
      <c r="EY118" s="22">
        <f t="shared" si="75"/>
        <v>1.2172401020661692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6.8212102632969618E-13</v>
      </c>
      <c r="FF118" s="17">
        <f>FE118*VLOOKUP('Données projet'!$B$16,Paramètres!$A$1:$I$89,3,0)*VLOOKUP('Données projet'!$B$16,Paramètres!$A$1:$I$89,5,0)</f>
        <v>3.2810021366458383E-13</v>
      </c>
      <c r="FG118" s="13">
        <f t="shared" si="101"/>
        <v>4.2923528923937213E-12</v>
      </c>
      <c r="FH118" s="20">
        <f t="shared" si="76"/>
        <v>8.0472891597182151E-12</v>
      </c>
      <c r="FI118" s="59">
        <f t="shared" si="77"/>
        <v>293.33333333334139</v>
      </c>
      <c r="FJ118" s="59">
        <f ca="1">AVERAGE(OFFSET($FI$3,0,0,'Données projet'!$E$16+1,1))-AVERAGE(OFFSET($H$3,0,0,'Données projet'!$E$16+1,1))</f>
        <v>322.54393676667081</v>
      </c>
      <c r="FK118" s="59">
        <f t="shared" si="102"/>
        <v>296.73904998640018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1.2515969737701658</v>
      </c>
      <c r="FR118" s="21">
        <f>EXP(-LN(2)/25)*FR117+(1-EXP(-LN(2)/25))/(LN(2)/25)*Calculateur!FM118*Calculateur!FO118*VLOOKUP('Données projet'!$B$16,Paramètres!$A$1:$I$89,3,0)*0.475*44/12</f>
        <v>1.2716043451958259</v>
      </c>
      <c r="FS118" s="21">
        <f>EXP(-LN(2)/2)*FS117+(1-EXP(-LN(2)/2))/(LN(2)/2)*FM118*FP118*VLOOKUP('Données projet'!$B$16,Paramètres!$A$1:$I$89,3,0)*0.475*44/12</f>
        <v>3.3623043635973528E-12</v>
      </c>
      <c r="FT118" s="22">
        <f t="shared" si="78"/>
        <v>2.5232013189693538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293.33333333333974</v>
      </c>
      <c r="S119" s="59">
        <f ca="1">AVERAGE(OFFSET($R$3,0,0,'Données projet'!$E$9+1,1))-AVERAGE(OFFSET($H$3,0,0,'Données projet'!$E$9+1,1))</f>
        <v>401.06118089678654</v>
      </c>
      <c r="T119" s="59">
        <f t="shared" si="88"/>
        <v>399.58193819355591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6.2527760746888816E-13</v>
      </c>
      <c r="AJ119" s="13">
        <f>AI119*VLOOKUP('Données projet'!$B$10,Paramètres!$A$1:$I$89,3,0)*VLOOKUP('Données projet'!$B$10,Paramètres!$A$1:$I$89,5,0)</f>
        <v>3.9017322706058616E-13</v>
      </c>
      <c r="AK119" s="13">
        <f t="shared" si="89"/>
        <v>5.0025007393608908E-12</v>
      </c>
      <c r="AL119" s="20">
        <f t="shared" si="58"/>
        <v>9.3922404915174053E-12</v>
      </c>
      <c r="AM119" s="59">
        <f t="shared" si="59"/>
        <v>293.33333333334269</v>
      </c>
      <c r="AN119" s="59">
        <f ca="1">AVERAGE(OFFSET($AM$3,0,0,'Données projet'!$E$10+1,1))-AVERAGE(OFFSET($H$3,0,0,'Données projet'!$E$10+1,1))</f>
        <v>240.30073883588199</v>
      </c>
      <c r="AO119" s="59">
        <f t="shared" si="90"/>
        <v>263.20351282678843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1.2662472889817911</v>
      </c>
      <c r="AV119" s="21">
        <f>EXP(-LN(2)/25)*AV118+(1-EXP(-LN(2)/25))/(LN(2)/25)*Calculateur!AQ119*Calculateur!AS119*VLOOKUP('Données projet'!$B$10,Paramètres!$A$1:$I$89,3,0)*0.475*44/12</f>
        <v>1.9154358457037604</v>
      </c>
      <c r="AW119" s="21">
        <f>EXP(-LN(2)/2)*AW118+(1-EXP(-LN(2)/2))/(LN(2)/2)*AQ119*AT119*VLOOKUP('Données projet'!$B$10,Paramètres!$A$1:$I$89,3,0)*0.475*44/12</f>
        <v>2.295429965637948E-12</v>
      </c>
      <c r="AX119" s="21">
        <f t="shared" si="60"/>
        <v>3.1816831346878467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-1.0936673788819462E-13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364.67510777943329</v>
      </c>
      <c r="BJ119" s="59">
        <f t="shared" si="92"/>
        <v>352.13878061387169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1.6105082706737164</v>
      </c>
      <c r="BQ119" s="21">
        <f>EXP(-LN(2)/25)*BQ118+(1-EXP(-LN(2)/25))/(LN(2)/25)*Calculateur!BL119*Calculateur!BN119*VLOOKUP('Données projet'!$B$11,Paramètres!$A$1:$I$89,3,0)*0.475*44/12</f>
        <v>1.6599573212319831</v>
      </c>
      <c r="BR119" s="21">
        <f>EXP(-LN(2)/2)*BR118+(1-EXP(-LN(2)/2))/(LN(2)/2)*BL119*BO119*VLOOKUP('Données projet'!$B$11,Paramètres!$A$1:$I$89,3,0)*0.475*44/12</f>
        <v>3.1233817650944417E-12</v>
      </c>
      <c r="BS119" s="22">
        <f t="shared" si="63"/>
        <v>3.2704655919088226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-5.3205440053716299E-14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252.98248842635206</v>
      </c>
      <c r="CE119" s="59">
        <f t="shared" si="94"/>
        <v>207.11938580878308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0.57082880018473814</v>
      </c>
      <c r="CL119" s="21">
        <f>EXP(-LN(2)/25)*CL118+(1-EXP(-LN(2)/25))/(LN(2)/25)*Calculateur!CG119*Calculateur!CI119*VLOOKUP('Données projet'!$B$12,Paramètres!$A$1:$I$89,3,0)*0.475*44/12</f>
        <v>0.72381683028873378</v>
      </c>
      <c r="CM119" s="21">
        <f>EXP(-LN(2)/2)*CM118+(1-EXP(-LN(2)/2))/(LN(2)/2)*CG119*CJ119*VLOOKUP('Données projet'!$B$12,Paramètres!$A$1:$I$89,3,0)*0.475*44/12</f>
        <v>1.1177890519657003E-12</v>
      </c>
      <c r="CN119" s="22">
        <f t="shared" si="66"/>
        <v>1.2946456304745897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-5.6843418860808015E-13</v>
      </c>
      <c r="CU119" s="17">
        <f>CT119*VLOOKUP('Données projet'!$B$13,Paramètres!$A$1:$I$89,3,0)*VLOOKUP('Données projet'!$B$13,Paramètres!$A$1:$I$89,5,0)</f>
        <v>-3.177547114319168E-13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356.67698551373468</v>
      </c>
      <c r="CZ119" s="59">
        <f t="shared" si="96"/>
        <v>353.21836615408171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0.83185412178942775</v>
      </c>
      <c r="DG119" s="21">
        <f>EXP(-LN(2)/25)*DG118+(1-EXP(-LN(2)/25))/(LN(2)/25)*Calculateur!DB119*Calculateur!DD119*VLOOKUP('Données projet'!$B$13,Paramètres!$A$1:$I$89,3,0)*0.475*44/12</f>
        <v>2.7801905517011898</v>
      </c>
      <c r="DH119" s="21">
        <f>EXP(-LN(2)/2)*DH118+(1-EXP(-LN(2)/2))/(LN(2)/2)*DB119*DE119*VLOOKUP('Données projet'!$B$13,Paramètres!$A$1:$I$89,3,0)*0.475*44/12</f>
        <v>3.6973333829377272E-12</v>
      </c>
      <c r="DI119" s="22">
        <f t="shared" si="69"/>
        <v>3.612044673494315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-4.5474735088646412E-13</v>
      </c>
      <c r="DP119" s="17">
        <f>DO119*VLOOKUP('Données projet'!$B$14,Paramètres!$A$1:$I$89,3,0)*VLOOKUP('Données projet'!$B$14,Paramètres!$A$1:$I$89,5,0)</f>
        <v>-2.7193891583010558E-13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247.30892363953825</v>
      </c>
      <c r="DU119" s="59">
        <f t="shared" si="98"/>
        <v>248.38414731596578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1.1839546074595839</v>
      </c>
      <c r="EC119" s="21">
        <f>EXP(-LN(2)/2)*EC118+(1-EXP(-LN(2)/2))/(LN(2)/2)*DW119*DZ119*VLOOKUP('Données projet'!$B$14,Paramètres!$A$1:$I$89,3,0)*0.475*44/12</f>
        <v>2.6977158852126844E-12</v>
      </c>
      <c r="ED119" s="22">
        <f t="shared" si="72"/>
        <v>1.1839546074622815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-4.5474735088646412E-13</v>
      </c>
      <c r="EK119" s="17">
        <f>EJ119*VLOOKUP('Données projet'!$B$15,Paramètres!$A$1:$I$89,3,0)*VLOOKUP('Données projet'!$B$15,Paramètres!$A$1:$I$89,5,0)</f>
        <v>-2.7193891583010558E-13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247.30892363953825</v>
      </c>
      <c r="EP119" s="59">
        <f t="shared" si="100"/>
        <v>248.38414731596578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1.1839546074595839</v>
      </c>
      <c r="EX119" s="21">
        <f>EXP(-LN(2)/2)*EX118+(1-EXP(-LN(2)/2))/(LN(2)/2)*ER119*EU119*VLOOKUP('Données projet'!$B$15,Paramètres!$A$1:$I$89,3,0)*0.475*44/12</f>
        <v>2.6977158852126844E-12</v>
      </c>
      <c r="EY119" s="22">
        <f t="shared" si="75"/>
        <v>1.1839546074622815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6.8212102632969618E-13</v>
      </c>
      <c r="FF119" s="17">
        <f>FE119*VLOOKUP('Données projet'!$B$16,Paramètres!$A$1:$I$89,3,0)*VLOOKUP('Données projet'!$B$16,Paramètres!$A$1:$I$89,5,0)</f>
        <v>3.2810021366458383E-13</v>
      </c>
      <c r="FG119" s="13">
        <f t="shared" si="101"/>
        <v>4.2923528923937213E-12</v>
      </c>
      <c r="FH119" s="20">
        <f t="shared" si="76"/>
        <v>8.0472891597182151E-12</v>
      </c>
      <c r="FI119" s="59">
        <f t="shared" si="77"/>
        <v>293.33333333334139</v>
      </c>
      <c r="FJ119" s="59">
        <f ca="1">AVERAGE(OFFSET($FI$3,0,0,'Données projet'!$E$16+1,1))-AVERAGE(OFFSET($H$3,0,0,'Données projet'!$E$16+1,1))</f>
        <v>322.54393676667081</v>
      </c>
      <c r="FK119" s="59">
        <f t="shared" si="102"/>
        <v>296.73904998640018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1.2270539205133075</v>
      </c>
      <c r="FR119" s="21">
        <f>EXP(-LN(2)/25)*FR118+(1-EXP(-LN(2)/25))/(LN(2)/25)*Calculateur!FM119*Calculateur!FO119*VLOOKUP('Données projet'!$B$16,Paramètres!$A$1:$I$89,3,0)*0.475*44/12</f>
        <v>1.2368322575056798</v>
      </c>
      <c r="FS119" s="21">
        <f>EXP(-LN(2)/2)*FS118+(1-EXP(-LN(2)/2))/(LN(2)/2)*FM119*FP119*VLOOKUP('Données projet'!$B$16,Paramètres!$A$1:$I$89,3,0)*0.475*44/12</f>
        <v>2.3775082159128073E-12</v>
      </c>
      <c r="FT119" s="22">
        <f t="shared" si="78"/>
        <v>2.4638861780213652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293.33333333333974</v>
      </c>
      <c r="S120" s="59">
        <f ca="1">AVERAGE(OFFSET($R$3,0,0,'Données projet'!$E$9+1,1))-AVERAGE(OFFSET($H$3,0,0,'Données projet'!$E$9+1,1))</f>
        <v>401.06118089678654</v>
      </c>
      <c r="T120" s="59">
        <f t="shared" si="88"/>
        <v>399.58193819355591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6.2527760746888816E-13</v>
      </c>
      <c r="AJ120" s="13">
        <f>AI120*VLOOKUP('Données projet'!$B$10,Paramètres!$A$1:$I$89,3,0)*VLOOKUP('Données projet'!$B$10,Paramètres!$A$1:$I$89,5,0)</f>
        <v>3.9017322706058616E-13</v>
      </c>
      <c r="AK120" s="13">
        <f t="shared" si="89"/>
        <v>5.0025007393608908E-12</v>
      </c>
      <c r="AL120" s="20">
        <f t="shared" si="58"/>
        <v>9.3922404915174053E-12</v>
      </c>
      <c r="AM120" s="59">
        <f t="shared" si="59"/>
        <v>293.33333333334269</v>
      </c>
      <c r="AN120" s="59">
        <f ca="1">AVERAGE(OFFSET($AM$3,0,0,'Données projet'!$E$10+1,1))-AVERAGE(OFFSET($H$3,0,0,'Données projet'!$E$10+1,1))</f>
        <v>240.30073883588199</v>
      </c>
      <c r="AO120" s="59">
        <f t="shared" si="90"/>
        <v>263.20351282678843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1.2414169519794427</v>
      </c>
      <c r="AV120" s="21">
        <f>EXP(-LN(2)/25)*AV119+(1-EXP(-LN(2)/25))/(LN(2)/25)*Calculateur!AQ120*Calculateur!AS120*VLOOKUP('Données projet'!$B$10,Paramètres!$A$1:$I$89,3,0)*0.475*44/12</f>
        <v>1.8630581517745977</v>
      </c>
      <c r="AW120" s="21">
        <f>EXP(-LN(2)/2)*AW119+(1-EXP(-LN(2)/2))/(LN(2)/2)*AQ120*AT120*VLOOKUP('Données projet'!$B$10,Paramètres!$A$1:$I$89,3,0)*0.475*44/12</f>
        <v>1.6231140944413969E-12</v>
      </c>
      <c r="AX120" s="21">
        <f t="shared" si="60"/>
        <v>3.1044751037556635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-1.0936673788819462E-13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364.67510777943329</v>
      </c>
      <c r="BJ120" s="59">
        <f t="shared" si="92"/>
        <v>352.13878061387169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1.5789271857988545</v>
      </c>
      <c r="BQ120" s="21">
        <f>EXP(-LN(2)/25)*BQ119+(1-EXP(-LN(2)/25))/(LN(2)/25)*Calculateur!BL120*Calculateur!BN120*VLOOKUP('Données projet'!$B$11,Paramètres!$A$1:$I$89,3,0)*0.475*44/12</f>
        <v>1.6145657009895329</v>
      </c>
      <c r="BR120" s="21">
        <f>EXP(-LN(2)/2)*BR119+(1-EXP(-LN(2)/2))/(LN(2)/2)*BL120*BO120*VLOOKUP('Données projet'!$B$11,Paramètres!$A$1:$I$89,3,0)*0.475*44/12</f>
        <v>2.2085644263326879E-12</v>
      </c>
      <c r="BS120" s="22">
        <f t="shared" si="63"/>
        <v>3.1934928867905961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-5.3205440053716299E-14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252.98248842635206</v>
      </c>
      <c r="CE120" s="59">
        <f t="shared" si="94"/>
        <v>207.11938580878308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0.55963519558430452</v>
      </c>
      <c r="CL120" s="21">
        <f>EXP(-LN(2)/25)*CL119+(1-EXP(-LN(2)/25))/(LN(2)/25)*Calculateur!CG120*Calculateur!CI120*VLOOKUP('Données projet'!$B$12,Paramètres!$A$1:$I$89,3,0)*0.475*44/12</f>
        <v>0.70402402100061556</v>
      </c>
      <c r="CM120" s="21">
        <f>EXP(-LN(2)/2)*CM119+(1-EXP(-LN(2)/2))/(LN(2)/2)*CG120*CJ120*VLOOKUP('Données projet'!$B$12,Paramètres!$A$1:$I$89,3,0)*0.475*44/12</f>
        <v>7.9039621858102885E-13</v>
      </c>
      <c r="CN120" s="22">
        <f t="shared" si="66"/>
        <v>1.2636592165857106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-5.6843418860808015E-13</v>
      </c>
      <c r="CU120" s="17">
        <f>CT120*VLOOKUP('Données projet'!$B$13,Paramètres!$A$1:$I$89,3,0)*VLOOKUP('Données projet'!$B$13,Paramètres!$A$1:$I$89,5,0)</f>
        <v>-3.177547114319168E-13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356.67698551373468</v>
      </c>
      <c r="CZ120" s="59">
        <f t="shared" si="96"/>
        <v>353.21836615408171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0.81554196984205163</v>
      </c>
      <c r="DG120" s="21">
        <f>EXP(-LN(2)/25)*DG119+(1-EXP(-LN(2)/25))/(LN(2)/25)*Calculateur!DB120*Calculateur!DD120*VLOOKUP('Données projet'!$B$13,Paramètres!$A$1:$I$89,3,0)*0.475*44/12</f>
        <v>2.704166094861054</v>
      </c>
      <c r="DH120" s="21">
        <f>EXP(-LN(2)/2)*DH119+(1-EXP(-LN(2)/2))/(LN(2)/2)*DB120*DE120*VLOOKUP('Données projet'!$B$13,Paramètres!$A$1:$I$89,3,0)*0.475*44/12</f>
        <v>2.614409507382665E-12</v>
      </c>
      <c r="DI120" s="22">
        <f t="shared" si="69"/>
        <v>3.51970806470572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-4.5474735088646412E-13</v>
      </c>
      <c r="DP120" s="17">
        <f>DO120*VLOOKUP('Données projet'!$B$14,Paramètres!$A$1:$I$89,3,0)*VLOOKUP('Données projet'!$B$14,Paramètres!$A$1:$I$89,5,0)</f>
        <v>-2.7193891583010558E-13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247.30892363953825</v>
      </c>
      <c r="DU120" s="59">
        <f t="shared" si="98"/>
        <v>248.38414731596578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1.1515793064571347</v>
      </c>
      <c r="EC120" s="21">
        <f>EXP(-LN(2)/2)*EC119+(1-EXP(-LN(2)/2))/(LN(2)/2)*DW120*DZ120*VLOOKUP('Données projet'!$B$14,Paramètres!$A$1:$I$89,3,0)*0.475*44/12</f>
        <v>1.907573196148559E-12</v>
      </c>
      <c r="ED120" s="22">
        <f t="shared" si="72"/>
        <v>1.1515793064590423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-4.5474735088646412E-13</v>
      </c>
      <c r="EK120" s="17">
        <f>EJ120*VLOOKUP('Données projet'!$B$15,Paramètres!$A$1:$I$89,3,0)*VLOOKUP('Données projet'!$B$15,Paramètres!$A$1:$I$89,5,0)</f>
        <v>-2.7193891583010558E-13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247.30892363953825</v>
      </c>
      <c r="EP120" s="59">
        <f t="shared" si="100"/>
        <v>248.38414731596578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1.1515793064571347</v>
      </c>
      <c r="EX120" s="21">
        <f>EXP(-LN(2)/2)*EX119+(1-EXP(-LN(2)/2))/(LN(2)/2)*ER120*EU120*VLOOKUP('Données projet'!$B$15,Paramètres!$A$1:$I$89,3,0)*0.475*44/12</f>
        <v>1.907573196148559E-12</v>
      </c>
      <c r="EY120" s="22">
        <f t="shared" si="75"/>
        <v>1.1515793064590423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6.8212102632969618E-13</v>
      </c>
      <c r="FF120" s="17">
        <f>FE120*VLOOKUP('Données projet'!$B$16,Paramètres!$A$1:$I$89,3,0)*VLOOKUP('Données projet'!$B$16,Paramètres!$A$1:$I$89,5,0)</f>
        <v>3.2810021366458383E-13</v>
      </c>
      <c r="FG120" s="13">
        <f t="shared" si="101"/>
        <v>4.2923528923937213E-12</v>
      </c>
      <c r="FH120" s="20">
        <f t="shared" si="76"/>
        <v>8.0472891597182151E-12</v>
      </c>
      <c r="FI120" s="59">
        <f t="shared" si="77"/>
        <v>293.33333333334139</v>
      </c>
      <c r="FJ120" s="59">
        <f ca="1">AVERAGE(OFFSET($FI$3,0,0,'Données projet'!$E$16+1,1))-AVERAGE(OFFSET($H$3,0,0,'Données projet'!$E$16+1,1))</f>
        <v>322.54393676667081</v>
      </c>
      <c r="FK120" s="59">
        <f t="shared" si="102"/>
        <v>296.73904998640018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1.2029921415610318</v>
      </c>
      <c r="FR120" s="21">
        <f>EXP(-LN(2)/25)*FR119+(1-EXP(-LN(2)/25))/(LN(2)/25)*Calculateur!FM120*Calculateur!FO120*VLOOKUP('Données projet'!$B$16,Paramètres!$A$1:$I$89,3,0)*0.475*44/12</f>
        <v>1.2030110143820054</v>
      </c>
      <c r="FS120" s="21">
        <f>EXP(-LN(2)/2)*FS119+(1-EXP(-LN(2)/2))/(LN(2)/2)*FM120*FP120*VLOOKUP('Données projet'!$B$16,Paramètres!$A$1:$I$89,3,0)*0.475*44/12</f>
        <v>1.6811521817986764E-12</v>
      </c>
      <c r="FT120" s="22">
        <f t="shared" si="78"/>
        <v>2.4060031559447186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293.33333333333974</v>
      </c>
      <c r="S121" s="59">
        <f ca="1">AVERAGE(OFFSET($R$3,0,0,'Données projet'!$E$9+1,1))-AVERAGE(OFFSET($H$3,0,0,'Données projet'!$E$9+1,1))</f>
        <v>401.06118089678654</v>
      </c>
      <c r="T121" s="59">
        <f t="shared" si="88"/>
        <v>399.58193819355591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6.2527760746888816E-13</v>
      </c>
      <c r="AJ121" s="13">
        <f>AI121*VLOOKUP('Données projet'!$B$10,Paramètres!$A$1:$I$89,3,0)*VLOOKUP('Données projet'!$B$10,Paramètres!$A$1:$I$89,5,0)</f>
        <v>3.9017322706058616E-13</v>
      </c>
      <c r="AK121" s="13">
        <f t="shared" si="89"/>
        <v>5.0025007393608908E-12</v>
      </c>
      <c r="AL121" s="20">
        <f t="shared" si="58"/>
        <v>9.3922404915174053E-12</v>
      </c>
      <c r="AM121" s="59">
        <f t="shared" si="59"/>
        <v>293.33333333334269</v>
      </c>
      <c r="AN121" s="59">
        <f ca="1">AVERAGE(OFFSET($AM$3,0,0,'Données projet'!$E$10+1,1))-AVERAGE(OFFSET($H$3,0,0,'Données projet'!$E$10+1,1))</f>
        <v>240.30073883588199</v>
      </c>
      <c r="AO121" s="59">
        <f t="shared" si="90"/>
        <v>263.20351282678843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1.2170735227407004</v>
      </c>
      <c r="AV121" s="21">
        <f>EXP(-LN(2)/25)*AV120+(1-EXP(-LN(2)/25))/(LN(2)/25)*Calculateur!AQ121*Calculateur!AS121*VLOOKUP('Données projet'!$B$10,Paramètres!$A$1:$I$89,3,0)*0.475*44/12</f>
        <v>1.8121127286403511</v>
      </c>
      <c r="AW121" s="21">
        <f>EXP(-LN(2)/2)*AW120+(1-EXP(-LN(2)/2))/(LN(2)/2)*AQ121*AT121*VLOOKUP('Données projet'!$B$10,Paramètres!$A$1:$I$89,3,0)*0.475*44/12</f>
        <v>1.147714982818974E-12</v>
      </c>
      <c r="AX121" s="21">
        <f t="shared" si="60"/>
        <v>3.0291862513821988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-1.0936673788819462E-13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364.67510777943329</v>
      </c>
      <c r="BJ121" s="59">
        <f t="shared" si="92"/>
        <v>352.13878061387169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1.547965386735829</v>
      </c>
      <c r="BQ121" s="21">
        <f>EXP(-LN(2)/25)*BQ120+(1-EXP(-LN(2)/25))/(LN(2)/25)*Calculateur!BL121*Calculateur!BN121*VLOOKUP('Données projet'!$B$11,Paramètres!$A$1:$I$89,3,0)*0.475*44/12</f>
        <v>1.570415316989654</v>
      </c>
      <c r="BR121" s="21">
        <f>EXP(-LN(2)/2)*BR120+(1-EXP(-LN(2)/2))/(LN(2)/2)*BL121*BO121*VLOOKUP('Données projet'!$B$11,Paramètres!$A$1:$I$89,3,0)*0.475*44/12</f>
        <v>1.5616908825472208E-12</v>
      </c>
      <c r="BS121" s="22">
        <f t="shared" si="63"/>
        <v>3.1183807037270448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-5.3205440053716299E-14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252.98248842635206</v>
      </c>
      <c r="CE121" s="59">
        <f t="shared" si="94"/>
        <v>207.11938580878308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0.54866109074266067</v>
      </c>
      <c r="CL121" s="21">
        <f>EXP(-LN(2)/25)*CL120+(1-EXP(-LN(2)/25))/(LN(2)/25)*Calculateur!CG121*Calculateur!CI121*VLOOKUP('Données projet'!$B$12,Paramètres!$A$1:$I$89,3,0)*0.475*44/12</f>
        <v>0.68477244712333951</v>
      </c>
      <c r="CM121" s="21">
        <f>EXP(-LN(2)/2)*CM120+(1-EXP(-LN(2)/2))/(LN(2)/2)*CG121*CJ121*VLOOKUP('Données projet'!$B$12,Paramètres!$A$1:$I$89,3,0)*0.475*44/12</f>
        <v>5.5889452598285015E-13</v>
      </c>
      <c r="CN121" s="22">
        <f t="shared" si="66"/>
        <v>1.2334335378665591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-5.6843418860808015E-13</v>
      </c>
      <c r="CU121" s="17">
        <f>CT121*VLOOKUP('Données projet'!$B$13,Paramètres!$A$1:$I$89,3,0)*VLOOKUP('Données projet'!$B$13,Paramètres!$A$1:$I$89,5,0)</f>
        <v>-3.177547114319168E-13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356.67698551373468</v>
      </c>
      <c r="CZ121" s="59">
        <f t="shared" si="96"/>
        <v>353.21836615408171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0.7995496892449333</v>
      </c>
      <c r="DG121" s="21">
        <f>EXP(-LN(2)/25)*DG120+(1-EXP(-LN(2)/25))/(LN(2)/25)*Calculateur!DB121*Calculateur!DD121*VLOOKUP('Données projet'!$B$13,Paramètres!$A$1:$I$89,3,0)*0.475*44/12</f>
        <v>2.6302205307911639</v>
      </c>
      <c r="DH121" s="21">
        <f>EXP(-LN(2)/2)*DH120+(1-EXP(-LN(2)/2))/(LN(2)/2)*DB121*DE121*VLOOKUP('Données projet'!$B$13,Paramètres!$A$1:$I$89,3,0)*0.475*44/12</f>
        <v>1.8486666914688636E-12</v>
      </c>
      <c r="DI121" s="22">
        <f t="shared" si="69"/>
        <v>3.4297702200379461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-4.5474735088646412E-13</v>
      </c>
      <c r="DP121" s="17">
        <f>DO121*VLOOKUP('Données projet'!$B$14,Paramètres!$A$1:$I$89,3,0)*VLOOKUP('Données projet'!$B$14,Paramètres!$A$1:$I$89,5,0)</f>
        <v>-2.7193891583010558E-13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247.30892363953825</v>
      </c>
      <c r="DU121" s="59">
        <f t="shared" si="98"/>
        <v>248.38414731596578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1.1200893097631406</v>
      </c>
      <c r="EC121" s="21">
        <f>EXP(-LN(2)/2)*EC120+(1-EXP(-LN(2)/2))/(LN(2)/2)*DW121*DZ121*VLOOKUP('Données projet'!$B$14,Paramètres!$A$1:$I$89,3,0)*0.475*44/12</f>
        <v>1.3488579426063422E-12</v>
      </c>
      <c r="ED121" s="22">
        <f t="shared" si="72"/>
        <v>1.1200893097644895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-4.5474735088646412E-13</v>
      </c>
      <c r="EK121" s="17">
        <f>EJ121*VLOOKUP('Données projet'!$B$15,Paramètres!$A$1:$I$89,3,0)*VLOOKUP('Données projet'!$B$15,Paramètres!$A$1:$I$89,5,0)</f>
        <v>-2.7193891583010558E-13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247.30892363953825</v>
      </c>
      <c r="EP121" s="59">
        <f t="shared" si="100"/>
        <v>248.38414731596578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1.1200893097631406</v>
      </c>
      <c r="EX121" s="21">
        <f>EXP(-LN(2)/2)*EX120+(1-EXP(-LN(2)/2))/(LN(2)/2)*ER121*EU121*VLOOKUP('Données projet'!$B$15,Paramètres!$A$1:$I$89,3,0)*0.475*44/12</f>
        <v>1.3488579426063422E-12</v>
      </c>
      <c r="EY121" s="22">
        <f t="shared" si="75"/>
        <v>1.1200893097644895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6.8212102632969618E-13</v>
      </c>
      <c r="FF121" s="17">
        <f>FE121*VLOOKUP('Données projet'!$B$16,Paramètres!$A$1:$I$89,3,0)*VLOOKUP('Données projet'!$B$16,Paramètres!$A$1:$I$89,5,0)</f>
        <v>3.2810021366458383E-13</v>
      </c>
      <c r="FG121" s="13">
        <f t="shared" si="101"/>
        <v>4.2923528923937213E-12</v>
      </c>
      <c r="FH121" s="20">
        <f t="shared" si="76"/>
        <v>8.0472891597182151E-12</v>
      </c>
      <c r="FI121" s="59">
        <f t="shared" si="77"/>
        <v>293.33333333334139</v>
      </c>
      <c r="FJ121" s="59">
        <f ca="1">AVERAGE(OFFSET($FI$3,0,0,'Données projet'!$E$16+1,1))-AVERAGE(OFFSET($H$3,0,0,'Données projet'!$E$16+1,1))</f>
        <v>322.54393676667081</v>
      </c>
      <c r="FK121" s="59">
        <f t="shared" si="102"/>
        <v>296.73904998640018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1.1794021994177744</v>
      </c>
      <c r="FR121" s="21">
        <f>EXP(-LN(2)/25)*FR120+(1-EXP(-LN(2)/25))/(LN(2)/25)*Calculateur!FM121*Calculateur!FO121*VLOOKUP('Données projet'!$B$16,Paramètres!$A$1:$I$89,3,0)*0.475*44/12</f>
        <v>1.1701146149301298</v>
      </c>
      <c r="FS121" s="21">
        <f>EXP(-LN(2)/2)*FS120+(1-EXP(-LN(2)/2))/(LN(2)/2)*FM121*FP121*VLOOKUP('Données projet'!$B$16,Paramètres!$A$1:$I$89,3,0)*0.475*44/12</f>
        <v>1.1887541079564036E-12</v>
      </c>
      <c r="FT121" s="22">
        <f t="shared" si="78"/>
        <v>2.349516814349093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293.33333333333974</v>
      </c>
      <c r="S122" s="59">
        <f ca="1">AVERAGE(OFFSET($R$3,0,0,'Données projet'!$E$9+1,1))-AVERAGE(OFFSET($H$3,0,0,'Données projet'!$E$9+1,1))</f>
        <v>401.06118089678654</v>
      </c>
      <c r="T122" s="59">
        <f t="shared" si="88"/>
        <v>399.58193819355591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6.2527760746888816E-13</v>
      </c>
      <c r="AJ122" s="13">
        <f>AI122*VLOOKUP('Données projet'!$B$10,Paramètres!$A$1:$I$89,3,0)*VLOOKUP('Données projet'!$B$10,Paramètres!$A$1:$I$89,5,0)</f>
        <v>3.9017322706058616E-13</v>
      </c>
      <c r="AK122" s="13">
        <f t="shared" si="89"/>
        <v>5.0025007393608908E-12</v>
      </c>
      <c r="AL122" s="20">
        <f t="shared" si="58"/>
        <v>9.3922404915174053E-12</v>
      </c>
      <c r="AM122" s="59">
        <f t="shared" si="59"/>
        <v>293.33333333334269</v>
      </c>
      <c r="AN122" s="59">
        <f ca="1">AVERAGE(OFFSET($AM$3,0,0,'Données projet'!$E$10+1,1))-AVERAGE(OFFSET($H$3,0,0,'Données projet'!$E$10+1,1))</f>
        <v>240.30073883588199</v>
      </c>
      <c r="AO122" s="59">
        <f t="shared" si="90"/>
        <v>263.20351282678843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1.193207453301304</v>
      </c>
      <c r="AV122" s="21">
        <f>EXP(-LN(2)/25)*AV121+(1-EXP(-LN(2)/25))/(LN(2)/25)*Calculateur!AQ122*Calculateur!AS122*VLOOKUP('Données projet'!$B$10,Paramètres!$A$1:$I$89,3,0)*0.475*44/12</f>
        <v>1.7625604107808139</v>
      </c>
      <c r="AW122" s="21">
        <f>EXP(-LN(2)/2)*AW121+(1-EXP(-LN(2)/2))/(LN(2)/2)*AQ122*AT122*VLOOKUP('Données projet'!$B$10,Paramètres!$A$1:$I$89,3,0)*0.475*44/12</f>
        <v>8.1155704722069843E-13</v>
      </c>
      <c r="AX122" s="21">
        <f t="shared" si="60"/>
        <v>2.955767864082929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-1.0936673788819462E-13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364.67510777943329</v>
      </c>
      <c r="BJ122" s="59">
        <f t="shared" si="92"/>
        <v>352.13878061387169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1.5176107296675967</v>
      </c>
      <c r="BQ122" s="21">
        <f>EXP(-LN(2)/25)*BQ121+(1-EXP(-LN(2)/25))/(LN(2)/25)*Calculateur!BL122*Calculateur!BN122*VLOOKUP('Données projet'!$B$11,Paramètres!$A$1:$I$89,3,0)*0.475*44/12</f>
        <v>1.5274722275620196</v>
      </c>
      <c r="BR122" s="21">
        <f>EXP(-LN(2)/2)*BR121+(1-EXP(-LN(2)/2))/(LN(2)/2)*BL122*BO122*VLOOKUP('Données projet'!$B$11,Paramètres!$A$1:$I$89,3,0)*0.475*44/12</f>
        <v>1.1042822131663439E-12</v>
      </c>
      <c r="BS122" s="22">
        <f t="shared" si="63"/>
        <v>3.0450829572307208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-5.3205440053716299E-14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252.98248842635206</v>
      </c>
      <c r="CE122" s="59">
        <f t="shared" si="94"/>
        <v>207.11938580878308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0.5379021814034185</v>
      </c>
      <c r="CL122" s="21">
        <f>EXP(-LN(2)/25)*CL121+(1-EXP(-LN(2)/25))/(LN(2)/25)*Calculateur!CG122*Calculateur!CI122*VLOOKUP('Données projet'!$B$12,Paramètres!$A$1:$I$89,3,0)*0.475*44/12</f>
        <v>0.66604730854613392</v>
      </c>
      <c r="CM122" s="21">
        <f>EXP(-LN(2)/2)*CM121+(1-EXP(-LN(2)/2))/(LN(2)/2)*CG122*CJ122*VLOOKUP('Données projet'!$B$12,Paramètres!$A$1:$I$89,3,0)*0.475*44/12</f>
        <v>3.9519810929051443E-13</v>
      </c>
      <c r="CN122" s="22">
        <f t="shared" si="66"/>
        <v>1.2039494899499477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-5.6843418860808015E-13</v>
      </c>
      <c r="CU122" s="17">
        <f>CT122*VLOOKUP('Données projet'!$B$13,Paramètres!$A$1:$I$89,3,0)*VLOOKUP('Données projet'!$B$13,Paramètres!$A$1:$I$89,5,0)</f>
        <v>-3.177547114319168E-13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356.67698551373468</v>
      </c>
      <c r="CZ122" s="59">
        <f t="shared" si="96"/>
        <v>353.21836615408171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0.78387100751599648</v>
      </c>
      <c r="DG122" s="21">
        <f>EXP(-LN(2)/25)*DG121+(1-EXP(-LN(2)/25))/(LN(2)/25)*Calculateur!DB122*Calculateur!DD122*VLOOKUP('Données projet'!$B$13,Paramètres!$A$1:$I$89,3,0)*0.475*44/12</f>
        <v>2.5582970120593931</v>
      </c>
      <c r="DH122" s="21">
        <f>EXP(-LN(2)/2)*DH121+(1-EXP(-LN(2)/2))/(LN(2)/2)*DB122*DE122*VLOOKUP('Données projet'!$B$13,Paramètres!$A$1:$I$89,3,0)*0.475*44/12</f>
        <v>1.3072047536913325E-12</v>
      </c>
      <c r="DI122" s="22">
        <f t="shared" si="69"/>
        <v>3.3421680195766967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-4.5474735088646412E-13</v>
      </c>
      <c r="DP122" s="17">
        <f>DO122*VLOOKUP('Données projet'!$B$14,Paramètres!$A$1:$I$89,3,0)*VLOOKUP('Données projet'!$B$14,Paramètres!$A$1:$I$89,5,0)</f>
        <v>-2.7193891583010558E-13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247.30892363953825</v>
      </c>
      <c r="DU122" s="59">
        <f t="shared" si="98"/>
        <v>248.38414731596578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1.0894604086847306</v>
      </c>
      <c r="EC122" s="21">
        <f>EXP(-LN(2)/2)*EC121+(1-EXP(-LN(2)/2))/(LN(2)/2)*DW122*DZ122*VLOOKUP('Données projet'!$B$14,Paramètres!$A$1:$I$89,3,0)*0.475*44/12</f>
        <v>9.5378659807427948E-13</v>
      </c>
      <c r="ED122" s="22">
        <f t="shared" si="72"/>
        <v>1.0894604086856843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-4.5474735088646412E-13</v>
      </c>
      <c r="EK122" s="17">
        <f>EJ122*VLOOKUP('Données projet'!$B$15,Paramètres!$A$1:$I$89,3,0)*VLOOKUP('Données projet'!$B$15,Paramètres!$A$1:$I$89,5,0)</f>
        <v>-2.7193891583010558E-13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247.30892363953825</v>
      </c>
      <c r="EP122" s="59">
        <f t="shared" si="100"/>
        <v>248.38414731596578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1.0894604086847306</v>
      </c>
      <c r="EX122" s="21">
        <f>EXP(-LN(2)/2)*EX121+(1-EXP(-LN(2)/2))/(LN(2)/2)*ER122*EU122*VLOOKUP('Données projet'!$B$15,Paramètres!$A$1:$I$89,3,0)*0.475*44/12</f>
        <v>9.5378659807427948E-13</v>
      </c>
      <c r="EY122" s="22">
        <f t="shared" si="75"/>
        <v>1.0894604086856843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6.8212102632969618E-13</v>
      </c>
      <c r="FF122" s="17">
        <f>FE122*VLOOKUP('Données projet'!$B$16,Paramètres!$A$1:$I$89,3,0)*VLOOKUP('Données projet'!$B$16,Paramètres!$A$1:$I$89,5,0)</f>
        <v>3.2810021366458383E-13</v>
      </c>
      <c r="FG122" s="13">
        <f t="shared" si="101"/>
        <v>4.2923528923937213E-12</v>
      </c>
      <c r="FH122" s="20">
        <f t="shared" si="76"/>
        <v>8.0472891597182151E-12</v>
      </c>
      <c r="FI122" s="59">
        <f t="shared" si="77"/>
        <v>293.33333333334139</v>
      </c>
      <c r="FJ122" s="59">
        <f ca="1">AVERAGE(OFFSET($FI$3,0,0,'Données projet'!$E$16+1,1))-AVERAGE(OFFSET($H$3,0,0,'Données projet'!$E$16+1,1))</f>
        <v>322.54393676667081</v>
      </c>
      <c r="FK122" s="59">
        <f t="shared" si="102"/>
        <v>296.73904998640018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1.1562748416515021</v>
      </c>
      <c r="FR122" s="21">
        <f>EXP(-LN(2)/25)*FR121+(1-EXP(-LN(2)/25))/(LN(2)/25)*Calculateur!FM122*Calculateur!FO122*VLOOKUP('Données projet'!$B$16,Paramètres!$A$1:$I$89,3,0)*0.475*44/12</f>
        <v>1.1381177692512121</v>
      </c>
      <c r="FS122" s="21">
        <f>EXP(-LN(2)/2)*FS121+(1-EXP(-LN(2)/2))/(LN(2)/2)*FM122*FP122*VLOOKUP('Données projet'!$B$16,Paramètres!$A$1:$I$89,3,0)*0.475*44/12</f>
        <v>8.4057609089933821E-13</v>
      </c>
      <c r="FT122" s="22">
        <f t="shared" si="78"/>
        <v>2.2943926109035551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293.33333333333974</v>
      </c>
      <c r="S123" s="59">
        <f ca="1">AVERAGE(OFFSET($R$3,0,0,'Données projet'!$E$9+1,1))-AVERAGE(OFFSET($H$3,0,0,'Données projet'!$E$9+1,1))</f>
        <v>401.06118089678654</v>
      </c>
      <c r="T123" s="59">
        <f t="shared" si="88"/>
        <v>399.58193819355591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6.2527760746888816E-13</v>
      </c>
      <c r="AJ123" s="13">
        <f>AI123*VLOOKUP('Données projet'!$B$10,Paramètres!$A$1:$I$89,3,0)*VLOOKUP('Données projet'!$B$10,Paramètres!$A$1:$I$89,5,0)</f>
        <v>3.9017322706058616E-13</v>
      </c>
      <c r="AK123" s="13">
        <f t="shared" si="89"/>
        <v>5.0025007393608908E-12</v>
      </c>
      <c r="AL123" s="20">
        <f t="shared" si="58"/>
        <v>9.3922404915174053E-12</v>
      </c>
      <c r="AM123" s="59">
        <f t="shared" si="59"/>
        <v>293.33333333334269</v>
      </c>
      <c r="AN123" s="59">
        <f ca="1">AVERAGE(OFFSET($AM$3,0,0,'Données projet'!$E$10+1,1))-AVERAGE(OFFSET($H$3,0,0,'Données projet'!$E$10+1,1))</f>
        <v>240.30073883588199</v>
      </c>
      <c r="AO123" s="59">
        <f t="shared" si="90"/>
        <v>263.20351282678843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1.1698093829267491</v>
      </c>
      <c r="AV123" s="21">
        <f>EXP(-LN(2)/25)*AV122+(1-EXP(-LN(2)/25))/(LN(2)/25)*Calculateur!AQ123*Calculateur!AS123*VLOOKUP('Données projet'!$B$10,Paramètres!$A$1:$I$89,3,0)*0.475*44/12</f>
        <v>1.714363103658989</v>
      </c>
      <c r="AW123" s="21">
        <f>EXP(-LN(2)/2)*AW122+(1-EXP(-LN(2)/2))/(LN(2)/2)*AQ123*AT123*VLOOKUP('Données projet'!$B$10,Paramètres!$A$1:$I$89,3,0)*0.475*44/12</f>
        <v>5.7385749140948701E-13</v>
      </c>
      <c r="AX123" s="21">
        <f t="shared" si="60"/>
        <v>2.8841724865863121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-1.0936673788819462E-13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364.67510777943329</v>
      </c>
      <c r="BJ123" s="59">
        <f t="shared" si="92"/>
        <v>352.13878061387169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1.4878513089099599</v>
      </c>
      <c r="BQ123" s="21">
        <f>EXP(-LN(2)/25)*BQ122+(1-EXP(-LN(2)/25))/(LN(2)/25)*Calculateur!BL123*Calculateur!BN123*VLOOKUP('Données projet'!$B$11,Paramètres!$A$1:$I$89,3,0)*0.475*44/12</f>
        <v>1.4857034191730629</v>
      </c>
      <c r="BR123" s="21">
        <f>EXP(-LN(2)/2)*BR122+(1-EXP(-LN(2)/2))/(LN(2)/2)*BL123*BO123*VLOOKUP('Données projet'!$B$11,Paramètres!$A$1:$I$89,3,0)*0.475*44/12</f>
        <v>7.8084544127361042E-13</v>
      </c>
      <c r="BS123" s="22">
        <f t="shared" si="63"/>
        <v>2.9735547280838035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-5.3205440053716299E-14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252.98248842635206</v>
      </c>
      <c r="CE123" s="59">
        <f t="shared" si="94"/>
        <v>207.11938580878308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0.52735424771403216</v>
      </c>
      <c r="CL123" s="21">
        <f>EXP(-LN(2)/25)*CL122+(1-EXP(-LN(2)/25))/(LN(2)/25)*Calculateur!CG123*Calculateur!CI123*VLOOKUP('Données projet'!$B$12,Paramètres!$A$1:$I$89,3,0)*0.475*44/12</f>
        <v>0.64783420986803419</v>
      </c>
      <c r="CM123" s="21">
        <f>EXP(-LN(2)/2)*CM122+(1-EXP(-LN(2)/2))/(LN(2)/2)*CG123*CJ123*VLOOKUP('Données projet'!$B$12,Paramètres!$A$1:$I$89,3,0)*0.475*44/12</f>
        <v>2.7944726299142507E-13</v>
      </c>
      <c r="CN123" s="22">
        <f t="shared" si="66"/>
        <v>1.1751884575823459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-5.6843418860808015E-13</v>
      </c>
      <c r="CU123" s="17">
        <f>CT123*VLOOKUP('Données projet'!$B$13,Paramètres!$A$1:$I$89,3,0)*VLOOKUP('Données projet'!$B$13,Paramètres!$A$1:$I$89,5,0)</f>
        <v>-3.177547114319168E-13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356.67698551373468</v>
      </c>
      <c r="CZ123" s="59">
        <f t="shared" si="96"/>
        <v>353.21836615408171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0.76849977517271251</v>
      </c>
      <c r="DG123" s="21">
        <f>EXP(-LN(2)/25)*DG122+(1-EXP(-LN(2)/25))/(LN(2)/25)*Calculateur!DB123*Calculateur!DD123*VLOOKUP('Données projet'!$B$13,Paramètres!$A$1:$I$89,3,0)*0.475*44/12</f>
        <v>2.4883402457296362</v>
      </c>
      <c r="DH123" s="21">
        <f>EXP(-LN(2)/2)*DH122+(1-EXP(-LN(2)/2))/(LN(2)/2)*DB123*DE123*VLOOKUP('Données projet'!$B$13,Paramètres!$A$1:$I$89,3,0)*0.475*44/12</f>
        <v>9.2433334573443181E-13</v>
      </c>
      <c r="DI123" s="22">
        <f t="shared" si="69"/>
        <v>3.2568400209032728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-4.5474735088646412E-13</v>
      </c>
      <c r="DP123" s="17">
        <f>DO123*VLOOKUP('Données projet'!$B$14,Paramètres!$A$1:$I$89,3,0)*VLOOKUP('Données projet'!$B$14,Paramètres!$A$1:$I$89,5,0)</f>
        <v>-2.7193891583010558E-13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247.30892363953825</v>
      </c>
      <c r="DU123" s="59">
        <f t="shared" si="98"/>
        <v>248.38414731596578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1.0596690565170137</v>
      </c>
      <c r="EC123" s="21">
        <f>EXP(-LN(2)/2)*EC122+(1-EXP(-LN(2)/2))/(LN(2)/2)*DW123*DZ123*VLOOKUP('Données projet'!$B$14,Paramètres!$A$1:$I$89,3,0)*0.475*44/12</f>
        <v>6.7442897130317111E-13</v>
      </c>
      <c r="ED123" s="22">
        <f t="shared" si="72"/>
        <v>1.0596690565176881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-4.5474735088646412E-13</v>
      </c>
      <c r="EK123" s="17">
        <f>EJ123*VLOOKUP('Données projet'!$B$15,Paramètres!$A$1:$I$89,3,0)*VLOOKUP('Données projet'!$B$15,Paramètres!$A$1:$I$89,5,0)</f>
        <v>-2.7193891583010558E-13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247.30892363953825</v>
      </c>
      <c r="EP123" s="59">
        <f t="shared" si="100"/>
        <v>248.38414731596578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1.0596690565170137</v>
      </c>
      <c r="EX123" s="21">
        <f>EXP(-LN(2)/2)*EX122+(1-EXP(-LN(2)/2))/(LN(2)/2)*ER123*EU123*VLOOKUP('Données projet'!$B$15,Paramètres!$A$1:$I$89,3,0)*0.475*44/12</f>
        <v>6.7442897130317111E-13</v>
      </c>
      <c r="EY123" s="22">
        <f t="shared" si="75"/>
        <v>1.0596690565176881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6.8212102632969618E-13</v>
      </c>
      <c r="FF123" s="17">
        <f>FE123*VLOOKUP('Données projet'!$B$16,Paramètres!$A$1:$I$89,3,0)*VLOOKUP('Données projet'!$B$16,Paramètres!$A$1:$I$89,5,0)</f>
        <v>3.2810021366458383E-13</v>
      </c>
      <c r="FG123" s="13">
        <f t="shared" si="101"/>
        <v>4.2923528923937213E-12</v>
      </c>
      <c r="FH123" s="20">
        <f t="shared" si="76"/>
        <v>8.0472891597182151E-12</v>
      </c>
      <c r="FI123" s="59">
        <f t="shared" si="77"/>
        <v>293.33333333334139</v>
      </c>
      <c r="FJ123" s="59">
        <f ca="1">AVERAGE(OFFSET($FI$3,0,0,'Données projet'!$E$16+1,1))-AVERAGE(OFFSET($H$3,0,0,'Données projet'!$E$16+1,1))</f>
        <v>322.54393676667081</v>
      </c>
      <c r="FK123" s="59">
        <f t="shared" si="102"/>
        <v>296.73904998640018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1.1336009972647312</v>
      </c>
      <c r="FR123" s="21">
        <f>EXP(-LN(2)/25)*FR122+(1-EXP(-LN(2)/25))/(LN(2)/25)*Calculateur!FM123*Calculateur!FO123*VLOOKUP('Données projet'!$B$16,Paramètres!$A$1:$I$89,3,0)*0.475*44/12</f>
        <v>1.1069958790000254</v>
      </c>
      <c r="FS123" s="21">
        <f>EXP(-LN(2)/2)*FS122+(1-EXP(-LN(2)/2))/(LN(2)/2)*FM123*FP123*VLOOKUP('Données projet'!$B$16,Paramètres!$A$1:$I$89,3,0)*0.475*44/12</f>
        <v>5.9437705397820182E-13</v>
      </c>
      <c r="FT123" s="22">
        <f t="shared" si="78"/>
        <v>2.240596876265351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293.33333333333974</v>
      </c>
      <c r="S124" s="59">
        <f ca="1">AVERAGE(OFFSET($R$3,0,0,'Données projet'!$E$9+1,1))-AVERAGE(OFFSET($H$3,0,0,'Données projet'!$E$9+1,1))</f>
        <v>401.06118089678654</v>
      </c>
      <c r="T124" s="59">
        <f t="shared" si="88"/>
        <v>399.58193819355591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6.2527760746888816E-13</v>
      </c>
      <c r="AJ124" s="13">
        <f>AI124*VLOOKUP('Données projet'!$B$10,Paramètres!$A$1:$I$89,3,0)*VLOOKUP('Données projet'!$B$10,Paramètres!$A$1:$I$89,5,0)</f>
        <v>3.9017322706058616E-13</v>
      </c>
      <c r="AK124" s="13">
        <f t="shared" si="89"/>
        <v>5.0025007393608908E-12</v>
      </c>
      <c r="AL124" s="20">
        <f t="shared" si="58"/>
        <v>9.3922404915174053E-12</v>
      </c>
      <c r="AM124" s="59">
        <f t="shared" si="59"/>
        <v>293.33333333334269</v>
      </c>
      <c r="AN124" s="59">
        <f ca="1">AVERAGE(OFFSET($AM$3,0,0,'Données projet'!$E$10+1,1))-AVERAGE(OFFSET($H$3,0,0,'Données projet'!$E$10+1,1))</f>
        <v>240.30073883588199</v>
      </c>
      <c r="AO124" s="59">
        <f t="shared" si="90"/>
        <v>263.20351282678843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1.1468701344408254</v>
      </c>
      <c r="AV124" s="21">
        <f>EXP(-LN(2)/25)*AV123+(1-EXP(-LN(2)/25))/(LN(2)/25)*Calculateur!AQ124*Calculateur!AS124*VLOOKUP('Données projet'!$B$10,Paramètres!$A$1:$I$89,3,0)*0.475*44/12</f>
        <v>1.6674837544349965</v>
      </c>
      <c r="AW124" s="21">
        <f>EXP(-LN(2)/2)*AW123+(1-EXP(-LN(2)/2))/(LN(2)/2)*AQ124*AT124*VLOOKUP('Données projet'!$B$10,Paramètres!$A$1:$I$89,3,0)*0.475*44/12</f>
        <v>4.0577852361034921E-13</v>
      </c>
      <c r="AX124" s="21">
        <f t="shared" si="60"/>
        <v>2.8143538888762278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-1.0936673788819462E-13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364.67510777943329</v>
      </c>
      <c r="BJ124" s="59">
        <f t="shared" si="92"/>
        <v>352.13878061387169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1.4586754522419259</v>
      </c>
      <c r="BQ124" s="21">
        <f>EXP(-LN(2)/25)*BQ123+(1-EXP(-LN(2)/25))/(LN(2)/25)*Calculateur!BL124*Calculateur!BN124*VLOOKUP('Données projet'!$B$11,Paramètres!$A$1:$I$89,3,0)*0.475*44/12</f>
        <v>1.4450767810460283</v>
      </c>
      <c r="BR124" s="21">
        <f>EXP(-LN(2)/2)*BR123+(1-EXP(-LN(2)/2))/(LN(2)/2)*BL124*BO124*VLOOKUP('Données projet'!$B$11,Paramètres!$A$1:$I$89,3,0)*0.475*44/12</f>
        <v>5.5214110658317197E-13</v>
      </c>
      <c r="BS124" s="22">
        <f t="shared" si="63"/>
        <v>2.9037522332885062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-5.3205440053716299E-14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252.98248842635206</v>
      </c>
      <c r="CE124" s="59">
        <f t="shared" si="94"/>
        <v>207.11938580878308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0.51701315257069036</v>
      </c>
      <c r="CL124" s="21">
        <f>EXP(-LN(2)/25)*CL123+(1-EXP(-LN(2)/25))/(LN(2)/25)*Calculateur!CG124*Calculateur!CI124*VLOOKUP('Données projet'!$B$12,Paramètres!$A$1:$I$89,3,0)*0.475*44/12</f>
        <v>0.63011914933107238</v>
      </c>
      <c r="CM124" s="21">
        <f>EXP(-LN(2)/2)*CM123+(1-EXP(-LN(2)/2))/(LN(2)/2)*CG124*CJ124*VLOOKUP('Données projet'!$B$12,Paramètres!$A$1:$I$89,3,0)*0.475*44/12</f>
        <v>1.9759905464525721E-13</v>
      </c>
      <c r="CN124" s="22">
        <f t="shared" si="66"/>
        <v>1.1471323019019604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-5.6843418860808015E-13</v>
      </c>
      <c r="CU124" s="17">
        <f>CT124*VLOOKUP('Données projet'!$B$13,Paramètres!$A$1:$I$89,3,0)*VLOOKUP('Données projet'!$B$13,Paramètres!$A$1:$I$89,5,0)</f>
        <v>-3.177547114319168E-13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356.67698551373468</v>
      </c>
      <c r="CZ124" s="59">
        <f t="shared" si="96"/>
        <v>353.21836615408171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0.75342996332015433</v>
      </c>
      <c r="DG124" s="21">
        <f>EXP(-LN(2)/25)*DG123+(1-EXP(-LN(2)/25))/(LN(2)/25)*Calculateur!DB124*Calculateur!DD124*VLOOKUP('Données projet'!$B$13,Paramètres!$A$1:$I$89,3,0)*0.475*44/12</f>
        <v>2.4202964508540328</v>
      </c>
      <c r="DH124" s="21">
        <f>EXP(-LN(2)/2)*DH123+(1-EXP(-LN(2)/2))/(LN(2)/2)*DB124*DE124*VLOOKUP('Données projet'!$B$13,Paramètres!$A$1:$I$89,3,0)*0.475*44/12</f>
        <v>6.5360237684566625E-13</v>
      </c>
      <c r="DI124" s="22">
        <f t="shared" si="69"/>
        <v>3.1737264141748409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-4.5474735088646412E-13</v>
      </c>
      <c r="DP124" s="17">
        <f>DO124*VLOOKUP('Données projet'!$B$14,Paramètres!$A$1:$I$89,3,0)*VLOOKUP('Données projet'!$B$14,Paramètres!$A$1:$I$89,5,0)</f>
        <v>-2.7193891583010558E-13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247.30892363953825</v>
      </c>
      <c r="DU124" s="59">
        <f t="shared" si="98"/>
        <v>248.38414731596578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1.0306923504409822</v>
      </c>
      <c r="EC124" s="21">
        <f>EXP(-LN(2)/2)*EC123+(1-EXP(-LN(2)/2))/(LN(2)/2)*DW124*DZ124*VLOOKUP('Données projet'!$B$14,Paramètres!$A$1:$I$89,3,0)*0.475*44/12</f>
        <v>4.7689329903713974E-13</v>
      </c>
      <c r="ED124" s="22">
        <f t="shared" si="72"/>
        <v>1.0306923504414591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-4.5474735088646412E-13</v>
      </c>
      <c r="EK124" s="17">
        <f>EJ124*VLOOKUP('Données projet'!$B$15,Paramètres!$A$1:$I$89,3,0)*VLOOKUP('Données projet'!$B$15,Paramètres!$A$1:$I$89,5,0)</f>
        <v>-2.7193891583010558E-13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247.30892363953825</v>
      </c>
      <c r="EP124" s="59">
        <f t="shared" si="100"/>
        <v>248.38414731596578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1.0306923504409822</v>
      </c>
      <c r="EX124" s="21">
        <f>EXP(-LN(2)/2)*EX123+(1-EXP(-LN(2)/2))/(LN(2)/2)*ER124*EU124*VLOOKUP('Données projet'!$B$15,Paramètres!$A$1:$I$89,3,0)*0.475*44/12</f>
        <v>4.7689329903713974E-13</v>
      </c>
      <c r="EY124" s="22">
        <f t="shared" si="75"/>
        <v>1.0306923504414591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6.8212102632969618E-13</v>
      </c>
      <c r="FF124" s="17">
        <f>FE124*VLOOKUP('Données projet'!$B$16,Paramètres!$A$1:$I$89,3,0)*VLOOKUP('Données projet'!$B$16,Paramètres!$A$1:$I$89,5,0)</f>
        <v>3.2810021366458383E-13</v>
      </c>
      <c r="FG124" s="13">
        <f t="shared" si="101"/>
        <v>4.2923528923937213E-12</v>
      </c>
      <c r="FH124" s="20">
        <f t="shared" si="76"/>
        <v>8.0472891597182151E-12</v>
      </c>
      <c r="FI124" s="59">
        <f t="shared" si="77"/>
        <v>293.33333333334139</v>
      </c>
      <c r="FJ124" s="59">
        <f ca="1">AVERAGE(OFFSET($FI$3,0,0,'Données projet'!$E$16+1,1))-AVERAGE(OFFSET($H$3,0,0,'Données projet'!$E$16+1,1))</f>
        <v>322.54393676667081</v>
      </c>
      <c r="FK124" s="59">
        <f t="shared" si="102"/>
        <v>296.73904998640018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1.1113717731367052</v>
      </c>
      <c r="FR124" s="21">
        <f>EXP(-LN(2)/25)*FR123+(1-EXP(-LN(2)/25))/(LN(2)/25)*Calculateur!FM124*Calculateur!FO124*VLOOKUP('Données projet'!$B$16,Paramètres!$A$1:$I$89,3,0)*0.475*44/12</f>
        <v>1.0767250184743864</v>
      </c>
      <c r="FS124" s="21">
        <f>EXP(-LN(2)/2)*FS123+(1-EXP(-LN(2)/2))/(LN(2)/2)*FM124*FP124*VLOOKUP('Données projet'!$B$16,Paramètres!$A$1:$I$89,3,0)*0.475*44/12</f>
        <v>4.2028804544966911E-13</v>
      </c>
      <c r="FT124" s="22">
        <f t="shared" si="78"/>
        <v>2.1880967916115117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293.33333333333974</v>
      </c>
      <c r="S125" s="59">
        <f ca="1">AVERAGE(OFFSET($R$3,0,0,'Données projet'!$E$9+1,1))-AVERAGE(OFFSET($H$3,0,0,'Données projet'!$E$9+1,1))</f>
        <v>401.06118089678654</v>
      </c>
      <c r="T125" s="59">
        <f t="shared" si="88"/>
        <v>399.58193819355591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6.2527760746888816E-13</v>
      </c>
      <c r="AJ125" s="13">
        <f>AI125*VLOOKUP('Données projet'!$B$10,Paramètres!$A$1:$I$89,3,0)*VLOOKUP('Données projet'!$B$10,Paramètres!$A$1:$I$89,5,0)</f>
        <v>3.9017322706058616E-13</v>
      </c>
      <c r="AK125" s="13">
        <f t="shared" si="89"/>
        <v>5.0025007393608908E-12</v>
      </c>
      <c r="AL125" s="20">
        <f t="shared" si="58"/>
        <v>9.3922404915174053E-12</v>
      </c>
      <c r="AM125" s="59">
        <f t="shared" si="59"/>
        <v>293.33333333334269</v>
      </c>
      <c r="AN125" s="59">
        <f ca="1">AVERAGE(OFFSET($AM$3,0,0,'Données projet'!$E$10+1,1))-AVERAGE(OFFSET($H$3,0,0,'Données projet'!$E$10+1,1))</f>
        <v>240.30073883588199</v>
      </c>
      <c r="AO125" s="59">
        <f t="shared" si="90"/>
        <v>263.20351282678843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1.1243807106261507</v>
      </c>
      <c r="AV125" s="21">
        <f>EXP(-LN(2)/25)*AV124+(1-EXP(-LN(2)/25))/(LN(2)/25)*Calculateur!AQ125*Calculateur!AS125*VLOOKUP('Données projet'!$B$10,Paramètres!$A$1:$I$89,3,0)*0.475*44/12</f>
        <v>1.6218863234808121</v>
      </c>
      <c r="AW125" s="21">
        <f>EXP(-LN(2)/2)*AW124+(1-EXP(-LN(2)/2))/(LN(2)/2)*AQ125*AT125*VLOOKUP('Données projet'!$B$10,Paramètres!$A$1:$I$89,3,0)*0.475*44/12</f>
        <v>2.8692874570474351E-13</v>
      </c>
      <c r="AX125" s="21">
        <f t="shared" si="60"/>
        <v>2.7462670341072499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-1.0936673788819462E-13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364.67510777943329</v>
      </c>
      <c r="BJ125" s="59">
        <f t="shared" si="92"/>
        <v>352.13878061387169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1.4300717163276366</v>
      </c>
      <c r="BQ125" s="21">
        <f>EXP(-LN(2)/25)*BQ124+(1-EXP(-LN(2)/25))/(LN(2)/25)*Calculateur!BL125*Calculateur!BN125*VLOOKUP('Données projet'!$B$11,Paramètres!$A$1:$I$89,3,0)*0.475*44/12</f>
        <v>1.4055610804750396</v>
      </c>
      <c r="BR125" s="21">
        <f>EXP(-LN(2)/2)*BR124+(1-EXP(-LN(2)/2))/(LN(2)/2)*BL125*BO125*VLOOKUP('Données projet'!$B$11,Paramètres!$A$1:$I$89,3,0)*0.475*44/12</f>
        <v>3.9042272063680521E-13</v>
      </c>
      <c r="BS125" s="22">
        <f t="shared" si="63"/>
        <v>2.8356327968030666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-5.3205440053716299E-14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252.98248842635206</v>
      </c>
      <c r="CE125" s="59">
        <f t="shared" si="94"/>
        <v>207.11938580878308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0.50687483999566429</v>
      </c>
      <c r="CL125" s="21">
        <f>EXP(-LN(2)/25)*CL124+(1-EXP(-LN(2)/25))/(LN(2)/25)*Calculateur!CG125*Calculateur!CI125*VLOOKUP('Données projet'!$B$12,Paramètres!$A$1:$I$89,3,0)*0.475*44/12</f>
        <v>0.6128885080560883</v>
      </c>
      <c r="CM125" s="21">
        <f>EXP(-LN(2)/2)*CM124+(1-EXP(-LN(2)/2))/(LN(2)/2)*CG125*CJ125*VLOOKUP('Données projet'!$B$12,Paramètres!$A$1:$I$89,3,0)*0.475*44/12</f>
        <v>1.3972363149571254E-13</v>
      </c>
      <c r="CN125" s="22">
        <f t="shared" si="66"/>
        <v>1.1197633480518923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-5.6843418860808015E-13</v>
      </c>
      <c r="CU125" s="17">
        <f>CT125*VLOOKUP('Données projet'!$B$13,Paramètres!$A$1:$I$89,3,0)*VLOOKUP('Données projet'!$B$13,Paramètres!$A$1:$I$89,5,0)</f>
        <v>-3.177547114319168E-13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356.67698551373468</v>
      </c>
      <c r="CZ125" s="59">
        <f t="shared" si="96"/>
        <v>353.21836615408171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0.73865566128634719</v>
      </c>
      <c r="DG125" s="21">
        <f>EXP(-LN(2)/25)*DG124+(1-EXP(-LN(2)/25))/(LN(2)/25)*Calculateur!DB125*Calculateur!DD125*VLOOKUP('Données projet'!$B$13,Paramètres!$A$1:$I$89,3,0)*0.475*44/12</f>
        <v>2.3541133171275708</v>
      </c>
      <c r="DH125" s="21">
        <f>EXP(-LN(2)/2)*DH124+(1-EXP(-LN(2)/2))/(LN(2)/2)*DB125*DE125*VLOOKUP('Données projet'!$B$13,Paramètres!$A$1:$I$89,3,0)*0.475*44/12</f>
        <v>4.621666728672159E-13</v>
      </c>
      <c r="DI125" s="22">
        <f t="shared" si="69"/>
        <v>3.0927689784143801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-4.5474735088646412E-13</v>
      </c>
      <c r="DP125" s="17">
        <f>DO125*VLOOKUP('Données projet'!$B$14,Paramètres!$A$1:$I$89,3,0)*VLOOKUP('Données projet'!$B$14,Paramètres!$A$1:$I$89,5,0)</f>
        <v>-2.7193891583010558E-13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247.30892363953825</v>
      </c>
      <c r="DU125" s="59">
        <f t="shared" si="98"/>
        <v>248.38414731596578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1.0025080139164184</v>
      </c>
      <c r="EC125" s="21">
        <f>EXP(-LN(2)/2)*EC124+(1-EXP(-LN(2)/2))/(LN(2)/2)*DW125*DZ125*VLOOKUP('Données projet'!$B$14,Paramètres!$A$1:$I$89,3,0)*0.475*44/12</f>
        <v>3.3721448565158556E-13</v>
      </c>
      <c r="ED125" s="22">
        <f t="shared" si="72"/>
        <v>1.0025080139167557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-4.5474735088646412E-13</v>
      </c>
      <c r="EK125" s="17">
        <f>EJ125*VLOOKUP('Données projet'!$B$15,Paramètres!$A$1:$I$89,3,0)*VLOOKUP('Données projet'!$B$15,Paramètres!$A$1:$I$89,5,0)</f>
        <v>-2.7193891583010558E-13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247.30892363953825</v>
      </c>
      <c r="EP125" s="59">
        <f t="shared" si="100"/>
        <v>248.38414731596578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1.0025080139164184</v>
      </c>
      <c r="EX125" s="21">
        <f>EXP(-LN(2)/2)*EX124+(1-EXP(-LN(2)/2))/(LN(2)/2)*ER125*EU125*VLOOKUP('Données projet'!$B$15,Paramètres!$A$1:$I$89,3,0)*0.475*44/12</f>
        <v>3.3721448565158556E-13</v>
      </c>
      <c r="EY125" s="22">
        <f t="shared" si="75"/>
        <v>1.0025080139167557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6.8212102632969618E-13</v>
      </c>
      <c r="FF125" s="17">
        <f>FE125*VLOOKUP('Données projet'!$B$16,Paramètres!$A$1:$I$89,3,0)*VLOOKUP('Données projet'!$B$16,Paramètres!$A$1:$I$89,5,0)</f>
        <v>3.2810021366458383E-13</v>
      </c>
      <c r="FG125" s="13">
        <f t="shared" si="101"/>
        <v>4.2923528923937213E-12</v>
      </c>
      <c r="FH125" s="20">
        <f t="shared" si="76"/>
        <v>8.0472891597182151E-12</v>
      </c>
      <c r="FI125" s="59">
        <f t="shared" si="77"/>
        <v>293.33333333334139</v>
      </c>
      <c r="FJ125" s="59">
        <f ca="1">AVERAGE(OFFSET($FI$3,0,0,'Données projet'!$E$16+1,1))-AVERAGE(OFFSET($H$3,0,0,'Données projet'!$E$16+1,1))</f>
        <v>322.54393676667081</v>
      </c>
      <c r="FK125" s="59">
        <f t="shared" si="102"/>
        <v>296.73904998640018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1.0895784505353419</v>
      </c>
      <c r="FR125" s="21">
        <f>EXP(-LN(2)/25)*FR124+(1-EXP(-LN(2)/25))/(LN(2)/25)*Calculateur!FM125*Calculateur!FO125*VLOOKUP('Données projet'!$B$16,Paramètres!$A$1:$I$89,3,0)*0.475*44/12</f>
        <v>1.0472819162216964</v>
      </c>
      <c r="FS125" s="21">
        <f>EXP(-LN(2)/2)*FS124+(1-EXP(-LN(2)/2))/(LN(2)/2)*FM125*FP125*VLOOKUP('Données projet'!$B$16,Paramètres!$A$1:$I$89,3,0)*0.475*44/12</f>
        <v>2.9718852698910091E-13</v>
      </c>
      <c r="FT125" s="22">
        <f t="shared" si="78"/>
        <v>2.1368603667573356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293.33333333333974</v>
      </c>
      <c r="S126" s="59">
        <f ca="1">AVERAGE(OFFSET($R$3,0,0,'Données projet'!$E$9+1,1))-AVERAGE(OFFSET($H$3,0,0,'Données projet'!$E$9+1,1))</f>
        <v>401.06118089678654</v>
      </c>
      <c r="T126" s="59">
        <f t="shared" si="88"/>
        <v>399.58193819355591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6.2527760746888816E-13</v>
      </c>
      <c r="AJ126" s="13">
        <f>AI126*VLOOKUP('Données projet'!$B$10,Paramètres!$A$1:$I$89,3,0)*VLOOKUP('Données projet'!$B$10,Paramètres!$A$1:$I$89,5,0)</f>
        <v>3.9017322706058616E-13</v>
      </c>
      <c r="AK126" s="13">
        <f t="shared" si="89"/>
        <v>5.0025007393608908E-12</v>
      </c>
      <c r="AL126" s="20">
        <f t="shared" si="58"/>
        <v>9.3922404915174053E-12</v>
      </c>
      <c r="AM126" s="59">
        <f t="shared" si="59"/>
        <v>293.33333333334269</v>
      </c>
      <c r="AN126" s="59">
        <f ca="1">AVERAGE(OFFSET($AM$3,0,0,'Données projet'!$E$10+1,1))-AVERAGE(OFFSET($H$3,0,0,'Données projet'!$E$10+1,1))</f>
        <v>240.30073883588199</v>
      </c>
      <c r="AO126" s="59">
        <f t="shared" si="90"/>
        <v>263.20351282678843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1.1023322906952879</v>
      </c>
      <c r="AV126" s="21">
        <f>EXP(-LN(2)/25)*AV125+(1-EXP(-LN(2)/25))/(LN(2)/25)*Calculateur!AQ126*Calculateur!AS126*VLOOKUP('Données projet'!$B$10,Paramètres!$A$1:$I$89,3,0)*0.475*44/12</f>
        <v>1.5775357566739343</v>
      </c>
      <c r="AW126" s="21">
        <f>EXP(-LN(2)/2)*AW125+(1-EXP(-LN(2)/2))/(LN(2)/2)*AQ126*AT126*VLOOKUP('Données projet'!$B$10,Paramètres!$A$1:$I$89,3,0)*0.475*44/12</f>
        <v>2.0288926180517461E-13</v>
      </c>
      <c r="AX126" s="21">
        <f t="shared" si="60"/>
        <v>2.6798680473694252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-1.0936673788819462E-13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364.67510777943329</v>
      </c>
      <c r="BJ126" s="59">
        <f t="shared" si="92"/>
        <v>352.13878061387169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1.4020288822280704</v>
      </c>
      <c r="BQ126" s="21">
        <f>EXP(-LN(2)/25)*BQ125+(1-EXP(-LN(2)/25))/(LN(2)/25)*Calculateur!BL126*Calculateur!BN126*VLOOKUP('Données projet'!$B$11,Paramètres!$A$1:$I$89,3,0)*0.475*44/12</f>
        <v>1.367125938814205</v>
      </c>
      <c r="BR126" s="21">
        <f>EXP(-LN(2)/2)*BR125+(1-EXP(-LN(2)/2))/(LN(2)/2)*BL126*BO126*VLOOKUP('Données projet'!$B$11,Paramètres!$A$1:$I$89,3,0)*0.475*44/12</f>
        <v>2.7607055329158599E-13</v>
      </c>
      <c r="BS126" s="22">
        <f t="shared" si="63"/>
        <v>2.7691548210425516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-5.3205440053716299E-14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252.98248842635206</v>
      </c>
      <c r="CE126" s="59">
        <f t="shared" si="94"/>
        <v>207.11938580878308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0.4969353335464744</v>
      </c>
      <c r="CL126" s="21">
        <f>EXP(-LN(2)/25)*CL125+(1-EXP(-LN(2)/25))/(LN(2)/25)*Calculateur!CG126*Calculateur!CI126*VLOOKUP('Données projet'!$B$12,Paramètres!$A$1:$I$89,3,0)*0.475*44/12</f>
        <v>0.59612903957288865</v>
      </c>
      <c r="CM126" s="21">
        <f>EXP(-LN(2)/2)*CM125+(1-EXP(-LN(2)/2))/(LN(2)/2)*CG126*CJ126*VLOOKUP('Données projet'!$B$12,Paramètres!$A$1:$I$89,3,0)*0.475*44/12</f>
        <v>9.8799527322628607E-14</v>
      </c>
      <c r="CN126" s="22">
        <f t="shared" si="66"/>
        <v>1.0930643731194618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-5.6843418860808015E-13</v>
      </c>
      <c r="CU126" s="17">
        <f>CT126*VLOOKUP('Données projet'!$B$13,Paramètres!$A$1:$I$89,3,0)*VLOOKUP('Données projet'!$B$13,Paramètres!$A$1:$I$89,5,0)</f>
        <v>-3.177547114319168E-13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356.67698551373468</v>
      </c>
      <c r="CZ126" s="59">
        <f t="shared" si="96"/>
        <v>353.21836615408171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0.72417107430398864</v>
      </c>
      <c r="DG126" s="21">
        <f>EXP(-LN(2)/25)*DG125+(1-EXP(-LN(2)/25))/(LN(2)/25)*Calculateur!DB126*Calculateur!DD126*VLOOKUP('Données projet'!$B$13,Paramètres!$A$1:$I$89,3,0)*0.475*44/12</f>
        <v>2.2897399646732786</v>
      </c>
      <c r="DH126" s="21">
        <f>EXP(-LN(2)/2)*DH125+(1-EXP(-LN(2)/2))/(LN(2)/2)*DB126*DE126*VLOOKUP('Données projet'!$B$13,Paramètres!$A$1:$I$89,3,0)*0.475*44/12</f>
        <v>3.2680118842283312E-13</v>
      </c>
      <c r="DI126" s="22">
        <f t="shared" si="69"/>
        <v>3.0139110389775938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-4.5474735088646412E-13</v>
      </c>
      <c r="DP126" s="17">
        <f>DO126*VLOOKUP('Données projet'!$B$14,Paramètres!$A$1:$I$89,3,0)*VLOOKUP('Données projet'!$B$14,Paramètres!$A$1:$I$89,5,0)</f>
        <v>-2.7193891583010558E-13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247.30892363953825</v>
      </c>
      <c r="DU126" s="59">
        <f t="shared" si="98"/>
        <v>248.38414731596578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0.97509437955626876</v>
      </c>
      <c r="EC126" s="21">
        <f>EXP(-LN(2)/2)*EC125+(1-EXP(-LN(2)/2))/(LN(2)/2)*DW126*DZ126*VLOOKUP('Données projet'!$B$14,Paramètres!$A$1:$I$89,3,0)*0.475*44/12</f>
        <v>2.3844664951856987E-13</v>
      </c>
      <c r="ED126" s="22">
        <f t="shared" si="72"/>
        <v>0.97509437955650724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-4.5474735088646412E-13</v>
      </c>
      <c r="EK126" s="17">
        <f>EJ126*VLOOKUP('Données projet'!$B$15,Paramètres!$A$1:$I$89,3,0)*VLOOKUP('Données projet'!$B$15,Paramètres!$A$1:$I$89,5,0)</f>
        <v>-2.7193891583010558E-13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247.30892363953825</v>
      </c>
      <c r="EP126" s="59">
        <f t="shared" si="100"/>
        <v>248.38414731596578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0.97509437955626876</v>
      </c>
      <c r="EX126" s="21">
        <f>EXP(-LN(2)/2)*EX125+(1-EXP(-LN(2)/2))/(LN(2)/2)*ER126*EU126*VLOOKUP('Données projet'!$B$15,Paramètres!$A$1:$I$89,3,0)*0.475*44/12</f>
        <v>2.3844664951856987E-13</v>
      </c>
      <c r="EY126" s="22">
        <f t="shared" si="75"/>
        <v>0.97509437955650724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6.8212102632969618E-13</v>
      </c>
      <c r="FF126" s="17">
        <f>FE126*VLOOKUP('Données projet'!$B$16,Paramètres!$A$1:$I$89,3,0)*VLOOKUP('Données projet'!$B$16,Paramètres!$A$1:$I$89,5,0)</f>
        <v>3.2810021366458383E-13</v>
      </c>
      <c r="FG126" s="13">
        <f t="shared" si="101"/>
        <v>4.2923528923937213E-12</v>
      </c>
      <c r="FH126" s="20">
        <f t="shared" si="76"/>
        <v>8.0472891597182151E-12</v>
      </c>
      <c r="FI126" s="59">
        <f t="shared" si="77"/>
        <v>293.33333333334139</v>
      </c>
      <c r="FJ126" s="59">
        <f ca="1">AVERAGE(OFFSET($FI$3,0,0,'Données projet'!$E$16+1,1))-AVERAGE(OFFSET($H$3,0,0,'Données projet'!$E$16+1,1))</f>
        <v>322.54393676667081</v>
      </c>
      <c r="FK126" s="59">
        <f t="shared" si="102"/>
        <v>296.73904998640018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1.0682124816975771</v>
      </c>
      <c r="FR126" s="21">
        <f>EXP(-LN(2)/25)*FR125+(1-EXP(-LN(2)/25))/(LN(2)/25)*Calculateur!FM126*Calculateur!FO126*VLOOKUP('Données projet'!$B$16,Paramètres!$A$1:$I$89,3,0)*0.475*44/12</f>
        <v>1.0186439371484517</v>
      </c>
      <c r="FS126" s="21">
        <f>EXP(-LN(2)/2)*FS125+(1-EXP(-LN(2)/2))/(LN(2)/2)*FM126*FP126*VLOOKUP('Données projet'!$B$16,Paramètres!$A$1:$I$89,3,0)*0.475*44/12</f>
        <v>2.1014402272483455E-13</v>
      </c>
      <c r="FT126" s="22">
        <f t="shared" si="78"/>
        <v>2.0868564188462391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293.33333333333974</v>
      </c>
      <c r="S127" s="59">
        <f ca="1">AVERAGE(OFFSET($R$3,0,0,'Données projet'!$E$9+1,1))-AVERAGE(OFFSET($H$3,0,0,'Données projet'!$E$9+1,1))</f>
        <v>401.06118089678654</v>
      </c>
      <c r="T127" s="59">
        <f t="shared" si="88"/>
        <v>399.58193819355591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6.2527760746888816E-13</v>
      </c>
      <c r="AJ127" s="13">
        <f>AI127*VLOOKUP('Données projet'!$B$10,Paramètres!$A$1:$I$89,3,0)*VLOOKUP('Données projet'!$B$10,Paramètres!$A$1:$I$89,5,0)</f>
        <v>3.9017322706058616E-13</v>
      </c>
      <c r="AK127" s="13">
        <f t="shared" si="89"/>
        <v>5.0025007393608908E-12</v>
      </c>
      <c r="AL127" s="20">
        <f t="shared" si="58"/>
        <v>9.3922404915174053E-12</v>
      </c>
      <c r="AM127" s="59">
        <f t="shared" si="59"/>
        <v>293.33333333334269</v>
      </c>
      <c r="AN127" s="59">
        <f ca="1">AVERAGE(OFFSET($AM$3,0,0,'Données projet'!$E$10+1,1))-AVERAGE(OFFSET($H$3,0,0,'Données projet'!$E$10+1,1))</f>
        <v>240.30073883588199</v>
      </c>
      <c r="AO127" s="59">
        <f t="shared" si="90"/>
        <v>263.20351282678843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1.0807162268310611</v>
      </c>
      <c r="AV127" s="21">
        <f>EXP(-LN(2)/25)*AV126+(1-EXP(-LN(2)/25))/(LN(2)/25)*Calculateur!AQ127*Calculateur!AS127*VLOOKUP('Données projet'!$B$10,Paramètres!$A$1:$I$89,3,0)*0.475*44/12</f>
        <v>1.5343979584486855</v>
      </c>
      <c r="AW127" s="21">
        <f>EXP(-LN(2)/2)*AW126+(1-EXP(-LN(2)/2))/(LN(2)/2)*AQ127*AT127*VLOOKUP('Données projet'!$B$10,Paramètres!$A$1:$I$89,3,0)*0.475*44/12</f>
        <v>1.4346437285237175E-13</v>
      </c>
      <c r="AX127" s="21">
        <f t="shared" si="60"/>
        <v>2.6151141852798898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-1.0936673788819462E-13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364.67510777943329</v>
      </c>
      <c r="BJ127" s="59">
        <f t="shared" si="92"/>
        <v>352.13878061387169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1.3745359510007569</v>
      </c>
      <c r="BQ127" s="21">
        <f>EXP(-LN(2)/25)*BQ126+(1-EXP(-LN(2)/25))/(LN(2)/25)*Calculateur!BL127*Calculateur!BN127*VLOOKUP('Données projet'!$B$11,Paramètres!$A$1:$I$89,3,0)*0.475*44/12</f>
        <v>1.3297418081233021</v>
      </c>
      <c r="BR127" s="21">
        <f>EXP(-LN(2)/2)*BR126+(1-EXP(-LN(2)/2))/(LN(2)/2)*BL127*BO127*VLOOKUP('Données projet'!$B$11,Paramètres!$A$1:$I$89,3,0)*0.475*44/12</f>
        <v>1.952113603184026E-13</v>
      </c>
      <c r="BS127" s="22">
        <f t="shared" si="63"/>
        <v>2.7042777591242544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-5.3205440053716299E-14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252.98248842635206</v>
      </c>
      <c r="CE127" s="59">
        <f t="shared" si="94"/>
        <v>207.11938580878308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0.4871907347562528</v>
      </c>
      <c r="CL127" s="21">
        <f>EXP(-LN(2)/25)*CL126+(1-EXP(-LN(2)/25))/(LN(2)/25)*Calculateur!CG127*Calculateur!CI127*VLOOKUP('Données projet'!$B$12,Paramètres!$A$1:$I$89,3,0)*0.475*44/12</f>
        <v>0.57982785963670425</v>
      </c>
      <c r="CM127" s="21">
        <f>EXP(-LN(2)/2)*CM126+(1-EXP(-LN(2)/2))/(LN(2)/2)*CG127*CJ127*VLOOKUP('Données projet'!$B$12,Paramètres!$A$1:$I$89,3,0)*0.475*44/12</f>
        <v>6.9861815747856269E-14</v>
      </c>
      <c r="CN127" s="22">
        <f t="shared" si="66"/>
        <v>1.067018594393027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-5.6843418860808015E-13</v>
      </c>
      <c r="CU127" s="17">
        <f>CT127*VLOOKUP('Données projet'!$B$13,Paramètres!$A$1:$I$89,3,0)*VLOOKUP('Données projet'!$B$13,Paramètres!$A$1:$I$89,5,0)</f>
        <v>-3.177547114319168E-13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356.67698551373468</v>
      </c>
      <c r="CZ127" s="59">
        <f t="shared" si="96"/>
        <v>353.21836615408171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0.70997052123762838</v>
      </c>
      <c r="DG127" s="21">
        <f>EXP(-LN(2)/25)*DG126+(1-EXP(-LN(2)/25))/(LN(2)/25)*Calculateur!DB127*Calculateur!DD127*VLOOKUP('Données projet'!$B$13,Paramètres!$A$1:$I$89,3,0)*0.475*44/12</f>
        <v>2.2271269049270961</v>
      </c>
      <c r="DH127" s="21">
        <f>EXP(-LN(2)/2)*DH126+(1-EXP(-LN(2)/2))/(LN(2)/2)*DB127*DE127*VLOOKUP('Données projet'!$B$13,Paramètres!$A$1:$I$89,3,0)*0.475*44/12</f>
        <v>2.3108333643360795E-13</v>
      </c>
      <c r="DI127" s="22">
        <f t="shared" si="69"/>
        <v>2.9370974261649554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-4.5474735088646412E-13</v>
      </c>
      <c r="DP127" s="17">
        <f>DO127*VLOOKUP('Données projet'!$B$14,Paramètres!$A$1:$I$89,3,0)*VLOOKUP('Données projet'!$B$14,Paramètres!$A$1:$I$89,5,0)</f>
        <v>-2.7193891583010558E-13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247.30892363953825</v>
      </c>
      <c r="DU127" s="59">
        <f t="shared" si="98"/>
        <v>248.38414731596578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0.94843037246931783</v>
      </c>
      <c r="EC127" s="21">
        <f>EXP(-LN(2)/2)*EC126+(1-EXP(-LN(2)/2))/(LN(2)/2)*DW127*DZ127*VLOOKUP('Données projet'!$B$14,Paramètres!$A$1:$I$89,3,0)*0.475*44/12</f>
        <v>1.6860724282579278E-13</v>
      </c>
      <c r="ED127" s="22">
        <f t="shared" si="72"/>
        <v>0.94843037246948647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-4.5474735088646412E-13</v>
      </c>
      <c r="EK127" s="17">
        <f>EJ127*VLOOKUP('Données projet'!$B$15,Paramètres!$A$1:$I$89,3,0)*VLOOKUP('Données projet'!$B$15,Paramètres!$A$1:$I$89,5,0)</f>
        <v>-2.7193891583010558E-13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247.30892363953825</v>
      </c>
      <c r="EP127" s="59">
        <f t="shared" si="100"/>
        <v>248.38414731596578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0.94843037246931783</v>
      </c>
      <c r="EX127" s="21">
        <f>EXP(-LN(2)/2)*EX126+(1-EXP(-LN(2)/2))/(LN(2)/2)*ER127*EU127*VLOOKUP('Données projet'!$B$15,Paramètres!$A$1:$I$89,3,0)*0.475*44/12</f>
        <v>1.6860724282579278E-13</v>
      </c>
      <c r="EY127" s="22">
        <f t="shared" si="75"/>
        <v>0.94843037246948647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6.8212102632969618E-13</v>
      </c>
      <c r="FF127" s="17">
        <f>FE127*VLOOKUP('Données projet'!$B$16,Paramètres!$A$1:$I$89,3,0)*VLOOKUP('Données projet'!$B$16,Paramètres!$A$1:$I$89,5,0)</f>
        <v>3.2810021366458383E-13</v>
      </c>
      <c r="FG127" s="13">
        <f t="shared" si="101"/>
        <v>4.2923528923937213E-12</v>
      </c>
      <c r="FH127" s="20">
        <f t="shared" si="76"/>
        <v>8.0472891597182151E-12</v>
      </c>
      <c r="FI127" s="59">
        <f t="shared" si="77"/>
        <v>293.33333333334139</v>
      </c>
      <c r="FJ127" s="59">
        <f ca="1">AVERAGE(OFFSET($FI$3,0,0,'Données projet'!$E$16+1,1))-AVERAGE(OFFSET($H$3,0,0,'Données projet'!$E$16+1,1))</f>
        <v>322.54393676667081</v>
      </c>
      <c r="FK127" s="59">
        <f t="shared" si="102"/>
        <v>296.73904998640018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1.0472654864767668</v>
      </c>
      <c r="FR127" s="21">
        <f>EXP(-LN(2)/25)*FR126+(1-EXP(-LN(2)/25))/(LN(2)/25)*Calculateur!FM127*Calculateur!FO127*VLOOKUP('Données projet'!$B$16,Paramètres!$A$1:$I$89,3,0)*0.475*44/12</f>
        <v>0.9907890651189708</v>
      </c>
      <c r="FS127" s="21">
        <f>EXP(-LN(2)/2)*FS126+(1-EXP(-LN(2)/2))/(LN(2)/2)*FM127*FP127*VLOOKUP('Données projet'!$B$16,Paramètres!$A$1:$I$89,3,0)*0.475*44/12</f>
        <v>1.4859426349455045E-13</v>
      </c>
      <c r="FT127" s="22">
        <f t="shared" si="78"/>
        <v>2.0380545515958866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293.33333333333974</v>
      </c>
      <c r="S128" s="59">
        <f ca="1">AVERAGE(OFFSET($R$3,0,0,'Données projet'!$E$9+1,1))-AVERAGE(OFFSET($H$3,0,0,'Données projet'!$E$9+1,1))</f>
        <v>401.06118089678654</v>
      </c>
      <c r="T128" s="59">
        <f t="shared" si="88"/>
        <v>399.58193819355591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6.2527760746888816E-13</v>
      </c>
      <c r="AJ128" s="13">
        <f>AI128*VLOOKUP('Données projet'!$B$10,Paramètres!$A$1:$I$89,3,0)*VLOOKUP('Données projet'!$B$10,Paramètres!$A$1:$I$89,5,0)</f>
        <v>3.9017322706058616E-13</v>
      </c>
      <c r="AK128" s="13">
        <f t="shared" si="89"/>
        <v>5.0025007393608908E-12</v>
      </c>
      <c r="AL128" s="20">
        <f t="shared" si="58"/>
        <v>9.3922404915174053E-12</v>
      </c>
      <c r="AM128" s="59">
        <f t="shared" si="59"/>
        <v>293.33333333334269</v>
      </c>
      <c r="AN128" s="59">
        <f ca="1">AVERAGE(OFFSET($AM$3,0,0,'Données projet'!$E$10+1,1))-AVERAGE(OFFSET($H$3,0,0,'Données projet'!$E$10+1,1))</f>
        <v>240.30073883588199</v>
      </c>
      <c r="AO128" s="59">
        <f t="shared" si="90"/>
        <v>263.20351282678843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1.0595240407947144</v>
      </c>
      <c r="AV128" s="21">
        <f>EXP(-LN(2)/25)*AV127+(1-EXP(-LN(2)/25))/(LN(2)/25)*Calculateur!AQ128*Calculateur!AS128*VLOOKUP('Données projet'!$B$10,Paramètres!$A$1:$I$89,3,0)*0.475*44/12</f>
        <v>1.4924397655844246</v>
      </c>
      <c r="AW128" s="21">
        <f>EXP(-LN(2)/2)*AW127+(1-EXP(-LN(2)/2))/(LN(2)/2)*AQ128*AT128*VLOOKUP('Données projet'!$B$10,Paramètres!$A$1:$I$89,3,0)*0.475*44/12</f>
        <v>1.014446309025873E-13</v>
      </c>
      <c r="AX128" s="21">
        <f t="shared" si="60"/>
        <v>2.5519638063792405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-1.0936673788819462E-13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364.67510777943329</v>
      </c>
      <c r="BJ128" s="59">
        <f t="shared" si="92"/>
        <v>352.13878061387169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1.3475821393857785</v>
      </c>
      <c r="BQ128" s="21">
        <f>EXP(-LN(2)/25)*BQ127+(1-EXP(-LN(2)/25))/(LN(2)/25)*Calculateur!BL128*Calculateur!BN128*VLOOKUP('Données projet'!$B$11,Paramètres!$A$1:$I$89,3,0)*0.475*44/12</f>
        <v>1.2933799484520878</v>
      </c>
      <c r="BR128" s="21">
        <f>EXP(-LN(2)/2)*BR127+(1-EXP(-LN(2)/2))/(LN(2)/2)*BL128*BO128*VLOOKUP('Données projet'!$B$11,Paramètres!$A$1:$I$89,3,0)*0.475*44/12</f>
        <v>1.3803527664579299E-13</v>
      </c>
      <c r="BS128" s="22">
        <f t="shared" si="63"/>
        <v>2.6409620878380045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-5.3205440053716299E-14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252.98248842635206</v>
      </c>
      <c r="CE128" s="59">
        <f t="shared" si="94"/>
        <v>207.11938580878308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0.47763722160468908</v>
      </c>
      <c r="CL128" s="21">
        <f>EXP(-LN(2)/25)*CL127+(1-EXP(-LN(2)/25))/(LN(2)/25)*Calculateur!CG128*Calculateur!CI128*VLOOKUP('Données projet'!$B$12,Paramètres!$A$1:$I$89,3,0)*0.475*44/12</f>
        <v>0.56397243632311667</v>
      </c>
      <c r="CM128" s="21">
        <f>EXP(-LN(2)/2)*CM127+(1-EXP(-LN(2)/2))/(LN(2)/2)*CG128*CJ128*VLOOKUP('Données projet'!$B$12,Paramètres!$A$1:$I$89,3,0)*0.475*44/12</f>
        <v>4.9399763661314303E-14</v>
      </c>
      <c r="CN128" s="22">
        <f t="shared" si="66"/>
        <v>1.0416096579278551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-5.6843418860808015E-13</v>
      </c>
      <c r="CU128" s="17">
        <f>CT128*VLOOKUP('Données projet'!$B$13,Paramètres!$A$1:$I$89,3,0)*VLOOKUP('Données projet'!$B$13,Paramètres!$A$1:$I$89,5,0)</f>
        <v>-3.177547114319168E-13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356.67698551373468</v>
      </c>
      <c r="CZ128" s="59">
        <f t="shared" si="96"/>
        <v>353.21836615408171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0.69604843235541736</v>
      </c>
      <c r="DG128" s="21">
        <f>EXP(-LN(2)/25)*DG127+(1-EXP(-LN(2)/25))/(LN(2)/25)*Calculateur!DB128*Calculateur!DD128*VLOOKUP('Données projet'!$B$13,Paramètres!$A$1:$I$89,3,0)*0.475*44/12</f>
        <v>2.1662260025923508</v>
      </c>
      <c r="DH128" s="21">
        <f>EXP(-LN(2)/2)*DH127+(1-EXP(-LN(2)/2))/(LN(2)/2)*DB128*DE128*VLOOKUP('Données projet'!$B$13,Paramètres!$A$1:$I$89,3,0)*0.475*44/12</f>
        <v>1.6340059421141656E-13</v>
      </c>
      <c r="DI128" s="22">
        <f t="shared" si="69"/>
        <v>2.8622744349479317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-4.5474735088646412E-13</v>
      </c>
      <c r="DP128" s="17">
        <f>DO128*VLOOKUP('Données projet'!$B$14,Paramètres!$A$1:$I$89,3,0)*VLOOKUP('Données projet'!$B$14,Paramètres!$A$1:$I$89,5,0)</f>
        <v>-2.7193891583010558E-13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247.30892363953825</v>
      </c>
      <c r="DU128" s="59">
        <f t="shared" si="98"/>
        <v>248.38414731596578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0.92249549405835873</v>
      </c>
      <c r="EC128" s="21">
        <f>EXP(-LN(2)/2)*EC127+(1-EXP(-LN(2)/2))/(LN(2)/2)*DW128*DZ128*VLOOKUP('Données projet'!$B$14,Paramètres!$A$1:$I$89,3,0)*0.475*44/12</f>
        <v>1.1922332475928494E-13</v>
      </c>
      <c r="ED128" s="22">
        <f t="shared" si="72"/>
        <v>0.92249549405847797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-4.5474735088646412E-13</v>
      </c>
      <c r="EK128" s="17">
        <f>EJ128*VLOOKUP('Données projet'!$B$15,Paramètres!$A$1:$I$89,3,0)*VLOOKUP('Données projet'!$B$15,Paramètres!$A$1:$I$89,5,0)</f>
        <v>-2.7193891583010558E-13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247.30892363953825</v>
      </c>
      <c r="EP128" s="59">
        <f t="shared" si="100"/>
        <v>248.38414731596578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0.92249549405835873</v>
      </c>
      <c r="EX128" s="21">
        <f>EXP(-LN(2)/2)*EX127+(1-EXP(-LN(2)/2))/(LN(2)/2)*ER128*EU128*VLOOKUP('Données projet'!$B$15,Paramètres!$A$1:$I$89,3,0)*0.475*44/12</f>
        <v>1.1922332475928494E-13</v>
      </c>
      <c r="EY128" s="22">
        <f t="shared" si="75"/>
        <v>0.92249549405847797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6.8212102632969618E-13</v>
      </c>
      <c r="FF128" s="17">
        <f>FE128*VLOOKUP('Données projet'!$B$16,Paramètres!$A$1:$I$89,3,0)*VLOOKUP('Données projet'!$B$16,Paramètres!$A$1:$I$89,5,0)</f>
        <v>3.2810021366458383E-13</v>
      </c>
      <c r="FG128" s="13">
        <f t="shared" si="101"/>
        <v>4.2923528923937213E-12</v>
      </c>
      <c r="FH128" s="20">
        <f t="shared" si="76"/>
        <v>8.0472891597182151E-12</v>
      </c>
      <c r="FI128" s="59">
        <f t="shared" si="77"/>
        <v>293.33333333334139</v>
      </c>
      <c r="FJ128" s="59">
        <f ca="1">AVERAGE(OFFSET($FI$3,0,0,'Données projet'!$E$16+1,1))-AVERAGE(OFFSET($H$3,0,0,'Données projet'!$E$16+1,1))</f>
        <v>322.54393676667081</v>
      </c>
      <c r="FK128" s="59">
        <f t="shared" si="102"/>
        <v>296.73904998640018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1.0267292490558309</v>
      </c>
      <c r="FR128" s="21">
        <f>EXP(-LN(2)/25)*FR127+(1-EXP(-LN(2)/25))/(LN(2)/25)*Calculateur!FM128*Calculateur!FO128*VLOOKUP('Données projet'!$B$16,Paramètres!$A$1:$I$89,3,0)*0.475*44/12</f>
        <v>0.96369588602996004</v>
      </c>
      <c r="FS128" s="21">
        <f>EXP(-LN(2)/2)*FS127+(1-EXP(-LN(2)/2))/(LN(2)/2)*FM128*FP128*VLOOKUP('Données projet'!$B$16,Paramètres!$A$1:$I$89,3,0)*0.475*44/12</f>
        <v>1.0507201136241728E-13</v>
      </c>
      <c r="FT128" s="22">
        <f t="shared" si="78"/>
        <v>1.9904251350858959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293.33333333333974</v>
      </c>
      <c r="S129" s="59">
        <f ca="1">AVERAGE(OFFSET($R$3,0,0,'Données projet'!$E$9+1,1))-AVERAGE(OFFSET($H$3,0,0,'Données projet'!$E$9+1,1))</f>
        <v>401.06118089678654</v>
      </c>
      <c r="T129" s="59">
        <f t="shared" si="88"/>
        <v>399.58193819355591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6.2527760746888816E-13</v>
      </c>
      <c r="AJ129" s="13">
        <f>AI129*VLOOKUP('Données projet'!$B$10,Paramètres!$A$1:$I$89,3,0)*VLOOKUP('Données projet'!$B$10,Paramètres!$A$1:$I$89,5,0)</f>
        <v>3.9017322706058616E-13</v>
      </c>
      <c r="AK129" s="13">
        <f t="shared" si="89"/>
        <v>5.0025007393608908E-12</v>
      </c>
      <c r="AL129" s="20">
        <f t="shared" si="58"/>
        <v>9.3922404915174053E-12</v>
      </c>
      <c r="AM129" s="59">
        <f t="shared" si="59"/>
        <v>293.33333333334269</v>
      </c>
      <c r="AN129" s="59">
        <f ca="1">AVERAGE(OFFSET($AM$3,0,0,'Données projet'!$E$10+1,1))-AVERAGE(OFFSET($H$3,0,0,'Données projet'!$E$10+1,1))</f>
        <v>240.30073883588199</v>
      </c>
      <c r="AO129" s="59">
        <f t="shared" si="90"/>
        <v>263.20351282678843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1.0387474206005836</v>
      </c>
      <c r="AV129" s="21">
        <f>EXP(-LN(2)/25)*AV128+(1-EXP(-LN(2)/25))/(LN(2)/25)*Calculateur!AQ129*Calculateur!AS129*VLOOKUP('Données projet'!$B$10,Paramètres!$A$1:$I$89,3,0)*0.475*44/12</f>
        <v>1.4516289217105223</v>
      </c>
      <c r="AW129" s="21">
        <f>EXP(-LN(2)/2)*AW128+(1-EXP(-LN(2)/2))/(LN(2)/2)*AQ129*AT129*VLOOKUP('Données projet'!$B$10,Paramètres!$A$1:$I$89,3,0)*0.475*44/12</f>
        <v>7.1732186426185876E-14</v>
      </c>
      <c r="AX129" s="21">
        <f t="shared" si="60"/>
        <v>2.490376342311178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-1.0936673788819462E-13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364.67510777943329</v>
      </c>
      <c r="BJ129" s="59">
        <f t="shared" si="92"/>
        <v>352.13878061387169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1.3211568755763683</v>
      </c>
      <c r="BQ129" s="21">
        <f>EXP(-LN(2)/25)*BQ128+(1-EXP(-LN(2)/25))/(LN(2)/25)*Calculateur!BL129*Calculateur!BN129*VLOOKUP('Données projet'!$B$11,Paramètres!$A$1:$I$89,3,0)*0.475*44/12</f>
        <v>1.25801240574577</v>
      </c>
      <c r="BR129" s="21">
        <f>EXP(-LN(2)/2)*BR128+(1-EXP(-LN(2)/2))/(LN(2)/2)*BL129*BO129*VLOOKUP('Données projet'!$B$11,Paramètres!$A$1:$I$89,3,0)*0.475*44/12</f>
        <v>9.7605680159201302E-14</v>
      </c>
      <c r="BS129" s="22">
        <f t="shared" si="63"/>
        <v>2.579169281322236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-5.3205440053716299E-14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252.98248842635206</v>
      </c>
      <c r="CE129" s="59">
        <f t="shared" si="94"/>
        <v>207.11938580878308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0.46827104701895989</v>
      </c>
      <c r="CL129" s="21">
        <f>EXP(-LN(2)/25)*CL128+(1-EXP(-LN(2)/25))/(LN(2)/25)*Calculateur!CG129*Calculateur!CI129*VLOOKUP('Données projet'!$B$12,Paramètres!$A$1:$I$89,3,0)*0.475*44/12</f>
        <v>0.54855058039383964</v>
      </c>
      <c r="CM129" s="21">
        <f>EXP(-LN(2)/2)*CM128+(1-EXP(-LN(2)/2))/(LN(2)/2)*CG129*CJ129*VLOOKUP('Données projet'!$B$12,Paramètres!$A$1:$I$89,3,0)*0.475*44/12</f>
        <v>3.4930907873928134E-14</v>
      </c>
      <c r="CN129" s="22">
        <f t="shared" si="66"/>
        <v>1.0168216274128343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-5.6843418860808015E-13</v>
      </c>
      <c r="CU129" s="17">
        <f>CT129*VLOOKUP('Données projet'!$B$13,Paramètres!$A$1:$I$89,3,0)*VLOOKUP('Données projet'!$B$13,Paramètres!$A$1:$I$89,5,0)</f>
        <v>-3.177547114319168E-13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356.67698551373468</v>
      </c>
      <c r="CZ129" s="59">
        <f t="shared" si="96"/>
        <v>353.21836615408171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0.68239934714455075</v>
      </c>
      <c r="DG129" s="21">
        <f>EXP(-LN(2)/25)*DG128+(1-EXP(-LN(2)/25))/(LN(2)/25)*Calculateur!DB129*Calculateur!DD129*VLOOKUP('Données projet'!$B$13,Paramètres!$A$1:$I$89,3,0)*0.475*44/12</f>
        <v>2.1069904386345883</v>
      </c>
      <c r="DH129" s="21">
        <f>EXP(-LN(2)/2)*DH128+(1-EXP(-LN(2)/2))/(LN(2)/2)*DB129*DE129*VLOOKUP('Données projet'!$B$13,Paramètres!$A$1:$I$89,3,0)*0.475*44/12</f>
        <v>1.1554166821680398E-13</v>
      </c>
      <c r="DI129" s="22">
        <f t="shared" si="69"/>
        <v>2.7893897857792544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-4.5474735088646412E-13</v>
      </c>
      <c r="DP129" s="17">
        <f>DO129*VLOOKUP('Données projet'!$B$14,Paramètres!$A$1:$I$89,3,0)*VLOOKUP('Données projet'!$B$14,Paramètres!$A$1:$I$89,5,0)</f>
        <v>-2.7193891583010558E-13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247.30892363953825</v>
      </c>
      <c r="DU129" s="59">
        <f t="shared" si="98"/>
        <v>248.38414731596578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0.89726980626140329</v>
      </c>
      <c r="EC129" s="21">
        <f>EXP(-LN(2)/2)*EC128+(1-EXP(-LN(2)/2))/(LN(2)/2)*DW129*DZ129*VLOOKUP('Données projet'!$B$14,Paramètres!$A$1:$I$89,3,0)*0.475*44/12</f>
        <v>8.4303621412896389E-14</v>
      </c>
      <c r="ED129" s="22">
        <f t="shared" si="72"/>
        <v>0.89726980626148756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-4.5474735088646412E-13</v>
      </c>
      <c r="EK129" s="17">
        <f>EJ129*VLOOKUP('Données projet'!$B$15,Paramètres!$A$1:$I$89,3,0)*VLOOKUP('Données projet'!$B$15,Paramètres!$A$1:$I$89,5,0)</f>
        <v>-2.7193891583010558E-13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247.30892363953825</v>
      </c>
      <c r="EP129" s="59">
        <f t="shared" si="100"/>
        <v>248.38414731596578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0.89726980626140329</v>
      </c>
      <c r="EX129" s="21">
        <f>EXP(-LN(2)/2)*EX128+(1-EXP(-LN(2)/2))/(LN(2)/2)*ER129*EU129*VLOOKUP('Données projet'!$B$15,Paramètres!$A$1:$I$89,3,0)*0.475*44/12</f>
        <v>8.4303621412896389E-14</v>
      </c>
      <c r="EY129" s="22">
        <f t="shared" si="75"/>
        <v>0.89726980626148756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6.8212102632969618E-13</v>
      </c>
      <c r="FF129" s="17">
        <f>FE129*VLOOKUP('Données projet'!$B$16,Paramètres!$A$1:$I$89,3,0)*VLOOKUP('Données projet'!$B$16,Paramètres!$A$1:$I$89,5,0)</f>
        <v>3.2810021366458383E-13</v>
      </c>
      <c r="FG129" s="13">
        <f t="shared" si="101"/>
        <v>4.2923528923937213E-12</v>
      </c>
      <c r="FH129" s="20">
        <f t="shared" si="76"/>
        <v>8.0472891597182151E-12</v>
      </c>
      <c r="FI129" s="59">
        <f t="shared" si="77"/>
        <v>293.33333333334139</v>
      </c>
      <c r="FJ129" s="59">
        <f ca="1">AVERAGE(OFFSET($FI$3,0,0,'Données projet'!$E$16+1,1))-AVERAGE(OFFSET($H$3,0,0,'Données projet'!$E$16+1,1))</f>
        <v>322.54393676667081</v>
      </c>
      <c r="FK129" s="59">
        <f t="shared" si="102"/>
        <v>296.73904998640018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1.0065957147248517</v>
      </c>
      <c r="FR129" s="21">
        <f>EXP(-LN(2)/25)*FR128+(1-EXP(-LN(2)/25))/(LN(2)/25)*Calculateur!FM129*Calculateur!FO129*VLOOKUP('Données projet'!$B$16,Paramètres!$A$1:$I$89,3,0)*0.475*44/12</f>
        <v>0.93734357134790669</v>
      </c>
      <c r="FS129" s="21">
        <f>EXP(-LN(2)/2)*FS128+(1-EXP(-LN(2)/2))/(LN(2)/2)*FM129*FP129*VLOOKUP('Données projet'!$B$16,Paramètres!$A$1:$I$89,3,0)*0.475*44/12</f>
        <v>7.4297131747275227E-14</v>
      </c>
      <c r="FT129" s="22">
        <f t="shared" si="78"/>
        <v>1.9439392860728326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293.33333333333974</v>
      </c>
      <c r="S130" s="59">
        <f ca="1">AVERAGE(OFFSET($R$3,0,0,'Données projet'!$E$9+1,1))-AVERAGE(OFFSET($H$3,0,0,'Données projet'!$E$9+1,1))</f>
        <v>401.06118089678654</v>
      </c>
      <c r="T130" s="59">
        <f t="shared" si="88"/>
        <v>399.58193819355591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6.2527760746888816E-13</v>
      </c>
      <c r="AJ130" s="13">
        <f>AI130*VLOOKUP('Données projet'!$B$10,Paramètres!$A$1:$I$89,3,0)*VLOOKUP('Données projet'!$B$10,Paramètres!$A$1:$I$89,5,0)</f>
        <v>3.9017322706058616E-13</v>
      </c>
      <c r="AK130" s="13">
        <f t="shared" si="89"/>
        <v>5.0025007393608908E-12</v>
      </c>
      <c r="AL130" s="20">
        <f t="shared" si="58"/>
        <v>9.3922404915174053E-12</v>
      </c>
      <c r="AM130" s="59">
        <f t="shared" si="59"/>
        <v>293.33333333334269</v>
      </c>
      <c r="AN130" s="59">
        <f ca="1">AVERAGE(OFFSET($AM$3,0,0,'Données projet'!$E$10+1,1))-AVERAGE(OFFSET($H$3,0,0,'Données projet'!$E$10+1,1))</f>
        <v>240.30073883588199</v>
      </c>
      <c r="AO130" s="59">
        <f t="shared" si="90"/>
        <v>263.20351282678843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1.0183782172559726</v>
      </c>
      <c r="AV130" s="21">
        <f>EXP(-LN(2)/25)*AV129+(1-EXP(-LN(2)/25))/(LN(2)/25)*Calculateur!AQ130*Calculateur!AS130*VLOOKUP('Données projet'!$B$10,Paramètres!$A$1:$I$89,3,0)*0.475*44/12</f>
        <v>1.4119340525085007</v>
      </c>
      <c r="AW130" s="21">
        <f>EXP(-LN(2)/2)*AW129+(1-EXP(-LN(2)/2))/(LN(2)/2)*AQ130*AT130*VLOOKUP('Données projet'!$B$10,Paramètres!$A$1:$I$89,3,0)*0.475*44/12</f>
        <v>5.0722315451293652E-14</v>
      </c>
      <c r="AX130" s="21">
        <f t="shared" si="60"/>
        <v>2.4303122697645239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-1.0936673788819462E-13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364.67510777943329</v>
      </c>
      <c r="BJ130" s="59">
        <f t="shared" si="92"/>
        <v>352.13878061387169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1.2952497950724411</v>
      </c>
      <c r="BQ130" s="21">
        <f>EXP(-LN(2)/25)*BQ129+(1-EXP(-LN(2)/25))/(LN(2)/25)*Calculateur!BL130*Calculateur!BN130*VLOOKUP('Données projet'!$B$11,Paramètres!$A$1:$I$89,3,0)*0.475*44/12</f>
        <v>1.2236119903546547</v>
      </c>
      <c r="BR130" s="21">
        <f>EXP(-LN(2)/2)*BR129+(1-EXP(-LN(2)/2))/(LN(2)/2)*BL130*BO130*VLOOKUP('Données projet'!$B$11,Paramètres!$A$1:$I$89,3,0)*0.475*44/12</f>
        <v>6.9017638322896497E-14</v>
      </c>
      <c r="BS130" s="22">
        <f t="shared" si="63"/>
        <v>2.5188617854271649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-5.3205440053716299E-14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252.98248842635206</v>
      </c>
      <c r="CE130" s="59">
        <f t="shared" si="94"/>
        <v>207.11938580878308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0.45908853740405442</v>
      </c>
      <c r="CL130" s="21">
        <f>EXP(-LN(2)/25)*CL129+(1-EXP(-LN(2)/25))/(LN(2)/25)*Calculateur!CG130*Calculateur!CI130*VLOOKUP('Données projet'!$B$12,Paramètres!$A$1:$I$89,3,0)*0.475*44/12</f>
        <v>0.53355043592594875</v>
      </c>
      <c r="CM130" s="21">
        <f>EXP(-LN(2)/2)*CM129+(1-EXP(-LN(2)/2))/(LN(2)/2)*CG130*CJ130*VLOOKUP('Données projet'!$B$12,Paramètres!$A$1:$I$89,3,0)*0.475*44/12</f>
        <v>2.4699881830657152E-14</v>
      </c>
      <c r="CN130" s="22">
        <f t="shared" si="66"/>
        <v>0.99263897333002782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-5.6843418860808015E-13</v>
      </c>
      <c r="CU130" s="17">
        <f>CT130*VLOOKUP('Données projet'!$B$13,Paramètres!$A$1:$I$89,3,0)*VLOOKUP('Données projet'!$B$13,Paramètres!$A$1:$I$89,5,0)</f>
        <v>-3.177547114319168E-13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356.67698551373468</v>
      </c>
      <c r="CZ130" s="59">
        <f t="shared" si="96"/>
        <v>353.21836615408171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0.66901791216954931</v>
      </c>
      <c r="DG130" s="21">
        <f>EXP(-LN(2)/25)*DG129+(1-EXP(-LN(2)/25))/(LN(2)/25)*Calculateur!DB130*Calculateur!DD130*VLOOKUP('Données projet'!$B$13,Paramètres!$A$1:$I$89,3,0)*0.475*44/12</f>
        <v>2.0493746742883139</v>
      </c>
      <c r="DH130" s="21">
        <f>EXP(-LN(2)/2)*DH129+(1-EXP(-LN(2)/2))/(LN(2)/2)*DB130*DE130*VLOOKUP('Données projet'!$B$13,Paramètres!$A$1:$I$89,3,0)*0.475*44/12</f>
        <v>8.1700297105708281E-14</v>
      </c>
      <c r="DI130" s="22">
        <f t="shared" si="69"/>
        <v>2.718392586457945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-4.5474735088646412E-13</v>
      </c>
      <c r="DP130" s="17">
        <f>DO130*VLOOKUP('Données projet'!$B$14,Paramètres!$A$1:$I$89,3,0)*VLOOKUP('Données projet'!$B$14,Paramètres!$A$1:$I$89,5,0)</f>
        <v>-2.7193891583010558E-13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247.30892363953825</v>
      </c>
      <c r="DU130" s="59">
        <f t="shared" si="98"/>
        <v>248.38414731596578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0.8727339162238168</v>
      </c>
      <c r="EC130" s="21">
        <f>EXP(-LN(2)/2)*EC129+(1-EXP(-LN(2)/2))/(LN(2)/2)*DW130*DZ130*VLOOKUP('Données projet'!$B$14,Paramètres!$A$1:$I$89,3,0)*0.475*44/12</f>
        <v>5.9611662379642468E-14</v>
      </c>
      <c r="ED130" s="22">
        <f t="shared" si="72"/>
        <v>0.87273391622387642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-4.5474735088646412E-13</v>
      </c>
      <c r="EK130" s="17">
        <f>EJ130*VLOOKUP('Données projet'!$B$15,Paramètres!$A$1:$I$89,3,0)*VLOOKUP('Données projet'!$B$15,Paramètres!$A$1:$I$89,5,0)</f>
        <v>-2.7193891583010558E-13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247.30892363953825</v>
      </c>
      <c r="EP130" s="59">
        <f t="shared" si="100"/>
        <v>248.38414731596578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0.8727339162238168</v>
      </c>
      <c r="EX130" s="21">
        <f>EXP(-LN(2)/2)*EX129+(1-EXP(-LN(2)/2))/(LN(2)/2)*ER130*EU130*VLOOKUP('Données projet'!$B$15,Paramètres!$A$1:$I$89,3,0)*0.475*44/12</f>
        <v>5.9611662379642468E-14</v>
      </c>
      <c r="EY130" s="22">
        <f t="shared" si="75"/>
        <v>0.87273391622387642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6.8212102632969618E-13</v>
      </c>
      <c r="FF130" s="17">
        <f>FE130*VLOOKUP('Données projet'!$B$16,Paramètres!$A$1:$I$89,3,0)*VLOOKUP('Données projet'!$B$16,Paramètres!$A$1:$I$89,5,0)</f>
        <v>3.2810021366458383E-13</v>
      </c>
      <c r="FG130" s="13">
        <f t="shared" si="101"/>
        <v>4.2923528923937213E-12</v>
      </c>
      <c r="FH130" s="20">
        <f t="shared" si="76"/>
        <v>8.0472891597182151E-12</v>
      </c>
      <c r="FI130" s="59">
        <f t="shared" si="77"/>
        <v>293.33333333334139</v>
      </c>
      <c r="FJ130" s="59">
        <f ca="1">AVERAGE(OFFSET($FI$3,0,0,'Données projet'!$E$16+1,1))-AVERAGE(OFFSET($H$3,0,0,'Données projet'!$E$16+1,1))</f>
        <v>322.54393676667081</v>
      </c>
      <c r="FK130" s="59">
        <f t="shared" si="102"/>
        <v>296.73904998640018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0.98685698672185951</v>
      </c>
      <c r="FR130" s="21">
        <f>EXP(-LN(2)/25)*FR129+(1-EXP(-LN(2)/25))/(LN(2)/25)*Calculateur!FM130*Calculateur!FO130*VLOOKUP('Données projet'!$B$16,Paramètres!$A$1:$I$89,3,0)*0.475*44/12</f>
        <v>0.91171186209664212</v>
      </c>
      <c r="FS130" s="21">
        <f>EXP(-LN(2)/2)*FS129+(1-EXP(-LN(2)/2))/(LN(2)/2)*FM130*FP130*VLOOKUP('Données projet'!$B$16,Paramètres!$A$1:$I$89,3,0)*0.475*44/12</f>
        <v>5.2536005681208638E-14</v>
      </c>
      <c r="FT130" s="22">
        <f t="shared" si="78"/>
        <v>1.8985688488185544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293.33333333333974</v>
      </c>
      <c r="S131" s="59">
        <f ca="1">AVERAGE(OFFSET($R$3,0,0,'Données projet'!$E$9+1,1))-AVERAGE(OFFSET($H$3,0,0,'Données projet'!$E$9+1,1))</f>
        <v>401.06118089678654</v>
      </c>
      <c r="T131" s="59">
        <f t="shared" si="88"/>
        <v>399.58193819355591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6.2527760746888816E-13</v>
      </c>
      <c r="AJ131" s="13">
        <f>AI131*VLOOKUP('Données projet'!$B$10,Paramètres!$A$1:$I$89,3,0)*VLOOKUP('Données projet'!$B$10,Paramètres!$A$1:$I$89,5,0)</f>
        <v>3.9017322706058616E-13</v>
      </c>
      <c r="AK131" s="13">
        <f t="shared" si="89"/>
        <v>5.0025007393608908E-12</v>
      </c>
      <c r="AL131" s="20">
        <f t="shared" si="58"/>
        <v>9.3922404915174053E-12</v>
      </c>
      <c r="AM131" s="59">
        <f t="shared" si="59"/>
        <v>293.33333333334269</v>
      </c>
      <c r="AN131" s="59">
        <f ca="1">AVERAGE(OFFSET($AM$3,0,0,'Données projet'!$E$10+1,1))-AVERAGE(OFFSET($H$3,0,0,'Données projet'!$E$10+1,1))</f>
        <v>240.30073883588199</v>
      </c>
      <c r="AO131" s="59">
        <f t="shared" si="90"/>
        <v>263.20351282678843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0.998408441564962</v>
      </c>
      <c r="AV131" s="21">
        <f>EXP(-LN(2)/25)*AV130+(1-EXP(-LN(2)/25))/(LN(2)/25)*Calculateur!AQ131*Calculateur!AS131*VLOOKUP('Données projet'!$B$10,Paramètres!$A$1:$I$89,3,0)*0.475*44/12</f>
        <v>1.3733246415922709</v>
      </c>
      <c r="AW131" s="21">
        <f>EXP(-LN(2)/2)*AW130+(1-EXP(-LN(2)/2))/(LN(2)/2)*AQ131*AT131*VLOOKUP('Données projet'!$B$10,Paramètres!$A$1:$I$89,3,0)*0.475*44/12</f>
        <v>3.5866093213092938E-14</v>
      </c>
      <c r="AX131" s="21">
        <f t="shared" si="60"/>
        <v>2.3717330831572689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-1.0936673788819462E-13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364.67510777943329</v>
      </c>
      <c r="BJ131" s="59">
        <f t="shared" si="92"/>
        <v>352.13878061387169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1.269850736615437</v>
      </c>
      <c r="BQ131" s="21">
        <f>EXP(-LN(2)/25)*BQ130+(1-EXP(-LN(2)/25))/(LN(2)/25)*Calculateur!BL131*Calculateur!BN131*VLOOKUP('Données projet'!$B$11,Paramètres!$A$1:$I$89,3,0)*0.475*44/12</f>
        <v>1.1901522561314488</v>
      </c>
      <c r="BR131" s="21">
        <f>EXP(-LN(2)/2)*BR130+(1-EXP(-LN(2)/2))/(LN(2)/2)*BL131*BO131*VLOOKUP('Données projet'!$B$11,Paramètres!$A$1:$I$89,3,0)*0.475*44/12</f>
        <v>4.8802840079600651E-14</v>
      </c>
      <c r="BS131" s="22">
        <f t="shared" si="63"/>
        <v>2.4600029927469347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-5.3205440053716299E-14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252.98248842635206</v>
      </c>
      <c r="CE131" s="59">
        <f t="shared" si="94"/>
        <v>207.11938580878308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0.45008609120191939</v>
      </c>
      <c r="CL131" s="21">
        <f>EXP(-LN(2)/25)*CL130+(1-EXP(-LN(2)/25))/(LN(2)/25)*Calculateur!CG131*Calculateur!CI131*VLOOKUP('Données projet'!$B$12,Paramètres!$A$1:$I$89,3,0)*0.475*44/12</f>
        <v>0.51896047119735567</v>
      </c>
      <c r="CM131" s="21">
        <f>EXP(-LN(2)/2)*CM130+(1-EXP(-LN(2)/2))/(LN(2)/2)*CG131*CJ131*VLOOKUP('Données projet'!$B$12,Paramètres!$A$1:$I$89,3,0)*0.475*44/12</f>
        <v>1.7465453936964067E-14</v>
      </c>
      <c r="CN131" s="22">
        <f t="shared" si="66"/>
        <v>0.96904656239929243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-5.6843418860808015E-13</v>
      </c>
      <c r="CU131" s="17">
        <f>CT131*VLOOKUP('Données projet'!$B$13,Paramètres!$A$1:$I$89,3,0)*VLOOKUP('Données projet'!$B$13,Paramètres!$A$1:$I$89,5,0)</f>
        <v>-3.177547114319168E-13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356.67698551373468</v>
      </c>
      <c r="CZ131" s="59">
        <f t="shared" si="96"/>
        <v>353.21836615408171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0.65589887897253818</v>
      </c>
      <c r="DG131" s="21">
        <f>EXP(-LN(2)/25)*DG130+(1-EXP(-LN(2)/25))/(LN(2)/25)*Calculateur!DB131*Calculateur!DD131*VLOOKUP('Données projet'!$B$13,Paramètres!$A$1:$I$89,3,0)*0.475*44/12</f>
        <v>1.9933344160479698</v>
      </c>
      <c r="DH131" s="21">
        <f>EXP(-LN(2)/2)*DH130+(1-EXP(-LN(2)/2))/(LN(2)/2)*DB131*DE131*VLOOKUP('Données projet'!$B$13,Paramètres!$A$1:$I$89,3,0)*0.475*44/12</f>
        <v>5.7770834108401988E-14</v>
      </c>
      <c r="DI131" s="22">
        <f t="shared" si="69"/>
        <v>2.6492332950205659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-4.5474735088646412E-13</v>
      </c>
      <c r="DP131" s="17">
        <f>DO131*VLOOKUP('Données projet'!$B$14,Paramètres!$A$1:$I$89,3,0)*VLOOKUP('Données projet'!$B$14,Paramètres!$A$1:$I$89,5,0)</f>
        <v>-2.7193891583010558E-13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247.30892363953825</v>
      </c>
      <c r="DU131" s="59">
        <f t="shared" si="98"/>
        <v>248.38414731596578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0.84886896138959456</v>
      </c>
      <c r="EC131" s="21">
        <f>EXP(-LN(2)/2)*EC130+(1-EXP(-LN(2)/2))/(LN(2)/2)*DW131*DZ131*VLOOKUP('Données projet'!$B$14,Paramètres!$A$1:$I$89,3,0)*0.475*44/12</f>
        <v>4.2151810706448194E-14</v>
      </c>
      <c r="ED131" s="22">
        <f t="shared" si="72"/>
        <v>0.84886896138963674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-4.5474735088646412E-13</v>
      </c>
      <c r="EK131" s="17">
        <f>EJ131*VLOOKUP('Données projet'!$B$15,Paramètres!$A$1:$I$89,3,0)*VLOOKUP('Données projet'!$B$15,Paramètres!$A$1:$I$89,5,0)</f>
        <v>-2.7193891583010558E-13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247.30892363953825</v>
      </c>
      <c r="EP131" s="59">
        <f t="shared" si="100"/>
        <v>248.38414731596578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0.84886896138959456</v>
      </c>
      <c r="EX131" s="21">
        <f>EXP(-LN(2)/2)*EX130+(1-EXP(-LN(2)/2))/(LN(2)/2)*ER131*EU131*VLOOKUP('Données projet'!$B$15,Paramètres!$A$1:$I$89,3,0)*0.475*44/12</f>
        <v>4.2151810706448194E-14</v>
      </c>
      <c r="EY131" s="22">
        <f t="shared" si="75"/>
        <v>0.84886896138963674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6.8212102632969618E-13</v>
      </c>
      <c r="FF131" s="17">
        <f>FE131*VLOOKUP('Données projet'!$B$16,Paramètres!$A$1:$I$89,3,0)*VLOOKUP('Données projet'!$B$16,Paramètres!$A$1:$I$89,5,0)</f>
        <v>3.2810021366458383E-13</v>
      </c>
      <c r="FG131" s="13">
        <f t="shared" si="101"/>
        <v>4.2923528923937213E-12</v>
      </c>
      <c r="FH131" s="20">
        <f t="shared" si="76"/>
        <v>8.0472891597182151E-12</v>
      </c>
      <c r="FI131" s="59">
        <f t="shared" si="77"/>
        <v>293.33333333334139</v>
      </c>
      <c r="FJ131" s="59">
        <f ca="1">AVERAGE(OFFSET($FI$3,0,0,'Données projet'!$E$16+1,1))-AVERAGE(OFFSET($H$3,0,0,'Données projet'!$E$16+1,1))</f>
        <v>322.54393676667081</v>
      </c>
      <c r="FK131" s="59">
        <f t="shared" si="102"/>
        <v>296.73904998640018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0.9675053231355708</v>
      </c>
      <c r="FR131" s="21">
        <f>EXP(-LN(2)/25)*FR130+(1-EXP(-LN(2)/25))/(LN(2)/25)*Calculateur!FM131*Calculateur!FO131*VLOOKUP('Données projet'!$B$16,Paramètres!$A$1:$I$89,3,0)*0.475*44/12</f>
        <v>0.88678105328276635</v>
      </c>
      <c r="FS131" s="21">
        <f>EXP(-LN(2)/2)*FS130+(1-EXP(-LN(2)/2))/(LN(2)/2)*FM131*FP131*VLOOKUP('Données projet'!$B$16,Paramètres!$A$1:$I$89,3,0)*0.475*44/12</f>
        <v>3.7148565873637614E-14</v>
      </c>
      <c r="FT131" s="22">
        <f t="shared" si="78"/>
        <v>1.8542863764183741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293.33333333333974</v>
      </c>
      <c r="S132" s="59">
        <f ca="1">AVERAGE(OFFSET($R$3,0,0,'Données projet'!$E$9+1,1))-AVERAGE(OFFSET($H$3,0,0,'Données projet'!$E$9+1,1))</f>
        <v>401.06118089678654</v>
      </c>
      <c r="T132" s="59">
        <f t="shared" si="88"/>
        <v>399.58193819355591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6.2527760746888816E-13</v>
      </c>
      <c r="AJ132" s="13">
        <f>AI132*VLOOKUP('Données projet'!$B$10,Paramètres!$A$1:$I$89,3,0)*VLOOKUP('Données projet'!$B$10,Paramètres!$A$1:$I$89,5,0)</f>
        <v>3.9017322706058616E-13</v>
      </c>
      <c r="AK132" s="13">
        <f t="shared" si="89"/>
        <v>5.0025007393608908E-12</v>
      </c>
      <c r="AL132" s="20">
        <f t="shared" ref="AL132:AL153" si="112">(AJ132+AK132)*0.475*44/12</f>
        <v>9.3922404915174053E-12</v>
      </c>
      <c r="AM132" s="59">
        <f t="shared" ref="AM132:AM195" si="113">AL132+(AD132+AE132)*44/12</f>
        <v>293.33333333334269</v>
      </c>
      <c r="AN132" s="59">
        <f ca="1">AVERAGE(OFFSET($AM$3,0,0,'Données projet'!$E$10+1,1))-AVERAGE(OFFSET($H$3,0,0,'Données projet'!$E$10+1,1))</f>
        <v>240.30073883588199</v>
      </c>
      <c r="AO132" s="59">
        <f t="shared" si="90"/>
        <v>263.20351282678843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0.97883026099489179</v>
      </c>
      <c r="AV132" s="21">
        <f>EXP(-LN(2)/25)*AV131+(1-EXP(-LN(2)/25))/(LN(2)/25)*Calculateur!AQ132*Calculateur!AS132*VLOOKUP('Données projet'!$B$10,Paramètres!$A$1:$I$89,3,0)*0.475*44/12</f>
        <v>1.3357710070479261</v>
      </c>
      <c r="AW132" s="21">
        <f>EXP(-LN(2)/2)*AW131+(1-EXP(-LN(2)/2))/(LN(2)/2)*AQ132*AT132*VLOOKUP('Données projet'!$B$10,Paramètres!$A$1:$I$89,3,0)*0.475*44/12</f>
        <v>2.5361157725646826E-14</v>
      </c>
      <c r="AX132" s="21">
        <f t="shared" ref="AX132:AX153" si="114">SUM(AU132:AW132)</f>
        <v>2.3146012680428432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-1.0936673788819462E-13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364.67510777943329</v>
      </c>
      <c r="BJ132" s="59">
        <f t="shared" si="92"/>
        <v>352.13878061387169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1.2449497382028789</v>
      </c>
      <c r="BQ132" s="21">
        <f>EXP(-LN(2)/25)*BQ131+(1-EXP(-LN(2)/25))/(LN(2)/25)*Calculateur!BL132*Calculateur!BN132*VLOOKUP('Données projet'!$B$11,Paramètres!$A$1:$I$89,3,0)*0.475*44/12</f>
        <v>1.1576074801001472</v>
      </c>
      <c r="BR132" s="21">
        <f>EXP(-LN(2)/2)*BR131+(1-EXP(-LN(2)/2))/(LN(2)/2)*BL132*BO132*VLOOKUP('Données projet'!$B$11,Paramètres!$A$1:$I$89,3,0)*0.475*44/12</f>
        <v>3.4508819161448248E-14</v>
      </c>
      <c r="BS132" s="22">
        <f t="shared" ref="BS132:BS153" si="117">SUM(BP132:BR132)</f>
        <v>2.4025572183030608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-5.3205440053716299E-14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252.98248842635206</v>
      </c>
      <c r="CE132" s="59">
        <f t="shared" si="94"/>
        <v>207.11938580878308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0.44126017747885826</v>
      </c>
      <c r="CL132" s="21">
        <f>EXP(-LN(2)/25)*CL131+(1-EXP(-LN(2)/25))/(LN(2)/25)*Calculateur!CG132*Calculateur!CI132*VLOOKUP('Données projet'!$B$12,Paramètres!$A$1:$I$89,3,0)*0.475*44/12</f>
        <v>0.50476946982151893</v>
      </c>
      <c r="CM132" s="21">
        <f>EXP(-LN(2)/2)*CM131+(1-EXP(-LN(2)/2))/(LN(2)/2)*CG132*CJ132*VLOOKUP('Données projet'!$B$12,Paramètres!$A$1:$I$89,3,0)*0.475*44/12</f>
        <v>1.2349940915328576E-14</v>
      </c>
      <c r="CN132" s="22">
        <f t="shared" ref="CN132:CN153" si="120">SUM(CK132:CM132)</f>
        <v>0.94602964730038952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-5.6843418860808015E-13</v>
      </c>
      <c r="CU132" s="17">
        <f>CT132*VLOOKUP('Données projet'!$B$13,Paramètres!$A$1:$I$89,3,0)*VLOOKUP('Données projet'!$B$13,Paramètres!$A$1:$I$89,5,0)</f>
        <v>-3.177547114319168E-13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356.67698551373468</v>
      </c>
      <c r="CZ132" s="59">
        <f t="shared" si="96"/>
        <v>353.21836615408171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0.64303710201470032</v>
      </c>
      <c r="DG132" s="21">
        <f>EXP(-LN(2)/25)*DG131+(1-EXP(-LN(2)/25))/(LN(2)/25)*Calculateur!DB132*Calculateur!DD132*VLOOKUP('Données projet'!$B$13,Paramètres!$A$1:$I$89,3,0)*0.475*44/12</f>
        <v>1.9388265816162369</v>
      </c>
      <c r="DH132" s="21">
        <f>EXP(-LN(2)/2)*DH131+(1-EXP(-LN(2)/2))/(LN(2)/2)*DB132*DE132*VLOOKUP('Données projet'!$B$13,Paramètres!$A$1:$I$89,3,0)*0.475*44/12</f>
        <v>4.0850148552854141E-14</v>
      </c>
      <c r="DI132" s="22">
        <f t="shared" ref="DI132:DI153" si="123">SUM(DF132:DH132)</f>
        <v>2.5818636836309778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-4.5474735088646412E-13</v>
      </c>
      <c r="DP132" s="17">
        <f>DO132*VLOOKUP('Données projet'!$B$14,Paramètres!$A$1:$I$89,3,0)*VLOOKUP('Données projet'!$B$14,Paramètres!$A$1:$I$89,5,0)</f>
        <v>-2.7193891583010558E-13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247.30892363953825</v>
      </c>
      <c r="DU132" s="59">
        <f t="shared" si="98"/>
        <v>248.38414731596578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0.82565659500031752</v>
      </c>
      <c r="EC132" s="21">
        <f>EXP(-LN(2)/2)*EC131+(1-EXP(-LN(2)/2))/(LN(2)/2)*DW132*DZ132*VLOOKUP('Données projet'!$B$14,Paramètres!$A$1:$I$89,3,0)*0.475*44/12</f>
        <v>2.9805831189821234E-14</v>
      </c>
      <c r="ED132" s="22">
        <f t="shared" ref="ED132:ED153" si="126">SUM(EA132:EC132)</f>
        <v>0.82565659500034727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-4.5474735088646412E-13</v>
      </c>
      <c r="EK132" s="17">
        <f>EJ132*VLOOKUP('Données projet'!$B$15,Paramètres!$A$1:$I$89,3,0)*VLOOKUP('Données projet'!$B$15,Paramètres!$A$1:$I$89,5,0)</f>
        <v>-2.7193891583010558E-13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247.30892363953825</v>
      </c>
      <c r="EP132" s="59">
        <f t="shared" si="100"/>
        <v>248.38414731596578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0.82565659500031752</v>
      </c>
      <c r="EX132" s="21">
        <f>EXP(-LN(2)/2)*EX131+(1-EXP(-LN(2)/2))/(LN(2)/2)*ER132*EU132*VLOOKUP('Données projet'!$B$15,Paramètres!$A$1:$I$89,3,0)*0.475*44/12</f>
        <v>2.9805831189821234E-14</v>
      </c>
      <c r="EY132" s="22">
        <f t="shared" ref="EY132:EY153" si="129">SUM(EV132:EX132)</f>
        <v>0.82565659500034727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6.8212102632969618E-13</v>
      </c>
      <c r="FF132" s="17">
        <f>FE132*VLOOKUP('Données projet'!$B$16,Paramètres!$A$1:$I$89,3,0)*VLOOKUP('Données projet'!$B$16,Paramètres!$A$1:$I$89,5,0)</f>
        <v>3.2810021366458383E-13</v>
      </c>
      <c r="FG132" s="13">
        <f t="shared" si="101"/>
        <v>4.2923528923937213E-12</v>
      </c>
      <c r="FH132" s="20">
        <f t="shared" ref="FH132:FH153" si="130">(FF132+FG132)*0.475*44/12</f>
        <v>8.0472891597182151E-12</v>
      </c>
      <c r="FI132" s="59">
        <f t="shared" ref="FI132:FI195" si="131">FH132+(EZ132+FA132)*44/12</f>
        <v>293.33333333334139</v>
      </c>
      <c r="FJ132" s="59">
        <f ca="1">AVERAGE(OFFSET($FI$3,0,0,'Données projet'!$E$16+1,1))-AVERAGE(OFFSET($H$3,0,0,'Données projet'!$E$16+1,1))</f>
        <v>322.54393676667081</v>
      </c>
      <c r="FK132" s="59">
        <f t="shared" si="102"/>
        <v>296.73904998640018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0.94853313386885985</v>
      </c>
      <c r="FR132" s="21">
        <f>EXP(-LN(2)/25)*FR131+(1-EXP(-LN(2)/25))/(LN(2)/25)*Calculateur!FM132*Calculateur!FO132*VLOOKUP('Données projet'!$B$16,Paramètres!$A$1:$I$89,3,0)*0.475*44/12</f>
        <v>0.8625319787469603</v>
      </c>
      <c r="FS132" s="21">
        <f>EXP(-LN(2)/2)*FS131+(1-EXP(-LN(2)/2))/(LN(2)/2)*FM132*FP132*VLOOKUP('Données projet'!$B$16,Paramètres!$A$1:$I$89,3,0)*0.475*44/12</f>
        <v>2.6268002840604319E-14</v>
      </c>
      <c r="FT132" s="22">
        <f t="shared" ref="FT132:FT153" si="132">SUM(FQ132:FS132)</f>
        <v>1.8110651126158464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293.33333333333974</v>
      </c>
      <c r="S133" s="59">
        <f ca="1">AVERAGE(OFFSET($R$3,0,0,'Données projet'!$E$9+1,1))-AVERAGE(OFFSET($H$3,0,0,'Données projet'!$E$9+1,1))</f>
        <v>401.06118089678654</v>
      </c>
      <c r="T133" s="59">
        <f t="shared" ref="T133:T196" si="142">$T$3</f>
        <v>399.58193819355591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6.2527760746888816E-13</v>
      </c>
      <c r="AJ133" s="13">
        <f>AI133*VLOOKUP('Données projet'!$B$10,Paramètres!$A$1:$I$89,3,0)*VLOOKUP('Données projet'!$B$10,Paramètres!$A$1:$I$89,5,0)</f>
        <v>3.9017322706058616E-13</v>
      </c>
      <c r="AK133" s="13">
        <f t="shared" ref="AK133:AK153" si="143">EXP(-1.0587+0.8836*LN(AJ133)+0.284)</f>
        <v>5.0025007393608908E-12</v>
      </c>
      <c r="AL133" s="20">
        <f t="shared" si="112"/>
        <v>9.3922404915174053E-12</v>
      </c>
      <c r="AM133" s="59">
        <f t="shared" si="113"/>
        <v>293.33333333334269</v>
      </c>
      <c r="AN133" s="59">
        <f ca="1">AVERAGE(OFFSET($AM$3,0,0,'Données projet'!$E$10+1,1))-AVERAGE(OFFSET($H$3,0,0,'Données projet'!$E$10+1,1))</f>
        <v>240.30073883588199</v>
      </c>
      <c r="AO133" s="59">
        <f t="shared" ref="AO133:AO196" si="144">$AO$3</f>
        <v>263.20351282678843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0.95963599660428955</v>
      </c>
      <c r="AV133" s="21">
        <f>EXP(-LN(2)/25)*AV132+(1-EXP(-LN(2)/25))/(LN(2)/25)*Calculateur!AQ133*Calculateur!AS133*VLOOKUP('Données projet'!$B$10,Paramètres!$A$1:$I$89,3,0)*0.475*44/12</f>
        <v>1.2992442786150562</v>
      </c>
      <c r="AW133" s="21">
        <f>EXP(-LN(2)/2)*AW132+(1-EXP(-LN(2)/2))/(LN(2)/2)*AQ133*AT133*VLOOKUP('Données projet'!$B$10,Paramètres!$A$1:$I$89,3,0)*0.475*44/12</f>
        <v>1.7933046606546469E-14</v>
      </c>
      <c r="AX133" s="21">
        <f t="shared" si="114"/>
        <v>2.2588802752193633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-1.0936673788819462E-13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364.67510777943329</v>
      </c>
      <c r="BJ133" s="59">
        <f t="shared" ref="BJ133:BJ196" si="146">$BJ$3</f>
        <v>352.13878061387169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1.2205370331810816</v>
      </c>
      <c r="BQ133" s="21">
        <f>EXP(-LN(2)/25)*BQ132+(1-EXP(-LN(2)/25))/(LN(2)/25)*Calculateur!BL133*Calculateur!BN133*VLOOKUP('Données projet'!$B$11,Paramètres!$A$1:$I$89,3,0)*0.475*44/12</f>
        <v>1.125952642680877</v>
      </c>
      <c r="BR133" s="21">
        <f>EXP(-LN(2)/2)*BR132+(1-EXP(-LN(2)/2))/(LN(2)/2)*BL133*BO133*VLOOKUP('Données projet'!$B$11,Paramètres!$A$1:$I$89,3,0)*0.475*44/12</f>
        <v>2.4401420039800326E-14</v>
      </c>
      <c r="BS133" s="22">
        <f t="shared" si="117"/>
        <v>2.3464896758619829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-5.3205440053716299E-14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252.98248842635206</v>
      </c>
      <c r="CE133" s="59">
        <f t="shared" ref="CE133:CE196" si="148">$CE$3</f>
        <v>207.11938580878308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0.43260733454063055</v>
      </c>
      <c r="CL133" s="21">
        <f>EXP(-LN(2)/25)*CL132+(1-EXP(-LN(2)/25))/(LN(2)/25)*Calculateur!CG133*Calculateur!CI133*VLOOKUP('Données projet'!$B$12,Paramètres!$A$1:$I$89,3,0)*0.475*44/12</f>
        <v>0.49096652212457675</v>
      </c>
      <c r="CM133" s="21">
        <f>EXP(-LN(2)/2)*CM132+(1-EXP(-LN(2)/2))/(LN(2)/2)*CG133*CJ133*VLOOKUP('Données projet'!$B$12,Paramètres!$A$1:$I$89,3,0)*0.475*44/12</f>
        <v>8.7327269684820336E-15</v>
      </c>
      <c r="CN133" s="22">
        <f t="shared" si="120"/>
        <v>0.92357385666521608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-5.6843418860808015E-13</v>
      </c>
      <c r="CU133" s="17">
        <f>CT133*VLOOKUP('Données projet'!$B$13,Paramètres!$A$1:$I$89,3,0)*VLOOKUP('Données projet'!$B$13,Paramètres!$A$1:$I$89,5,0)</f>
        <v>-3.177547114319168E-13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356.67698551373468</v>
      </c>
      <c r="CZ133" s="59">
        <f t="shared" ref="CZ133:CZ196" si="150">$CZ$3</f>
        <v>353.21836615408171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0.63042753665809637</v>
      </c>
      <c r="DG133" s="21">
        <f>EXP(-LN(2)/25)*DG132+(1-EXP(-LN(2)/25))/(LN(2)/25)*Calculateur!DB133*Calculateur!DD133*VLOOKUP('Données projet'!$B$13,Paramètres!$A$1:$I$89,3,0)*0.475*44/12</f>
        <v>1.8858092667834823</v>
      </c>
      <c r="DH133" s="21">
        <f>EXP(-LN(2)/2)*DH132+(1-EXP(-LN(2)/2))/(LN(2)/2)*DB133*DE133*VLOOKUP('Données projet'!$B$13,Paramètres!$A$1:$I$89,3,0)*0.475*44/12</f>
        <v>2.8885417054200994E-14</v>
      </c>
      <c r="DI133" s="22">
        <f t="shared" si="123"/>
        <v>2.5162368034416076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-4.5474735088646412E-13</v>
      </c>
      <c r="DP133" s="17">
        <f>DO133*VLOOKUP('Données projet'!$B$14,Paramètres!$A$1:$I$89,3,0)*VLOOKUP('Données projet'!$B$14,Paramètres!$A$1:$I$89,5,0)</f>
        <v>-2.7193891583010558E-13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247.30892363953825</v>
      </c>
      <c r="DU133" s="59">
        <f t="shared" ref="DU133:DU196" si="152">$DU$3</f>
        <v>248.38414731596578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0.8030789719906406</v>
      </c>
      <c r="EC133" s="21">
        <f>EXP(-LN(2)/2)*EC132+(1-EXP(-LN(2)/2))/(LN(2)/2)*DW133*DZ133*VLOOKUP('Données projet'!$B$14,Paramètres!$A$1:$I$89,3,0)*0.475*44/12</f>
        <v>2.1075905353224097E-14</v>
      </c>
      <c r="ED133" s="22">
        <f t="shared" si="126"/>
        <v>0.80307897199066169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-4.5474735088646412E-13</v>
      </c>
      <c r="EK133" s="17">
        <f>EJ133*VLOOKUP('Données projet'!$B$15,Paramètres!$A$1:$I$89,3,0)*VLOOKUP('Données projet'!$B$15,Paramètres!$A$1:$I$89,5,0)</f>
        <v>-2.7193891583010558E-13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247.30892363953825</v>
      </c>
      <c r="EP133" s="59">
        <f t="shared" ref="EP133:EP196" si="154">$EP$3</f>
        <v>248.38414731596578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0.8030789719906406</v>
      </c>
      <c r="EX133" s="21">
        <f>EXP(-LN(2)/2)*EX132+(1-EXP(-LN(2)/2))/(LN(2)/2)*ER133*EU133*VLOOKUP('Données projet'!$B$15,Paramètres!$A$1:$I$89,3,0)*0.475*44/12</f>
        <v>2.1075905353224097E-14</v>
      </c>
      <c r="EY133" s="22">
        <f t="shared" si="129"/>
        <v>0.80307897199066169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6.8212102632969618E-13</v>
      </c>
      <c r="FF133" s="17">
        <f>FE133*VLOOKUP('Données projet'!$B$16,Paramètres!$A$1:$I$89,3,0)*VLOOKUP('Données projet'!$B$16,Paramètres!$A$1:$I$89,5,0)</f>
        <v>3.2810021366458383E-13</v>
      </c>
      <c r="FG133" s="13">
        <f t="shared" ref="FG133:FG153" si="155">EXP(-1.0587+0.8836*LN(FF133)+0.284)</f>
        <v>4.2923528923937213E-12</v>
      </c>
      <c r="FH133" s="20">
        <f t="shared" si="130"/>
        <v>8.0472891597182151E-12</v>
      </c>
      <c r="FI133" s="59">
        <f t="shared" si="131"/>
        <v>293.33333333334139</v>
      </c>
      <c r="FJ133" s="59">
        <f ca="1">AVERAGE(OFFSET($FI$3,0,0,'Données projet'!$E$16+1,1))-AVERAGE(OFFSET($H$3,0,0,'Données projet'!$E$16+1,1))</f>
        <v>322.54393676667081</v>
      </c>
      <c r="FK133" s="59">
        <f t="shared" ref="FK133:FK196" si="156">$FK$3</f>
        <v>296.73904998640018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0.92993297766177629</v>
      </c>
      <c r="FR133" s="21">
        <f>EXP(-LN(2)/25)*FR132+(1-EXP(-LN(2)/25))/(LN(2)/25)*Calculateur!FM133*Calculateur!FO133*VLOOKUP('Données projet'!$B$16,Paramètres!$A$1:$I$89,3,0)*0.475*44/12</f>
        <v>0.83894599642953926</v>
      </c>
      <c r="FS133" s="21">
        <f>EXP(-LN(2)/2)*FS132+(1-EXP(-LN(2)/2))/(LN(2)/2)*FM133*FP133*VLOOKUP('Données projet'!$B$16,Paramètres!$A$1:$I$89,3,0)*0.475*44/12</f>
        <v>1.8574282936818807E-14</v>
      </c>
      <c r="FT133" s="22">
        <f t="shared" si="132"/>
        <v>1.7688789740913342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293.33333333333974</v>
      </c>
      <c r="S134" s="59">
        <f ca="1">AVERAGE(OFFSET($R$3,0,0,'Données projet'!$E$9+1,1))-AVERAGE(OFFSET($H$3,0,0,'Données projet'!$E$9+1,1))</f>
        <v>401.06118089678654</v>
      </c>
      <c r="T134" s="59">
        <f t="shared" si="142"/>
        <v>399.58193819355591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6.2527760746888816E-13</v>
      </c>
      <c r="AJ134" s="13">
        <f>AI134*VLOOKUP('Données projet'!$B$10,Paramètres!$A$1:$I$89,3,0)*VLOOKUP('Données projet'!$B$10,Paramètres!$A$1:$I$89,5,0)</f>
        <v>3.9017322706058616E-13</v>
      </c>
      <c r="AK134" s="13">
        <f t="shared" si="143"/>
        <v>5.0025007393608908E-12</v>
      </c>
      <c r="AL134" s="20">
        <f t="shared" si="112"/>
        <v>9.3922404915174053E-12</v>
      </c>
      <c r="AM134" s="59">
        <f t="shared" si="113"/>
        <v>293.33333333334269</v>
      </c>
      <c r="AN134" s="59">
        <f ca="1">AVERAGE(OFFSET($AM$3,0,0,'Données projet'!$E$10+1,1))-AVERAGE(OFFSET($H$3,0,0,'Données projet'!$E$10+1,1))</f>
        <v>240.30073883588199</v>
      </c>
      <c r="AO134" s="59">
        <f t="shared" si="144"/>
        <v>263.20351282678843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0.94081812003104182</v>
      </c>
      <c r="AV134" s="21">
        <f>EXP(-LN(2)/25)*AV133+(1-EXP(-LN(2)/25))/(LN(2)/25)*Calculateur!AQ134*Calculateur!AS134*VLOOKUP('Données projet'!$B$10,Paramètres!$A$1:$I$89,3,0)*0.475*44/12</f>
        <v>1.2637163754920404</v>
      </c>
      <c r="AW134" s="21">
        <f>EXP(-LN(2)/2)*AW133+(1-EXP(-LN(2)/2))/(LN(2)/2)*AQ134*AT134*VLOOKUP('Données projet'!$B$10,Paramètres!$A$1:$I$89,3,0)*0.475*44/12</f>
        <v>1.2680578862823413E-14</v>
      </c>
      <c r="AX134" s="21">
        <f t="shared" si="114"/>
        <v>2.2045344955230952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-1.0936673788819462E-13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364.67510777943329</v>
      </c>
      <c r="BJ134" s="59">
        <f t="shared" si="146"/>
        <v>352.13878061387169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1.1966030464144821</v>
      </c>
      <c r="BQ134" s="21">
        <f>EXP(-LN(2)/25)*BQ133+(1-EXP(-LN(2)/25))/(LN(2)/25)*Calculateur!BL134*Calculateur!BN134*VLOOKUP('Données projet'!$B$11,Paramètres!$A$1:$I$89,3,0)*0.475*44/12</f>
        <v>1.0951634084554924</v>
      </c>
      <c r="BR134" s="21">
        <f>EXP(-LN(2)/2)*BR133+(1-EXP(-LN(2)/2))/(LN(2)/2)*BL134*BO134*VLOOKUP('Données projet'!$B$11,Paramètres!$A$1:$I$89,3,0)*0.475*44/12</f>
        <v>1.7254409580724124E-14</v>
      </c>
      <c r="BS134" s="22">
        <f t="shared" si="117"/>
        <v>2.2917664548699919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-5.3205440053716299E-14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252.98248842635206</v>
      </c>
      <c r="CE134" s="59">
        <f t="shared" si="148"/>
        <v>207.11938580878308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0.42412416857470842</v>
      </c>
      <c r="CL134" s="21">
        <f>EXP(-LN(2)/25)*CL133+(1-EXP(-LN(2)/25))/(LN(2)/25)*Calculateur!CG134*Calculateur!CI134*VLOOKUP('Données projet'!$B$12,Paramètres!$A$1:$I$89,3,0)*0.475*44/12</f>
        <v>0.47754101675827293</v>
      </c>
      <c r="CM134" s="21">
        <f>EXP(-LN(2)/2)*CM133+(1-EXP(-LN(2)/2))/(LN(2)/2)*CG134*CJ134*VLOOKUP('Données projet'!$B$12,Paramètres!$A$1:$I$89,3,0)*0.475*44/12</f>
        <v>6.1749704576642879E-15</v>
      </c>
      <c r="CN134" s="22">
        <f t="shared" si="120"/>
        <v>0.90166518533298756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-5.6843418860808015E-13</v>
      </c>
      <c r="CU134" s="17">
        <f>CT134*VLOOKUP('Données projet'!$B$13,Paramètres!$A$1:$I$89,3,0)*VLOOKUP('Données projet'!$B$13,Paramètres!$A$1:$I$89,5,0)</f>
        <v>-3.177547114319168E-13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356.67698551373468</v>
      </c>
      <c r="CZ134" s="59">
        <f t="shared" si="150"/>
        <v>353.21836615408171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0.61806523718705997</v>
      </c>
      <c r="DG134" s="21">
        <f>EXP(-LN(2)/25)*DG133+(1-EXP(-LN(2)/25))/(LN(2)/25)*Calculateur!DB134*Calculateur!DD134*VLOOKUP('Données projet'!$B$13,Paramètres!$A$1:$I$89,3,0)*0.475*44/12</f>
        <v>1.8342417132128888</v>
      </c>
      <c r="DH134" s="21">
        <f>EXP(-LN(2)/2)*DH133+(1-EXP(-LN(2)/2))/(LN(2)/2)*DB134*DE134*VLOOKUP('Données projet'!$B$13,Paramètres!$A$1:$I$89,3,0)*0.475*44/12</f>
        <v>2.042507427642707E-14</v>
      </c>
      <c r="DI134" s="22">
        <f t="shared" si="123"/>
        <v>2.452306950399969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-4.5474735088646412E-13</v>
      </c>
      <c r="DP134" s="17">
        <f>DO134*VLOOKUP('Données projet'!$B$14,Paramètres!$A$1:$I$89,3,0)*VLOOKUP('Données projet'!$B$14,Paramètres!$A$1:$I$89,5,0)</f>
        <v>-2.7193891583010558E-13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247.30892363953825</v>
      </c>
      <c r="DU134" s="59">
        <f t="shared" si="152"/>
        <v>248.38414731596578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0.78111873526946884</v>
      </c>
      <c r="EC134" s="21">
        <f>EXP(-LN(2)/2)*EC133+(1-EXP(-LN(2)/2))/(LN(2)/2)*DW134*DZ134*VLOOKUP('Données projet'!$B$14,Paramètres!$A$1:$I$89,3,0)*0.475*44/12</f>
        <v>1.4902915594910617E-14</v>
      </c>
      <c r="ED134" s="22">
        <f t="shared" si="126"/>
        <v>0.78111873526948372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-4.5474735088646412E-13</v>
      </c>
      <c r="EK134" s="17">
        <f>EJ134*VLOOKUP('Données projet'!$B$15,Paramètres!$A$1:$I$89,3,0)*VLOOKUP('Données projet'!$B$15,Paramètres!$A$1:$I$89,5,0)</f>
        <v>-2.7193891583010558E-13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247.30892363953825</v>
      </c>
      <c r="EP134" s="59">
        <f t="shared" si="154"/>
        <v>248.38414731596578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0.78111873526946884</v>
      </c>
      <c r="EX134" s="21">
        <f>EXP(-LN(2)/2)*EX133+(1-EXP(-LN(2)/2))/(LN(2)/2)*ER134*EU134*VLOOKUP('Données projet'!$B$15,Paramètres!$A$1:$I$89,3,0)*0.475*44/12</f>
        <v>1.4902915594910617E-14</v>
      </c>
      <c r="EY134" s="22">
        <f t="shared" si="129"/>
        <v>0.78111873526948372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6.8212102632969618E-13</v>
      </c>
      <c r="FF134" s="17">
        <f>FE134*VLOOKUP('Données projet'!$B$16,Paramètres!$A$1:$I$89,3,0)*VLOOKUP('Données projet'!$B$16,Paramètres!$A$1:$I$89,5,0)</f>
        <v>3.2810021366458383E-13</v>
      </c>
      <c r="FG134" s="13">
        <f t="shared" si="155"/>
        <v>4.2923528923937213E-12</v>
      </c>
      <c r="FH134" s="20">
        <f t="shared" si="130"/>
        <v>8.0472891597182151E-12</v>
      </c>
      <c r="FI134" s="59">
        <f t="shared" si="131"/>
        <v>293.33333333334139</v>
      </c>
      <c r="FJ134" s="59">
        <f ca="1">AVERAGE(OFFSET($FI$3,0,0,'Données projet'!$E$16+1,1))-AVERAGE(OFFSET($H$3,0,0,'Données projet'!$E$16+1,1))</f>
        <v>322.54393676667081</v>
      </c>
      <c r="FK134" s="59">
        <f t="shared" si="156"/>
        <v>296.73904998640018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0.9116975591729386</v>
      </c>
      <c r="FR134" s="21">
        <f>EXP(-LN(2)/25)*FR133+(1-EXP(-LN(2)/25))/(LN(2)/25)*Calculateur!FM134*Calculateur!FO134*VLOOKUP('Données projet'!$B$16,Paramètres!$A$1:$I$89,3,0)*0.475*44/12</f>
        <v>0.81600497403892103</v>
      </c>
      <c r="FS134" s="21">
        <f>EXP(-LN(2)/2)*FS133+(1-EXP(-LN(2)/2))/(LN(2)/2)*FM134*FP134*VLOOKUP('Données projet'!$B$16,Paramètres!$A$1:$I$89,3,0)*0.475*44/12</f>
        <v>1.313400142030216E-14</v>
      </c>
      <c r="FT134" s="22">
        <f t="shared" si="132"/>
        <v>1.7277025332118727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293.33333333333974</v>
      </c>
      <c r="S135" s="59">
        <f ca="1">AVERAGE(OFFSET($R$3,0,0,'Données projet'!$E$9+1,1))-AVERAGE(OFFSET($H$3,0,0,'Données projet'!$E$9+1,1))</f>
        <v>401.06118089678654</v>
      </c>
      <c r="T135" s="59">
        <f t="shared" si="142"/>
        <v>399.58193819355591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6.2527760746888816E-13</v>
      </c>
      <c r="AJ135" s="13">
        <f>AI135*VLOOKUP('Données projet'!$B$10,Paramètres!$A$1:$I$89,3,0)*VLOOKUP('Données projet'!$B$10,Paramètres!$A$1:$I$89,5,0)</f>
        <v>3.9017322706058616E-13</v>
      </c>
      <c r="AK135" s="13">
        <f t="shared" si="143"/>
        <v>5.0025007393608908E-12</v>
      </c>
      <c r="AL135" s="20">
        <f t="shared" si="112"/>
        <v>9.3922404915174053E-12</v>
      </c>
      <c r="AM135" s="59">
        <f t="shared" si="113"/>
        <v>293.33333333334269</v>
      </c>
      <c r="AN135" s="59">
        <f ca="1">AVERAGE(OFFSET($AM$3,0,0,'Données projet'!$E$10+1,1))-AVERAGE(OFFSET($H$3,0,0,'Données projet'!$E$10+1,1))</f>
        <v>240.30073883588199</v>
      </c>
      <c r="AO135" s="59">
        <f t="shared" si="144"/>
        <v>263.20351282678843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0.92236925053962404</v>
      </c>
      <c r="AV135" s="21">
        <f>EXP(-LN(2)/25)*AV134+(1-EXP(-LN(2)/25))/(LN(2)/25)*Calculateur!AQ135*Calculateur!AS135*VLOOKUP('Données projet'!$B$10,Paramètres!$A$1:$I$89,3,0)*0.475*44/12</f>
        <v>1.2291599847482546</v>
      </c>
      <c r="AW135" s="21">
        <f>EXP(-LN(2)/2)*AW134+(1-EXP(-LN(2)/2))/(LN(2)/2)*AQ135*AT135*VLOOKUP('Données projet'!$B$10,Paramètres!$A$1:$I$89,3,0)*0.475*44/12</f>
        <v>8.9665233032732346E-15</v>
      </c>
      <c r="AX135" s="21">
        <f t="shared" si="114"/>
        <v>2.1515292352878874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-1.0936673788819462E-13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364.67510777943329</v>
      </c>
      <c r="BJ135" s="59">
        <f t="shared" si="146"/>
        <v>352.13878061387169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1.1731383905300852</v>
      </c>
      <c r="BQ135" s="21">
        <f>EXP(-LN(2)/25)*BQ134+(1-EXP(-LN(2)/25))/(LN(2)/25)*Calculateur!BL135*Calculateur!BN135*VLOOKUP('Données projet'!$B$11,Paramètres!$A$1:$I$89,3,0)*0.475*44/12</f>
        <v>1.0652161074591364</v>
      </c>
      <c r="BR135" s="21">
        <f>EXP(-LN(2)/2)*BR134+(1-EXP(-LN(2)/2))/(LN(2)/2)*BL135*BO135*VLOOKUP('Données projet'!$B$11,Paramètres!$A$1:$I$89,3,0)*0.475*44/12</f>
        <v>1.2200710019900163E-14</v>
      </c>
      <c r="BS135" s="22">
        <f t="shared" si="117"/>
        <v>2.2383544979892336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-5.3205440053716299E-14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252.98248842635206</v>
      </c>
      <c r="CE135" s="59">
        <f t="shared" si="148"/>
        <v>207.11938580878308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0.41580735231915766</v>
      </c>
      <c r="CL135" s="21">
        <f>EXP(-LN(2)/25)*CL134+(1-EXP(-LN(2)/25))/(LN(2)/25)*Calculateur!CG135*Calculateur!CI135*VLOOKUP('Données projet'!$B$12,Paramètres!$A$1:$I$89,3,0)*0.475*44/12</f>
        <v>0.46448263254222732</v>
      </c>
      <c r="CM135" s="21">
        <f>EXP(-LN(2)/2)*CM134+(1-EXP(-LN(2)/2))/(LN(2)/2)*CG135*CJ135*VLOOKUP('Données projet'!$B$12,Paramètres!$A$1:$I$89,3,0)*0.475*44/12</f>
        <v>4.3663634842410168E-15</v>
      </c>
      <c r="CN135" s="22">
        <f t="shared" si="120"/>
        <v>0.88028998486138932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-5.6843418860808015E-13</v>
      </c>
      <c r="CU135" s="17">
        <f>CT135*VLOOKUP('Données projet'!$B$13,Paramètres!$A$1:$I$89,3,0)*VLOOKUP('Données projet'!$B$13,Paramètres!$A$1:$I$89,5,0)</f>
        <v>-3.177547114319168E-13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356.67698551373468</v>
      </c>
      <c r="CZ135" s="59">
        <f t="shared" si="150"/>
        <v>353.21836615408171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0.60594535486839252</v>
      </c>
      <c r="DG135" s="21">
        <f>EXP(-LN(2)/25)*DG134+(1-EXP(-LN(2)/25))/(LN(2)/25)*Calculateur!DB135*Calculateur!DD135*VLOOKUP('Données projet'!$B$13,Paramètres!$A$1:$I$89,3,0)*0.475*44/12</f>
        <v>1.7840842771065029</v>
      </c>
      <c r="DH135" s="21">
        <f>EXP(-LN(2)/2)*DH134+(1-EXP(-LN(2)/2))/(LN(2)/2)*DB135*DE135*VLOOKUP('Données projet'!$B$13,Paramètres!$A$1:$I$89,3,0)*0.475*44/12</f>
        <v>1.4442708527100497E-14</v>
      </c>
      <c r="DI135" s="22">
        <f t="shared" si="123"/>
        <v>2.3900296319749099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-4.5474735088646412E-13</v>
      </c>
      <c r="DP135" s="17">
        <f>DO135*VLOOKUP('Données projet'!$B$14,Paramètres!$A$1:$I$89,3,0)*VLOOKUP('Données projet'!$B$14,Paramètres!$A$1:$I$89,5,0)</f>
        <v>-2.7193891583010558E-13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247.30892363953825</v>
      </c>
      <c r="DU135" s="59">
        <f t="shared" si="152"/>
        <v>248.38414731596578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0.75975900237627625</v>
      </c>
      <c r="EC135" s="21">
        <f>EXP(-LN(2)/2)*EC134+(1-EXP(-LN(2)/2))/(LN(2)/2)*DW135*DZ135*VLOOKUP('Données projet'!$B$14,Paramètres!$A$1:$I$89,3,0)*0.475*44/12</f>
        <v>1.0537952676612049E-14</v>
      </c>
      <c r="ED135" s="22">
        <f t="shared" si="126"/>
        <v>0.7597590023762868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-4.5474735088646412E-13</v>
      </c>
      <c r="EK135" s="17">
        <f>EJ135*VLOOKUP('Données projet'!$B$15,Paramètres!$A$1:$I$89,3,0)*VLOOKUP('Données projet'!$B$15,Paramètres!$A$1:$I$89,5,0)</f>
        <v>-2.7193891583010558E-13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247.30892363953825</v>
      </c>
      <c r="EP135" s="59">
        <f t="shared" si="154"/>
        <v>248.38414731596578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0.75975900237627625</v>
      </c>
      <c r="EX135" s="21">
        <f>EXP(-LN(2)/2)*EX134+(1-EXP(-LN(2)/2))/(LN(2)/2)*ER135*EU135*VLOOKUP('Données projet'!$B$15,Paramètres!$A$1:$I$89,3,0)*0.475*44/12</f>
        <v>1.0537952676612049E-14</v>
      </c>
      <c r="EY135" s="22">
        <f t="shared" si="129"/>
        <v>0.7597590023762868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6.8212102632969618E-13</v>
      </c>
      <c r="FF135" s="17">
        <f>FE135*VLOOKUP('Données projet'!$B$16,Paramètres!$A$1:$I$89,3,0)*VLOOKUP('Données projet'!$B$16,Paramètres!$A$1:$I$89,5,0)</f>
        <v>3.2810021366458383E-13</v>
      </c>
      <c r="FG135" s="13">
        <f t="shared" si="155"/>
        <v>4.2923528923937213E-12</v>
      </c>
      <c r="FH135" s="20">
        <f t="shared" si="130"/>
        <v>8.0472891597182151E-12</v>
      </c>
      <c r="FI135" s="59">
        <f t="shared" si="131"/>
        <v>293.33333333334139</v>
      </c>
      <c r="FJ135" s="59">
        <f ca="1">AVERAGE(OFFSET($FI$3,0,0,'Données projet'!$E$16+1,1))-AVERAGE(OFFSET($H$3,0,0,'Données projet'!$E$16+1,1))</f>
        <v>322.54393676667081</v>
      </c>
      <c r="FK135" s="59">
        <f t="shared" si="156"/>
        <v>296.73904998640018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0.89381972611815996</v>
      </c>
      <c r="FR135" s="21">
        <f>EXP(-LN(2)/25)*FR134+(1-EXP(-LN(2)/25))/(LN(2)/25)*Calculateur!FM135*Calculateur!FO135*VLOOKUP('Données projet'!$B$16,Paramètres!$A$1:$I$89,3,0)*0.475*44/12</f>
        <v>0.79369127511199011</v>
      </c>
      <c r="FS135" s="21">
        <f>EXP(-LN(2)/2)*FS134+(1-EXP(-LN(2)/2))/(LN(2)/2)*FM135*FP135*VLOOKUP('Données projet'!$B$16,Paramètres!$A$1:$I$89,3,0)*0.475*44/12</f>
        <v>9.2871414684094034E-15</v>
      </c>
      <c r="FT135" s="22">
        <f t="shared" si="132"/>
        <v>1.6875110012301593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293.33333333333974</v>
      </c>
      <c r="S136" s="59">
        <f ca="1">AVERAGE(OFFSET($R$3,0,0,'Données projet'!$E$9+1,1))-AVERAGE(OFFSET($H$3,0,0,'Données projet'!$E$9+1,1))</f>
        <v>401.06118089678654</v>
      </c>
      <c r="T136" s="59">
        <f t="shared" si="142"/>
        <v>399.58193819355591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6.2527760746888816E-13</v>
      </c>
      <c r="AJ136" s="13">
        <f>AI136*VLOOKUP('Données projet'!$B$10,Paramètres!$A$1:$I$89,3,0)*VLOOKUP('Données projet'!$B$10,Paramètres!$A$1:$I$89,5,0)</f>
        <v>3.9017322706058616E-13</v>
      </c>
      <c r="AK136" s="13">
        <f t="shared" si="143"/>
        <v>5.0025007393608908E-12</v>
      </c>
      <c r="AL136" s="20">
        <f t="shared" si="112"/>
        <v>9.3922404915174053E-12</v>
      </c>
      <c r="AM136" s="59">
        <f t="shared" si="113"/>
        <v>293.33333333334269</v>
      </c>
      <c r="AN136" s="59">
        <f ca="1">AVERAGE(OFFSET($AM$3,0,0,'Données projet'!$E$10+1,1))-AVERAGE(OFFSET($H$3,0,0,'Données projet'!$E$10+1,1))</f>
        <v>240.30073883588199</v>
      </c>
      <c r="AO136" s="59">
        <f t="shared" si="144"/>
        <v>263.20351282678843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0.90428215212623375</v>
      </c>
      <c r="AV136" s="21">
        <f>EXP(-LN(2)/25)*AV135+(1-EXP(-LN(2)/25))/(LN(2)/25)*Calculateur!AQ136*Calculateur!AS136*VLOOKUP('Données projet'!$B$10,Paramètres!$A$1:$I$89,3,0)*0.475*44/12</f>
        <v>1.1955485403265993</v>
      </c>
      <c r="AW136" s="21">
        <f>EXP(-LN(2)/2)*AW135+(1-EXP(-LN(2)/2))/(LN(2)/2)*AQ136*AT136*VLOOKUP('Données projet'!$B$10,Paramètres!$A$1:$I$89,3,0)*0.475*44/12</f>
        <v>6.3402894314117065E-15</v>
      </c>
      <c r="AX136" s="21">
        <f t="shared" si="114"/>
        <v>2.0998306924528394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-1.0936673788819462E-13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364.67510777943329</v>
      </c>
      <c r="BJ136" s="59">
        <f t="shared" si="146"/>
        <v>352.13878061387169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1.1501338622355544</v>
      </c>
      <c r="BQ136" s="21">
        <f>EXP(-LN(2)/25)*BQ135+(1-EXP(-LN(2)/25))/(LN(2)/25)*Calculateur!BL136*Calculateur!BN136*VLOOKUP('Données projet'!$B$11,Paramètres!$A$1:$I$89,3,0)*0.475*44/12</f>
        <v>1.0360877169833858</v>
      </c>
      <c r="BR136" s="21">
        <f>EXP(-LN(2)/2)*BR135+(1-EXP(-LN(2)/2))/(LN(2)/2)*BL136*BO136*VLOOKUP('Données projet'!$B$11,Paramètres!$A$1:$I$89,3,0)*0.475*44/12</f>
        <v>8.6272047903620621E-15</v>
      </c>
      <c r="BS136" s="22">
        <f t="shared" si="117"/>
        <v>2.1862215792189486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-5.3205440053716299E-14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252.98248842635206</v>
      </c>
      <c r="CE136" s="59">
        <f t="shared" si="148"/>
        <v>207.11938580878308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0.40765362375762126</v>
      </c>
      <c r="CL136" s="21">
        <f>EXP(-LN(2)/25)*CL135+(1-EXP(-LN(2)/25))/(LN(2)/25)*Calculateur!CG136*Calculateur!CI136*VLOOKUP('Données projet'!$B$12,Paramètres!$A$1:$I$89,3,0)*0.475*44/12</f>
        <v>0.45178133052928005</v>
      </c>
      <c r="CM136" s="21">
        <f>EXP(-LN(2)/2)*CM135+(1-EXP(-LN(2)/2))/(LN(2)/2)*CG136*CJ136*VLOOKUP('Données projet'!$B$12,Paramètres!$A$1:$I$89,3,0)*0.475*44/12</f>
        <v>3.087485228832144E-15</v>
      </c>
      <c r="CN136" s="22">
        <f t="shared" si="120"/>
        <v>0.85943495428690442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-5.6843418860808015E-13</v>
      </c>
      <c r="CU136" s="17">
        <f>CT136*VLOOKUP('Données projet'!$B$13,Paramètres!$A$1:$I$89,3,0)*VLOOKUP('Données projet'!$B$13,Paramètres!$A$1:$I$89,5,0)</f>
        <v>-3.177547114319168E-13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356.67698551373468</v>
      </c>
      <c r="CZ136" s="59">
        <f t="shared" si="150"/>
        <v>353.21836615408171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0.59406313604959582</v>
      </c>
      <c r="DG136" s="21">
        <f>EXP(-LN(2)/25)*DG135+(1-EXP(-LN(2)/25))/(LN(2)/25)*Calculateur!DB136*Calculateur!DD136*VLOOKUP('Données projet'!$B$13,Paramètres!$A$1:$I$89,3,0)*0.475*44/12</f>
        <v>1.735298398728111</v>
      </c>
      <c r="DH136" s="21">
        <f>EXP(-LN(2)/2)*DH135+(1-EXP(-LN(2)/2))/(LN(2)/2)*DB136*DE136*VLOOKUP('Données projet'!$B$13,Paramètres!$A$1:$I$89,3,0)*0.475*44/12</f>
        <v>1.0212537138213535E-14</v>
      </c>
      <c r="DI136" s="22">
        <f t="shared" si="123"/>
        <v>2.3293615347777172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-4.5474735088646412E-13</v>
      </c>
      <c r="DP136" s="17">
        <f>DO136*VLOOKUP('Données projet'!$B$14,Paramètres!$A$1:$I$89,3,0)*VLOOKUP('Données projet'!$B$14,Paramètres!$A$1:$I$89,5,0)</f>
        <v>-2.7193891583010558E-13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247.30892363953825</v>
      </c>
      <c r="DU136" s="59">
        <f t="shared" si="152"/>
        <v>248.38414731596578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0.73898335250230751</v>
      </c>
      <c r="EC136" s="21">
        <f>EXP(-LN(2)/2)*EC135+(1-EXP(-LN(2)/2))/(LN(2)/2)*DW136*DZ136*VLOOKUP('Données projet'!$B$14,Paramètres!$A$1:$I$89,3,0)*0.475*44/12</f>
        <v>7.4514577974553085E-15</v>
      </c>
      <c r="ED136" s="22">
        <f t="shared" si="126"/>
        <v>0.73898335250231495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-4.5474735088646412E-13</v>
      </c>
      <c r="EK136" s="17">
        <f>EJ136*VLOOKUP('Données projet'!$B$15,Paramètres!$A$1:$I$89,3,0)*VLOOKUP('Données projet'!$B$15,Paramètres!$A$1:$I$89,5,0)</f>
        <v>-2.7193891583010558E-13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247.30892363953825</v>
      </c>
      <c r="EP136" s="59">
        <f t="shared" si="154"/>
        <v>248.38414731596578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0.73898335250230751</v>
      </c>
      <c r="EX136" s="21">
        <f>EXP(-LN(2)/2)*EX135+(1-EXP(-LN(2)/2))/(LN(2)/2)*ER136*EU136*VLOOKUP('Données projet'!$B$15,Paramètres!$A$1:$I$89,3,0)*0.475*44/12</f>
        <v>7.4514577974553085E-15</v>
      </c>
      <c r="EY136" s="22">
        <f t="shared" si="129"/>
        <v>0.73898335250231495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6.8212102632969618E-13</v>
      </c>
      <c r="FF136" s="17">
        <f>FE136*VLOOKUP('Données projet'!$B$16,Paramètres!$A$1:$I$89,3,0)*VLOOKUP('Données projet'!$B$16,Paramètres!$A$1:$I$89,5,0)</f>
        <v>3.2810021366458383E-13</v>
      </c>
      <c r="FG136" s="13">
        <f t="shared" si="155"/>
        <v>4.2923528923937213E-12</v>
      </c>
      <c r="FH136" s="20">
        <f t="shared" si="130"/>
        <v>8.0472891597182151E-12</v>
      </c>
      <c r="FI136" s="59">
        <f t="shared" si="131"/>
        <v>293.33333333334139</v>
      </c>
      <c r="FJ136" s="59">
        <f ca="1">AVERAGE(OFFSET($FI$3,0,0,'Données projet'!$E$16+1,1))-AVERAGE(OFFSET($H$3,0,0,'Données projet'!$E$16+1,1))</f>
        <v>322.54393676667081</v>
      </c>
      <c r="FK136" s="59">
        <f t="shared" si="156"/>
        <v>296.73904998640018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0.87629246646518411</v>
      </c>
      <c r="FR136" s="21">
        <f>EXP(-LN(2)/25)*FR135+(1-EXP(-LN(2)/25))/(LN(2)/25)*Calculateur!FM136*Calculateur!FO136*VLOOKUP('Données projet'!$B$16,Paramètres!$A$1:$I$89,3,0)*0.475*44/12</f>
        <v>0.77198774545564264</v>
      </c>
      <c r="FS136" s="21">
        <f>EXP(-LN(2)/2)*FS135+(1-EXP(-LN(2)/2))/(LN(2)/2)*FM136*FP136*VLOOKUP('Données projet'!$B$16,Paramètres!$A$1:$I$89,3,0)*0.475*44/12</f>
        <v>6.5670007101510798E-15</v>
      </c>
      <c r="FT136" s="22">
        <f t="shared" si="132"/>
        <v>1.6482802119208335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293.33333333333974</v>
      </c>
      <c r="S137" s="59">
        <f ca="1">AVERAGE(OFFSET($R$3,0,0,'Données projet'!$E$9+1,1))-AVERAGE(OFFSET($H$3,0,0,'Données projet'!$E$9+1,1))</f>
        <v>401.06118089678654</v>
      </c>
      <c r="T137" s="59">
        <f t="shared" si="142"/>
        <v>399.58193819355591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6.2527760746888816E-13</v>
      </c>
      <c r="AJ137" s="13">
        <f>AI137*VLOOKUP('Données projet'!$B$10,Paramètres!$A$1:$I$89,3,0)*VLOOKUP('Données projet'!$B$10,Paramètres!$A$1:$I$89,5,0)</f>
        <v>3.9017322706058616E-13</v>
      </c>
      <c r="AK137" s="13">
        <f t="shared" si="143"/>
        <v>5.0025007393608908E-12</v>
      </c>
      <c r="AL137" s="20">
        <f t="shared" si="112"/>
        <v>9.3922404915174053E-12</v>
      </c>
      <c r="AM137" s="59">
        <f t="shared" si="113"/>
        <v>293.33333333334269</v>
      </c>
      <c r="AN137" s="59">
        <f ca="1">AVERAGE(OFFSET($AM$3,0,0,'Données projet'!$E$10+1,1))-AVERAGE(OFFSET($H$3,0,0,'Données projet'!$E$10+1,1))</f>
        <v>240.30073883588199</v>
      </c>
      <c r="AO137" s="59">
        <f t="shared" si="144"/>
        <v>263.20351282678843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0.88654973068068932</v>
      </c>
      <c r="AV137" s="21">
        <f>EXP(-LN(2)/25)*AV136+(1-EXP(-LN(2)/25))/(LN(2)/25)*Calculateur!AQ137*Calculateur!AS137*VLOOKUP('Données projet'!$B$10,Paramètres!$A$1:$I$89,3,0)*0.475*44/12</f>
        <v>1.1628562026202032</v>
      </c>
      <c r="AW137" s="21">
        <f>EXP(-LN(2)/2)*AW136+(1-EXP(-LN(2)/2))/(LN(2)/2)*AQ137*AT137*VLOOKUP('Données projet'!$B$10,Paramètres!$A$1:$I$89,3,0)*0.475*44/12</f>
        <v>4.4832616516366173E-15</v>
      </c>
      <c r="AX137" s="21">
        <f t="shared" si="114"/>
        <v>2.0494059333008972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-1.0936673788819462E-13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364.67510777943329</v>
      </c>
      <c r="BJ137" s="59">
        <f t="shared" si="146"/>
        <v>352.13878061387169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1.1275804387095025</v>
      </c>
      <c r="BQ137" s="21">
        <f>EXP(-LN(2)/25)*BQ136+(1-EXP(-LN(2)/25))/(LN(2)/25)*Calculateur!BL137*Calculateur!BN137*VLOOKUP('Données projet'!$B$11,Paramètres!$A$1:$I$89,3,0)*0.475*44/12</f>
        <v>1.00775584387699</v>
      </c>
      <c r="BR137" s="21">
        <f>EXP(-LN(2)/2)*BR136+(1-EXP(-LN(2)/2))/(LN(2)/2)*BL137*BO137*VLOOKUP('Données projet'!$B$11,Paramètres!$A$1:$I$89,3,0)*0.475*44/12</f>
        <v>6.1003550099500814E-15</v>
      </c>
      <c r="BS137" s="22">
        <f t="shared" si="117"/>
        <v>2.1353362825864988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-5.3205440053716299E-14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252.98248842635206</v>
      </c>
      <c r="CE137" s="59">
        <f t="shared" si="148"/>
        <v>207.11938580878308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0.39965978483989323</v>
      </c>
      <c r="CL137" s="21">
        <f>EXP(-LN(2)/25)*CL136+(1-EXP(-LN(2)/25))/(LN(2)/25)*Calculateur!CG137*Calculateur!CI137*VLOOKUP('Données projet'!$B$12,Paramètres!$A$1:$I$89,3,0)*0.475*44/12</f>
        <v>0.43942734628780927</v>
      </c>
      <c r="CM137" s="21">
        <f>EXP(-LN(2)/2)*CM136+(1-EXP(-LN(2)/2))/(LN(2)/2)*CG137*CJ137*VLOOKUP('Données projet'!$B$12,Paramètres!$A$1:$I$89,3,0)*0.475*44/12</f>
        <v>2.1831817421205084E-15</v>
      </c>
      <c r="CN137" s="22">
        <f t="shared" si="120"/>
        <v>0.83908713112770472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-5.6843418860808015E-13</v>
      </c>
      <c r="CU137" s="17">
        <f>CT137*VLOOKUP('Données projet'!$B$13,Paramètres!$A$1:$I$89,3,0)*VLOOKUP('Données projet'!$B$13,Paramètres!$A$1:$I$89,5,0)</f>
        <v>-3.177547114319168E-13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356.67698551373468</v>
      </c>
      <c r="CZ137" s="59">
        <f t="shared" si="150"/>
        <v>353.21836615408171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0.58241392029439787</v>
      </c>
      <c r="DG137" s="21">
        <f>EXP(-LN(2)/25)*DG136+(1-EXP(-LN(2)/25))/(LN(2)/25)*Calculateur!DB137*Calculateur!DD137*VLOOKUP('Données projet'!$B$13,Paramètres!$A$1:$I$89,3,0)*0.475*44/12</f>
        <v>1.687846572759514</v>
      </c>
      <c r="DH137" s="21">
        <f>EXP(-LN(2)/2)*DH136+(1-EXP(-LN(2)/2))/(LN(2)/2)*DB137*DE137*VLOOKUP('Données projet'!$B$13,Paramètres!$A$1:$I$89,3,0)*0.475*44/12</f>
        <v>7.2213542635502485E-15</v>
      </c>
      <c r="DI137" s="22">
        <f t="shared" si="123"/>
        <v>2.270260493053919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-4.5474735088646412E-13</v>
      </c>
      <c r="DP137" s="17">
        <f>DO137*VLOOKUP('Données projet'!$B$14,Paramètres!$A$1:$I$89,3,0)*VLOOKUP('Données projet'!$B$14,Paramètres!$A$1:$I$89,5,0)</f>
        <v>-2.7193891583010558E-13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247.30892363953825</v>
      </c>
      <c r="DU137" s="59">
        <f t="shared" si="152"/>
        <v>248.38414731596578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0.71877581386668632</v>
      </c>
      <c r="EC137" s="21">
        <f>EXP(-LN(2)/2)*EC136+(1-EXP(-LN(2)/2))/(LN(2)/2)*DW137*DZ137*VLOOKUP('Données projet'!$B$14,Paramètres!$A$1:$I$89,3,0)*0.475*44/12</f>
        <v>5.2689763383060243E-15</v>
      </c>
      <c r="ED137" s="22">
        <f t="shared" si="126"/>
        <v>0.71877581386669154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-4.5474735088646412E-13</v>
      </c>
      <c r="EK137" s="17">
        <f>EJ137*VLOOKUP('Données projet'!$B$15,Paramètres!$A$1:$I$89,3,0)*VLOOKUP('Données projet'!$B$15,Paramètres!$A$1:$I$89,5,0)</f>
        <v>-2.7193891583010558E-13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247.30892363953825</v>
      </c>
      <c r="EP137" s="59">
        <f t="shared" si="154"/>
        <v>248.38414731596578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0.71877581386668632</v>
      </c>
      <c r="EX137" s="21">
        <f>EXP(-LN(2)/2)*EX136+(1-EXP(-LN(2)/2))/(LN(2)/2)*ER137*EU137*VLOOKUP('Données projet'!$B$15,Paramètres!$A$1:$I$89,3,0)*0.475*44/12</f>
        <v>5.2689763383060243E-15</v>
      </c>
      <c r="EY137" s="22">
        <f t="shared" si="129"/>
        <v>0.71877581386669154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6.8212102632969618E-13</v>
      </c>
      <c r="FF137" s="17">
        <f>FE137*VLOOKUP('Données projet'!$B$16,Paramètres!$A$1:$I$89,3,0)*VLOOKUP('Données projet'!$B$16,Paramètres!$A$1:$I$89,5,0)</f>
        <v>3.2810021366458383E-13</v>
      </c>
      <c r="FG137" s="13">
        <f t="shared" si="155"/>
        <v>4.2923528923937213E-12</v>
      </c>
      <c r="FH137" s="20">
        <f t="shared" si="130"/>
        <v>8.0472891597182151E-12</v>
      </c>
      <c r="FI137" s="59">
        <f t="shared" si="131"/>
        <v>293.33333333334139</v>
      </c>
      <c r="FJ137" s="59">
        <f ca="1">AVERAGE(OFFSET($FI$3,0,0,'Données projet'!$E$16+1,1))-AVERAGE(OFFSET($H$3,0,0,'Données projet'!$E$16+1,1))</f>
        <v>322.54393676667081</v>
      </c>
      <c r="FK137" s="59">
        <f t="shared" si="156"/>
        <v>296.73904998640018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0.85910890568343035</v>
      </c>
      <c r="FR137" s="21">
        <f>EXP(-LN(2)/25)*FR136+(1-EXP(-LN(2)/25))/(LN(2)/25)*Calculateur!FM137*Calculateur!FO137*VLOOKUP('Données projet'!$B$16,Paramètres!$A$1:$I$89,3,0)*0.475*44/12</f>
        <v>0.75087769995908693</v>
      </c>
      <c r="FS137" s="21">
        <f>EXP(-LN(2)/2)*FS136+(1-EXP(-LN(2)/2))/(LN(2)/2)*FM137*FP137*VLOOKUP('Données projet'!$B$16,Paramètres!$A$1:$I$89,3,0)*0.475*44/12</f>
        <v>4.6435707342047017E-15</v>
      </c>
      <c r="FT137" s="22">
        <f t="shared" si="132"/>
        <v>1.6099866056425218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293.33333333333974</v>
      </c>
      <c r="S138" s="59">
        <f ca="1">AVERAGE(OFFSET($R$3,0,0,'Données projet'!$E$9+1,1))-AVERAGE(OFFSET($H$3,0,0,'Données projet'!$E$9+1,1))</f>
        <v>401.06118089678654</v>
      </c>
      <c r="T138" s="59">
        <f t="shared" si="142"/>
        <v>399.58193819355591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6.2527760746888816E-13</v>
      </c>
      <c r="AJ138" s="13">
        <f>AI138*VLOOKUP('Données projet'!$B$10,Paramètres!$A$1:$I$89,3,0)*VLOOKUP('Données projet'!$B$10,Paramètres!$A$1:$I$89,5,0)</f>
        <v>3.9017322706058616E-13</v>
      </c>
      <c r="AK138" s="13">
        <f t="shared" si="143"/>
        <v>5.0025007393608908E-12</v>
      </c>
      <c r="AL138" s="20">
        <f t="shared" si="112"/>
        <v>9.3922404915174053E-12</v>
      </c>
      <c r="AM138" s="59">
        <f t="shared" si="113"/>
        <v>293.33333333334269</v>
      </c>
      <c r="AN138" s="59">
        <f ca="1">AVERAGE(OFFSET($AM$3,0,0,'Données projet'!$E$10+1,1))-AVERAGE(OFFSET($H$3,0,0,'Données projet'!$E$10+1,1))</f>
        <v>240.30073883588199</v>
      </c>
      <c r="AO138" s="59">
        <f t="shared" si="144"/>
        <v>263.20351282678843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0.86916503120398292</v>
      </c>
      <c r="AV138" s="21">
        <f>EXP(-LN(2)/25)*AV137+(1-EXP(-LN(2)/25))/(LN(2)/25)*Calculateur!AQ138*Calculateur!AS138*VLOOKUP('Données projet'!$B$10,Paramètres!$A$1:$I$89,3,0)*0.475*44/12</f>
        <v>1.1310578386076038</v>
      </c>
      <c r="AW138" s="21">
        <f>EXP(-LN(2)/2)*AW137+(1-EXP(-LN(2)/2))/(LN(2)/2)*AQ138*AT138*VLOOKUP('Données projet'!$B$10,Paramètres!$A$1:$I$89,3,0)*0.475*44/12</f>
        <v>3.1701447157058532E-15</v>
      </c>
      <c r="AX138" s="21">
        <f t="shared" si="114"/>
        <v>2.0002228698115898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-1.0936673788819462E-13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364.67510777943329</v>
      </c>
      <c r="BJ138" s="59">
        <f t="shared" si="146"/>
        <v>352.13878061387169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1.1054692740625665</v>
      </c>
      <c r="BQ138" s="21">
        <f>EXP(-LN(2)/25)*BQ137+(1-EXP(-LN(2)/25))/(LN(2)/25)*Calculateur!BL138*Calculateur!BN138*VLOOKUP('Données projet'!$B$11,Paramètres!$A$1:$I$89,3,0)*0.475*44/12</f>
        <v>0.98019870733059711</v>
      </c>
      <c r="BR138" s="21">
        <f>EXP(-LN(2)/2)*BR137+(1-EXP(-LN(2)/2))/(LN(2)/2)*BL138*BO138*VLOOKUP('Données projet'!$B$11,Paramètres!$A$1:$I$89,3,0)*0.475*44/12</f>
        <v>4.313602395181031E-15</v>
      </c>
      <c r="BS138" s="22">
        <f t="shared" si="117"/>
        <v>2.085667981393168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-5.3205440053716299E-14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252.98248842635206</v>
      </c>
      <c r="CE138" s="59">
        <f t="shared" si="148"/>
        <v>207.11938580878308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0.39182270022758153</v>
      </c>
      <c r="CL138" s="21">
        <f>EXP(-LN(2)/25)*CL137+(1-EXP(-LN(2)/25))/(LN(2)/25)*Calculateur!CG138*Calculateur!CI138*VLOOKUP('Données projet'!$B$12,Paramètres!$A$1:$I$89,3,0)*0.475*44/12</f>
        <v>0.4274111823950893</v>
      </c>
      <c r="CM138" s="21">
        <f>EXP(-LN(2)/2)*CM137+(1-EXP(-LN(2)/2))/(LN(2)/2)*CG138*CJ138*VLOOKUP('Données projet'!$B$12,Paramètres!$A$1:$I$89,3,0)*0.475*44/12</f>
        <v>1.543742614416072E-15</v>
      </c>
      <c r="CN138" s="22">
        <f t="shared" si="120"/>
        <v>0.81923388262267238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-5.6843418860808015E-13</v>
      </c>
      <c r="CU138" s="17">
        <f>CT138*VLOOKUP('Données projet'!$B$13,Paramètres!$A$1:$I$89,3,0)*VLOOKUP('Données projet'!$B$13,Paramètres!$A$1:$I$89,5,0)</f>
        <v>-3.177547114319168E-13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356.67698551373468</v>
      </c>
      <c r="CZ138" s="59">
        <f t="shared" si="150"/>
        <v>353.21836615408171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0.57099313855483935</v>
      </c>
      <c r="DG138" s="21">
        <f>EXP(-LN(2)/25)*DG137+(1-EXP(-LN(2)/25))/(LN(2)/25)*Calculateur!DB138*Calculateur!DD138*VLOOKUP('Données projet'!$B$13,Paramètres!$A$1:$I$89,3,0)*0.475*44/12</f>
        <v>1.6416923194674113</v>
      </c>
      <c r="DH138" s="21">
        <f>EXP(-LN(2)/2)*DH137+(1-EXP(-LN(2)/2))/(LN(2)/2)*DB138*DE138*VLOOKUP('Données projet'!$B$13,Paramètres!$A$1:$I$89,3,0)*0.475*44/12</f>
        <v>5.1062685691067676E-15</v>
      </c>
      <c r="DI138" s="22">
        <f t="shared" si="123"/>
        <v>2.2126854580222557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-4.5474735088646412E-13</v>
      </c>
      <c r="DP138" s="17">
        <f>DO138*VLOOKUP('Données projet'!$B$14,Paramètres!$A$1:$I$89,3,0)*VLOOKUP('Données projet'!$B$14,Paramètres!$A$1:$I$89,5,0)</f>
        <v>-2.7193891583010558E-13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247.30892363953825</v>
      </c>
      <c r="DU138" s="59">
        <f t="shared" si="152"/>
        <v>248.38414731596578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0.69912085143772451</v>
      </c>
      <c r="EC138" s="21">
        <f>EXP(-LN(2)/2)*EC137+(1-EXP(-LN(2)/2))/(LN(2)/2)*DW138*DZ138*VLOOKUP('Données projet'!$B$14,Paramètres!$A$1:$I$89,3,0)*0.475*44/12</f>
        <v>3.7257288987276542E-15</v>
      </c>
      <c r="ED138" s="22">
        <f t="shared" si="126"/>
        <v>0.69912085143772829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-4.5474735088646412E-13</v>
      </c>
      <c r="EK138" s="17">
        <f>EJ138*VLOOKUP('Données projet'!$B$15,Paramètres!$A$1:$I$89,3,0)*VLOOKUP('Données projet'!$B$15,Paramètres!$A$1:$I$89,5,0)</f>
        <v>-2.7193891583010558E-13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247.30892363953825</v>
      </c>
      <c r="EP138" s="59">
        <f t="shared" si="154"/>
        <v>248.38414731596578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0.69912085143772451</v>
      </c>
      <c r="EX138" s="21">
        <f>EXP(-LN(2)/2)*EX137+(1-EXP(-LN(2)/2))/(LN(2)/2)*ER138*EU138*VLOOKUP('Données projet'!$B$15,Paramètres!$A$1:$I$89,3,0)*0.475*44/12</f>
        <v>3.7257288987276542E-15</v>
      </c>
      <c r="EY138" s="22">
        <f t="shared" si="129"/>
        <v>0.69912085143772829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6.8212102632969618E-13</v>
      </c>
      <c r="FF138" s="17">
        <f>FE138*VLOOKUP('Données projet'!$B$16,Paramètres!$A$1:$I$89,3,0)*VLOOKUP('Données projet'!$B$16,Paramètres!$A$1:$I$89,5,0)</f>
        <v>3.2810021366458383E-13</v>
      </c>
      <c r="FG138" s="13">
        <f t="shared" si="155"/>
        <v>4.2923528923937213E-12</v>
      </c>
      <c r="FH138" s="20">
        <f t="shared" si="130"/>
        <v>8.0472891597182151E-12</v>
      </c>
      <c r="FI138" s="59">
        <f t="shared" si="131"/>
        <v>293.33333333334139</v>
      </c>
      <c r="FJ138" s="59">
        <f ca="1">AVERAGE(OFFSET($FI$3,0,0,'Données projet'!$E$16+1,1))-AVERAGE(OFFSET($H$3,0,0,'Données projet'!$E$16+1,1))</f>
        <v>322.54393676667081</v>
      </c>
      <c r="FK138" s="59">
        <f t="shared" si="156"/>
        <v>296.73904998640018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0.84226230404766955</v>
      </c>
      <c r="FR138" s="21">
        <f>EXP(-LN(2)/25)*FR137+(1-EXP(-LN(2)/25))/(LN(2)/25)*Calculateur!FM138*Calculateur!FO138*VLOOKUP('Données projet'!$B$16,Paramètres!$A$1:$I$89,3,0)*0.475*44/12</f>
        <v>0.73034490976676358</v>
      </c>
      <c r="FS138" s="21">
        <f>EXP(-LN(2)/2)*FS137+(1-EXP(-LN(2)/2))/(LN(2)/2)*FM138*FP138*VLOOKUP('Données projet'!$B$16,Paramètres!$A$1:$I$89,3,0)*0.475*44/12</f>
        <v>3.2835003550755399E-15</v>
      </c>
      <c r="FT138" s="22">
        <f t="shared" si="132"/>
        <v>1.5726072138144365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293.33333333333974</v>
      </c>
      <c r="S139" s="59">
        <f ca="1">AVERAGE(OFFSET($R$3,0,0,'Données projet'!$E$9+1,1))-AVERAGE(OFFSET($H$3,0,0,'Données projet'!$E$9+1,1))</f>
        <v>401.06118089678654</v>
      </c>
      <c r="T139" s="59">
        <f t="shared" si="142"/>
        <v>399.58193819355591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6.2527760746888816E-13</v>
      </c>
      <c r="AJ139" s="13">
        <f>AI139*VLOOKUP('Données projet'!$B$10,Paramètres!$A$1:$I$89,3,0)*VLOOKUP('Données projet'!$B$10,Paramètres!$A$1:$I$89,5,0)</f>
        <v>3.9017322706058616E-13</v>
      </c>
      <c r="AK139" s="13">
        <f t="shared" si="143"/>
        <v>5.0025007393608908E-12</v>
      </c>
      <c r="AL139" s="20">
        <f t="shared" si="112"/>
        <v>9.3922404915174053E-12</v>
      </c>
      <c r="AM139" s="59">
        <f t="shared" si="113"/>
        <v>293.33333333334269</v>
      </c>
      <c r="AN139" s="59">
        <f ca="1">AVERAGE(OFFSET($AM$3,0,0,'Données projet'!$E$10+1,1))-AVERAGE(OFFSET($H$3,0,0,'Données projet'!$E$10+1,1))</f>
        <v>240.30073883588199</v>
      </c>
      <c r="AO139" s="59">
        <f t="shared" si="144"/>
        <v>263.20351282678843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0.85212123508039506</v>
      </c>
      <c r="AV139" s="21">
        <f>EXP(-LN(2)/25)*AV138+(1-EXP(-LN(2)/25))/(LN(2)/25)*Calculateur!AQ139*Calculateur!AS139*VLOOKUP('Données projet'!$B$10,Paramètres!$A$1:$I$89,3,0)*0.475*44/12</f>
        <v>1.1001290025311321</v>
      </c>
      <c r="AW139" s="21">
        <f>EXP(-LN(2)/2)*AW138+(1-EXP(-LN(2)/2))/(LN(2)/2)*AQ139*AT139*VLOOKUP('Données projet'!$B$10,Paramètres!$A$1:$I$89,3,0)*0.475*44/12</f>
        <v>2.2416308258183086E-15</v>
      </c>
      <c r="AX139" s="21">
        <f t="shared" si="114"/>
        <v>1.9522502376115294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-1.0936673788819462E-13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364.67510777943329</v>
      </c>
      <c r="BJ139" s="59">
        <f t="shared" si="146"/>
        <v>352.13878061387169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1.0837916958678782</v>
      </c>
      <c r="BQ139" s="21">
        <f>EXP(-LN(2)/25)*BQ138+(1-EXP(-LN(2)/25))/(LN(2)/25)*Calculateur!BL139*Calculateur!BN139*VLOOKUP('Données projet'!$B$11,Paramètres!$A$1:$I$89,3,0)*0.475*44/12</f>
        <v>0.95339512213223221</v>
      </c>
      <c r="BR139" s="21">
        <f>EXP(-LN(2)/2)*BR138+(1-EXP(-LN(2)/2))/(LN(2)/2)*BL139*BO139*VLOOKUP('Données projet'!$B$11,Paramètres!$A$1:$I$89,3,0)*0.475*44/12</f>
        <v>3.0501775049750407E-15</v>
      </c>
      <c r="BS139" s="22">
        <f t="shared" si="117"/>
        <v>2.0371868180001136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-5.3205440053716299E-14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252.98248842635206</v>
      </c>
      <c r="CE139" s="59">
        <f t="shared" si="148"/>
        <v>207.11938580878308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0.38413929606436764</v>
      </c>
      <c r="CL139" s="21">
        <f>EXP(-LN(2)/25)*CL138+(1-EXP(-LN(2)/25))/(LN(2)/25)*Calculateur!CG139*Calculateur!CI139*VLOOKUP('Données projet'!$B$12,Paramètres!$A$1:$I$89,3,0)*0.475*44/12</f>
        <v>0.41572360113591833</v>
      </c>
      <c r="CM139" s="21">
        <f>EXP(-LN(2)/2)*CM138+(1-EXP(-LN(2)/2))/(LN(2)/2)*CG139*CJ139*VLOOKUP('Données projet'!$B$12,Paramètres!$A$1:$I$89,3,0)*0.475*44/12</f>
        <v>1.0915908710602542E-15</v>
      </c>
      <c r="CN139" s="22">
        <f t="shared" si="120"/>
        <v>0.79986289720028703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-5.6843418860808015E-13</v>
      </c>
      <c r="CU139" s="17">
        <f>CT139*VLOOKUP('Données projet'!$B$13,Paramètres!$A$1:$I$89,3,0)*VLOOKUP('Données projet'!$B$13,Paramètres!$A$1:$I$89,5,0)</f>
        <v>-3.177547114319168E-13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356.67698551373468</v>
      </c>
      <c r="CZ139" s="59">
        <f t="shared" si="150"/>
        <v>353.21836615408171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0.55979631137920449</v>
      </c>
      <c r="DG139" s="21">
        <f>EXP(-LN(2)/25)*DG138+(1-EXP(-LN(2)/25))/(LN(2)/25)*Calculateur!DB139*Calculateur!DD139*VLOOKUP('Données projet'!$B$13,Paramètres!$A$1:$I$89,3,0)*0.475*44/12</f>
        <v>1.596800156658728</v>
      </c>
      <c r="DH139" s="21">
        <f>EXP(-LN(2)/2)*DH138+(1-EXP(-LN(2)/2))/(LN(2)/2)*DB139*DE139*VLOOKUP('Données projet'!$B$13,Paramètres!$A$1:$I$89,3,0)*0.475*44/12</f>
        <v>3.6106771317751242E-15</v>
      </c>
      <c r="DI139" s="22">
        <f t="shared" si="123"/>
        <v>2.1565964680379359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-4.5474735088646412E-13</v>
      </c>
      <c r="DP139" s="17">
        <f>DO139*VLOOKUP('Données projet'!$B$14,Paramètres!$A$1:$I$89,3,0)*VLOOKUP('Données projet'!$B$14,Paramètres!$A$1:$I$89,5,0)</f>
        <v>-2.7193891583010558E-13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247.30892363953825</v>
      </c>
      <c r="DU139" s="59">
        <f t="shared" si="152"/>
        <v>248.38414731596578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0.6800033549899922</v>
      </c>
      <c r="EC139" s="21">
        <f>EXP(-LN(2)/2)*EC138+(1-EXP(-LN(2)/2))/(LN(2)/2)*DW139*DZ139*VLOOKUP('Données projet'!$B$14,Paramètres!$A$1:$I$89,3,0)*0.475*44/12</f>
        <v>2.6344881691530121E-15</v>
      </c>
      <c r="ED139" s="22">
        <f t="shared" si="126"/>
        <v>0.68000335498999487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-4.5474735088646412E-13</v>
      </c>
      <c r="EK139" s="17">
        <f>EJ139*VLOOKUP('Données projet'!$B$15,Paramètres!$A$1:$I$89,3,0)*VLOOKUP('Données projet'!$B$15,Paramètres!$A$1:$I$89,5,0)</f>
        <v>-2.7193891583010558E-13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247.30892363953825</v>
      </c>
      <c r="EP139" s="59">
        <f t="shared" si="154"/>
        <v>248.38414731596578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0.6800033549899922</v>
      </c>
      <c r="EX139" s="21">
        <f>EXP(-LN(2)/2)*EX138+(1-EXP(-LN(2)/2))/(LN(2)/2)*ER139*EU139*VLOOKUP('Données projet'!$B$15,Paramètres!$A$1:$I$89,3,0)*0.475*44/12</f>
        <v>2.6344881691530121E-15</v>
      </c>
      <c r="EY139" s="22">
        <f t="shared" si="129"/>
        <v>0.68000335498999487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6.8212102632969618E-13</v>
      </c>
      <c r="FF139" s="17">
        <f>FE139*VLOOKUP('Données projet'!$B$16,Paramètres!$A$1:$I$89,3,0)*VLOOKUP('Données projet'!$B$16,Paramètres!$A$1:$I$89,5,0)</f>
        <v>3.2810021366458383E-13</v>
      </c>
      <c r="FG139" s="13">
        <f t="shared" si="155"/>
        <v>4.2923528923937213E-12</v>
      </c>
      <c r="FH139" s="20">
        <f t="shared" si="130"/>
        <v>8.0472891597182151E-12</v>
      </c>
      <c r="FI139" s="59">
        <f t="shared" si="131"/>
        <v>293.33333333334139</v>
      </c>
      <c r="FJ139" s="59">
        <f ca="1">AVERAGE(OFFSET($FI$3,0,0,'Données projet'!$E$16+1,1))-AVERAGE(OFFSET($H$3,0,0,'Données projet'!$E$16+1,1))</f>
        <v>322.54393676667081</v>
      </c>
      <c r="FK139" s="59">
        <f t="shared" si="156"/>
        <v>296.73904998640018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0.82574605399457368</v>
      </c>
      <c r="FR139" s="21">
        <f>EXP(-LN(2)/25)*FR138+(1-EXP(-LN(2)/25))/(LN(2)/25)*Calculateur!FM139*Calculateur!FO139*VLOOKUP('Données projet'!$B$16,Paramètres!$A$1:$I$89,3,0)*0.475*44/12</f>
        <v>0.71037358980202181</v>
      </c>
      <c r="FS139" s="21">
        <f>EXP(-LN(2)/2)*FS138+(1-EXP(-LN(2)/2))/(LN(2)/2)*FM139*FP139*VLOOKUP('Données projet'!$B$16,Paramètres!$A$1:$I$89,3,0)*0.475*44/12</f>
        <v>2.3217853671023508E-15</v>
      </c>
      <c r="FT139" s="22">
        <f t="shared" si="132"/>
        <v>1.5361196437965976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293.33333333333974</v>
      </c>
      <c r="S140" s="59">
        <f ca="1">AVERAGE(OFFSET($R$3,0,0,'Données projet'!$E$9+1,1))-AVERAGE(OFFSET($H$3,0,0,'Données projet'!$E$9+1,1))</f>
        <v>401.06118089678654</v>
      </c>
      <c r="T140" s="59">
        <f t="shared" si="142"/>
        <v>399.58193819355591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6.2527760746888816E-13</v>
      </c>
      <c r="AJ140" s="13">
        <f>AI140*VLOOKUP('Données projet'!$B$10,Paramètres!$A$1:$I$89,3,0)*VLOOKUP('Données projet'!$B$10,Paramètres!$A$1:$I$89,5,0)</f>
        <v>3.9017322706058616E-13</v>
      </c>
      <c r="AK140" s="13">
        <f t="shared" si="143"/>
        <v>5.0025007393608908E-12</v>
      </c>
      <c r="AL140" s="20">
        <f t="shared" si="112"/>
        <v>9.3922404915174053E-12</v>
      </c>
      <c r="AM140" s="59">
        <f t="shared" si="113"/>
        <v>293.33333333334269</v>
      </c>
      <c r="AN140" s="59">
        <f ca="1">AVERAGE(OFFSET($AM$3,0,0,'Données projet'!$E$10+1,1))-AVERAGE(OFFSET($H$3,0,0,'Données projet'!$E$10+1,1))</f>
        <v>240.30073883588199</v>
      </c>
      <c r="AO140" s="59">
        <f t="shared" si="144"/>
        <v>263.20351282678843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0.83541165740310164</v>
      </c>
      <c r="AV140" s="21">
        <f>EXP(-LN(2)/25)*AV139+(1-EXP(-LN(2)/25))/(LN(2)/25)*Calculateur!AQ140*Calculateur!AS140*VLOOKUP('Données projet'!$B$10,Paramètres!$A$1:$I$89,3,0)*0.475*44/12</f>
        <v>1.0700459171036485</v>
      </c>
      <c r="AW140" s="21">
        <f>EXP(-LN(2)/2)*AW139+(1-EXP(-LN(2)/2))/(LN(2)/2)*AQ140*AT140*VLOOKUP('Données projet'!$B$10,Paramètres!$A$1:$I$89,3,0)*0.475*44/12</f>
        <v>1.5850723578529266E-15</v>
      </c>
      <c r="AX140" s="21">
        <f t="shared" si="114"/>
        <v>1.9054575745067517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-1.0936673788819462E-13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364.67510777943329</v>
      </c>
      <c r="BJ140" s="59">
        <f t="shared" si="146"/>
        <v>352.13878061387169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1.0625392017595705</v>
      </c>
      <c r="BQ140" s="21">
        <f>EXP(-LN(2)/25)*BQ139+(1-EXP(-LN(2)/25))/(LN(2)/25)*Calculateur!BL140*Calculateur!BN140*VLOOKUP('Données projet'!$B$11,Paramètres!$A$1:$I$89,3,0)*0.475*44/12</f>
        <v>0.9273244823806559</v>
      </c>
      <c r="BR140" s="21">
        <f>EXP(-LN(2)/2)*BR139+(1-EXP(-LN(2)/2))/(LN(2)/2)*BL140*BO140*VLOOKUP('Données projet'!$B$11,Paramètres!$A$1:$I$89,3,0)*0.475*44/12</f>
        <v>2.1568011975905155E-15</v>
      </c>
      <c r="BS140" s="22">
        <f t="shared" si="117"/>
        <v>1.9898636841402286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-5.3205440053716299E-14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252.98248842635206</v>
      </c>
      <c r="CE140" s="59">
        <f t="shared" si="148"/>
        <v>207.11938580878308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0.37660655877038063</v>
      </c>
      <c r="CL140" s="21">
        <f>EXP(-LN(2)/25)*CL139+(1-EXP(-LN(2)/25))/(LN(2)/25)*Calculateur!CG140*Calculateur!CI140*VLOOKUP('Données projet'!$B$12,Paramètres!$A$1:$I$89,3,0)*0.475*44/12</f>
        <v>0.40435561740090259</v>
      </c>
      <c r="CM140" s="21">
        <f>EXP(-LN(2)/2)*CM139+(1-EXP(-LN(2)/2))/(LN(2)/2)*CG140*CJ140*VLOOKUP('Données projet'!$B$12,Paramètres!$A$1:$I$89,3,0)*0.475*44/12</f>
        <v>7.7187130720803599E-16</v>
      </c>
      <c r="CN140" s="22">
        <f t="shared" si="120"/>
        <v>0.78096217617128405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-5.6843418860808015E-13</v>
      </c>
      <c r="CU140" s="17">
        <f>CT140*VLOOKUP('Données projet'!$B$13,Paramètres!$A$1:$I$89,3,0)*VLOOKUP('Données projet'!$B$13,Paramètres!$A$1:$I$89,5,0)</f>
        <v>-3.177547114319168E-13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356.67698551373468</v>
      </c>
      <c r="CZ140" s="59">
        <f t="shared" si="150"/>
        <v>353.21836615408171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0.54881904715509366</v>
      </c>
      <c r="DG140" s="21">
        <f>EXP(-LN(2)/25)*DG139+(1-EXP(-LN(2)/25))/(LN(2)/25)*Calculateur!DB140*Calculateur!DD140*VLOOKUP('Données projet'!$B$13,Paramètres!$A$1:$I$89,3,0)*0.475*44/12</f>
        <v>1.5531355724028244</v>
      </c>
      <c r="DH140" s="21">
        <f>EXP(-LN(2)/2)*DH139+(1-EXP(-LN(2)/2))/(LN(2)/2)*DB140*DE140*VLOOKUP('Données projet'!$B$13,Paramètres!$A$1:$I$89,3,0)*0.475*44/12</f>
        <v>2.5531342845533838E-15</v>
      </c>
      <c r="DI140" s="22">
        <f t="shared" si="123"/>
        <v>2.1019546195579206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-4.5474735088646412E-13</v>
      </c>
      <c r="DP140" s="17">
        <f>DO140*VLOOKUP('Données projet'!$B$14,Paramètres!$A$1:$I$89,3,0)*VLOOKUP('Données projet'!$B$14,Paramètres!$A$1:$I$89,5,0)</f>
        <v>-2.7193891583010558E-13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247.30892363953825</v>
      </c>
      <c r="DU140" s="59">
        <f t="shared" si="152"/>
        <v>248.38414731596578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0.66140862748796858</v>
      </c>
      <c r="EC140" s="21">
        <f>EXP(-LN(2)/2)*EC139+(1-EXP(-LN(2)/2))/(LN(2)/2)*DW140*DZ140*VLOOKUP('Données projet'!$B$14,Paramètres!$A$1:$I$89,3,0)*0.475*44/12</f>
        <v>1.8628644493638271E-15</v>
      </c>
      <c r="ED140" s="22">
        <f t="shared" si="126"/>
        <v>0.66140862748797047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-4.5474735088646412E-13</v>
      </c>
      <c r="EK140" s="17">
        <f>EJ140*VLOOKUP('Données projet'!$B$15,Paramètres!$A$1:$I$89,3,0)*VLOOKUP('Données projet'!$B$15,Paramètres!$A$1:$I$89,5,0)</f>
        <v>-2.7193891583010558E-13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247.30892363953825</v>
      </c>
      <c r="EP140" s="59">
        <f t="shared" si="154"/>
        <v>248.38414731596578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0.66140862748796858</v>
      </c>
      <c r="EX140" s="21">
        <f>EXP(-LN(2)/2)*EX139+(1-EXP(-LN(2)/2))/(LN(2)/2)*ER140*EU140*VLOOKUP('Données projet'!$B$15,Paramètres!$A$1:$I$89,3,0)*0.475*44/12</f>
        <v>1.8628644493638271E-15</v>
      </c>
      <c r="EY140" s="22">
        <f t="shared" si="129"/>
        <v>0.66140862748797047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6.8212102632969618E-13</v>
      </c>
      <c r="FF140" s="17">
        <f>FE140*VLOOKUP('Données projet'!$B$16,Paramètres!$A$1:$I$89,3,0)*VLOOKUP('Données projet'!$B$16,Paramètres!$A$1:$I$89,5,0)</f>
        <v>3.2810021366458383E-13</v>
      </c>
      <c r="FG140" s="13">
        <f t="shared" si="155"/>
        <v>4.2923528923937213E-12</v>
      </c>
      <c r="FH140" s="20">
        <f t="shared" si="130"/>
        <v>8.0472891597182151E-12</v>
      </c>
      <c r="FI140" s="59">
        <f t="shared" si="131"/>
        <v>293.33333333334139</v>
      </c>
      <c r="FJ140" s="59">
        <f ca="1">AVERAGE(OFFSET($FI$3,0,0,'Données projet'!$E$16+1,1))-AVERAGE(OFFSET($H$3,0,0,'Données projet'!$E$16+1,1))</f>
        <v>322.54393676667081</v>
      </c>
      <c r="FK140" s="59">
        <f t="shared" si="156"/>
        <v>296.73904998640018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0.80955367753110119</v>
      </c>
      <c r="FR140" s="21">
        <f>EXP(-LN(2)/25)*FR139+(1-EXP(-LN(2)/25))/(LN(2)/25)*Calculateur!FM140*Calculateur!FO140*VLOOKUP('Données projet'!$B$16,Paramètres!$A$1:$I$89,3,0)*0.475*44/12</f>
        <v>0.69094838663196201</v>
      </c>
      <c r="FS140" s="21">
        <f>EXP(-LN(2)/2)*FS139+(1-EXP(-LN(2)/2))/(LN(2)/2)*FM140*FP140*VLOOKUP('Données projet'!$B$16,Paramètres!$A$1:$I$89,3,0)*0.475*44/12</f>
        <v>1.6417501775377699E-15</v>
      </c>
      <c r="FT140" s="22">
        <f t="shared" si="132"/>
        <v>1.5005020641630649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293.33333333333974</v>
      </c>
      <c r="S141" s="59">
        <f ca="1">AVERAGE(OFFSET($R$3,0,0,'Données projet'!$E$9+1,1))-AVERAGE(OFFSET($H$3,0,0,'Données projet'!$E$9+1,1))</f>
        <v>401.06118089678654</v>
      </c>
      <c r="T141" s="59">
        <f t="shared" si="142"/>
        <v>399.58193819355591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6.2527760746888816E-13</v>
      </c>
      <c r="AJ141" s="13">
        <f>AI141*VLOOKUP('Données projet'!$B$10,Paramètres!$A$1:$I$89,3,0)*VLOOKUP('Données projet'!$B$10,Paramètres!$A$1:$I$89,5,0)</f>
        <v>3.9017322706058616E-13</v>
      </c>
      <c r="AK141" s="13">
        <f t="shared" si="143"/>
        <v>5.0025007393608908E-12</v>
      </c>
      <c r="AL141" s="20">
        <f t="shared" si="112"/>
        <v>9.3922404915174053E-12</v>
      </c>
      <c r="AM141" s="59">
        <f t="shared" si="113"/>
        <v>293.33333333334269</v>
      </c>
      <c r="AN141" s="59">
        <f ca="1">AVERAGE(OFFSET($AM$3,0,0,'Données projet'!$E$10+1,1))-AVERAGE(OFFSET($H$3,0,0,'Données projet'!$E$10+1,1))</f>
        <v>240.30073883588199</v>
      </c>
      <c r="AO141" s="59">
        <f t="shared" si="144"/>
        <v>263.20351282678843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0.81902974435222387</v>
      </c>
      <c r="AV141" s="21">
        <f>EXP(-LN(2)/25)*AV140+(1-EXP(-LN(2)/25))/(LN(2)/25)*Calculateur!AQ141*Calculateur!AS141*VLOOKUP('Données projet'!$B$10,Paramètres!$A$1:$I$89,3,0)*0.475*44/12</f>
        <v>1.04078545522918</v>
      </c>
      <c r="AW141" s="21">
        <f>EXP(-LN(2)/2)*AW140+(1-EXP(-LN(2)/2))/(LN(2)/2)*AQ141*AT141*VLOOKUP('Données projet'!$B$10,Paramètres!$A$1:$I$89,3,0)*0.475*44/12</f>
        <v>1.1208154129091543E-15</v>
      </c>
      <c r="AX141" s="21">
        <f t="shared" si="114"/>
        <v>1.859815199581405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-1.0936673788819462E-13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364.67510777943329</v>
      </c>
      <c r="BJ141" s="59">
        <f t="shared" si="146"/>
        <v>352.13878061387169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1.0417034560979854</v>
      </c>
      <c r="BQ141" s="21">
        <f>EXP(-LN(2)/25)*BQ140+(1-EXP(-LN(2)/25))/(LN(2)/25)*Calculateur!BL141*Calculateur!BN141*VLOOKUP('Données projet'!$B$11,Paramètres!$A$1:$I$89,3,0)*0.475*44/12</f>
        <v>0.90196674564408175</v>
      </c>
      <c r="BR141" s="21">
        <f>EXP(-LN(2)/2)*BR140+(1-EXP(-LN(2)/2))/(LN(2)/2)*BL141*BO141*VLOOKUP('Données projet'!$B$11,Paramètres!$A$1:$I$89,3,0)*0.475*44/12</f>
        <v>1.5250887524875203E-15</v>
      </c>
      <c r="BS141" s="22">
        <f t="shared" si="117"/>
        <v>1.9436702017420686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-5.3205440053716299E-14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252.98248842635206</v>
      </c>
      <c r="CE141" s="59">
        <f t="shared" si="148"/>
        <v>207.11938580878308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0.36922153386021261</v>
      </c>
      <c r="CL141" s="21">
        <f>EXP(-LN(2)/25)*CL140+(1-EXP(-LN(2)/25))/(LN(2)/25)*Calculateur!CG141*Calculateur!CI141*VLOOKUP('Données projet'!$B$12,Paramètres!$A$1:$I$89,3,0)*0.475*44/12</f>
        <v>0.39329849177893716</v>
      </c>
      <c r="CM141" s="21">
        <f>EXP(-LN(2)/2)*CM140+(1-EXP(-LN(2)/2))/(LN(2)/2)*CG141*CJ141*VLOOKUP('Données projet'!$B$12,Paramètres!$A$1:$I$89,3,0)*0.475*44/12</f>
        <v>5.457954355301271E-16</v>
      </c>
      <c r="CN141" s="22">
        <f t="shared" si="120"/>
        <v>0.76252002563915033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-5.6843418860808015E-13</v>
      </c>
      <c r="CU141" s="17">
        <f>CT141*VLOOKUP('Données projet'!$B$13,Paramètres!$A$1:$I$89,3,0)*VLOOKUP('Données projet'!$B$13,Paramètres!$A$1:$I$89,5,0)</f>
        <v>-3.177547114319168E-13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356.67698551373468</v>
      </c>
      <c r="CZ141" s="59">
        <f t="shared" si="150"/>
        <v>353.21836615408171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0.53805704038694757</v>
      </c>
      <c r="DG141" s="21">
        <f>EXP(-LN(2)/25)*DG140+(1-EXP(-LN(2)/25))/(LN(2)/25)*Calculateur!DB141*Calculateur!DD141*VLOOKUP('Données projet'!$B$13,Paramètres!$A$1:$I$89,3,0)*0.475*44/12</f>
        <v>1.5106649984996192</v>
      </c>
      <c r="DH141" s="21">
        <f>EXP(-LN(2)/2)*DH140+(1-EXP(-LN(2)/2))/(LN(2)/2)*DB141*DE141*VLOOKUP('Données projet'!$B$13,Paramètres!$A$1:$I$89,3,0)*0.475*44/12</f>
        <v>1.8053385658875621E-15</v>
      </c>
      <c r="DI141" s="22">
        <f t="shared" si="123"/>
        <v>2.0487220388865683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-4.5474735088646412E-13</v>
      </c>
      <c r="DP141" s="17">
        <f>DO141*VLOOKUP('Données projet'!$B$14,Paramètres!$A$1:$I$89,3,0)*VLOOKUP('Données projet'!$B$14,Paramètres!$A$1:$I$89,5,0)</f>
        <v>-2.7193891583010558E-13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247.30892363953825</v>
      </c>
      <c r="DU141" s="59">
        <f t="shared" si="152"/>
        <v>248.38414731596578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0.64332237378734203</v>
      </c>
      <c r="EC141" s="21">
        <f>EXP(-LN(2)/2)*EC140+(1-EXP(-LN(2)/2))/(LN(2)/2)*DW141*DZ141*VLOOKUP('Données projet'!$B$14,Paramètres!$A$1:$I$89,3,0)*0.475*44/12</f>
        <v>1.3172440845765061E-15</v>
      </c>
      <c r="ED141" s="22">
        <f t="shared" si="126"/>
        <v>0.64332237378734336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-4.5474735088646412E-13</v>
      </c>
      <c r="EK141" s="17">
        <f>EJ141*VLOOKUP('Données projet'!$B$15,Paramètres!$A$1:$I$89,3,0)*VLOOKUP('Données projet'!$B$15,Paramètres!$A$1:$I$89,5,0)</f>
        <v>-2.7193891583010558E-13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247.30892363953825</v>
      </c>
      <c r="EP141" s="59">
        <f t="shared" si="154"/>
        <v>248.38414731596578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0.64332237378734203</v>
      </c>
      <c r="EX141" s="21">
        <f>EXP(-LN(2)/2)*EX140+(1-EXP(-LN(2)/2))/(LN(2)/2)*ER141*EU141*VLOOKUP('Données projet'!$B$15,Paramètres!$A$1:$I$89,3,0)*0.475*44/12</f>
        <v>1.3172440845765061E-15</v>
      </c>
      <c r="EY141" s="22">
        <f t="shared" si="129"/>
        <v>0.64332237378734336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6.8212102632969618E-13</v>
      </c>
      <c r="FF141" s="17">
        <f>FE141*VLOOKUP('Données projet'!$B$16,Paramètres!$A$1:$I$89,3,0)*VLOOKUP('Données projet'!$B$16,Paramètres!$A$1:$I$89,5,0)</f>
        <v>3.2810021366458383E-13</v>
      </c>
      <c r="FG141" s="13">
        <f t="shared" si="155"/>
        <v>4.2923528923937213E-12</v>
      </c>
      <c r="FH141" s="20">
        <f t="shared" si="130"/>
        <v>8.0472891597182151E-12</v>
      </c>
      <c r="FI141" s="59">
        <f t="shared" si="131"/>
        <v>293.33333333334139</v>
      </c>
      <c r="FJ141" s="59">
        <f ca="1">AVERAGE(OFFSET($FI$3,0,0,'Données projet'!$E$16+1,1))-AVERAGE(OFFSET($H$3,0,0,'Données projet'!$E$16+1,1))</f>
        <v>322.54393676667081</v>
      </c>
      <c r="FK141" s="59">
        <f t="shared" si="156"/>
        <v>296.73904998640018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0.79367882369370302</v>
      </c>
      <c r="FR141" s="21">
        <f>EXP(-LN(2)/25)*FR140+(1-EXP(-LN(2)/25))/(LN(2)/25)*Calculateur!FM141*Calculateur!FO141*VLOOKUP('Données projet'!$B$16,Paramètres!$A$1:$I$89,3,0)*0.475*44/12</f>
        <v>0.67205436666411456</v>
      </c>
      <c r="FS141" s="21">
        <f>EXP(-LN(2)/2)*FS140+(1-EXP(-LN(2)/2))/(LN(2)/2)*FM141*FP141*VLOOKUP('Données projet'!$B$16,Paramètres!$A$1:$I$89,3,0)*0.475*44/12</f>
        <v>1.1608926835511754E-15</v>
      </c>
      <c r="FT141" s="22">
        <f t="shared" si="132"/>
        <v>1.4657331903578188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293.33333333333974</v>
      </c>
      <c r="S142" s="59">
        <f ca="1">AVERAGE(OFFSET($R$3,0,0,'Données projet'!$E$9+1,1))-AVERAGE(OFFSET($H$3,0,0,'Données projet'!$E$9+1,1))</f>
        <v>401.06118089678654</v>
      </c>
      <c r="T142" s="59">
        <f t="shared" si="142"/>
        <v>399.58193819355591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6.2527760746888816E-13</v>
      </c>
      <c r="AJ142" s="13">
        <f>AI142*VLOOKUP('Données projet'!$B$10,Paramètres!$A$1:$I$89,3,0)*VLOOKUP('Données projet'!$B$10,Paramètres!$A$1:$I$89,5,0)</f>
        <v>3.9017322706058616E-13</v>
      </c>
      <c r="AK142" s="13">
        <f t="shared" si="143"/>
        <v>5.0025007393608908E-12</v>
      </c>
      <c r="AL142" s="20">
        <f t="shared" si="112"/>
        <v>9.3922404915174053E-12</v>
      </c>
      <c r="AM142" s="59">
        <f t="shared" si="113"/>
        <v>293.33333333334269</v>
      </c>
      <c r="AN142" s="59">
        <f ca="1">AVERAGE(OFFSET($AM$3,0,0,'Données projet'!$E$10+1,1))-AVERAGE(OFFSET($H$3,0,0,'Données projet'!$E$10+1,1))</f>
        <v>240.30073883588199</v>
      </c>
      <c r="AO142" s="59">
        <f t="shared" si="144"/>
        <v>263.20351282678843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0.80296907062429346</v>
      </c>
      <c r="AV142" s="21">
        <f>EXP(-LN(2)/25)*AV141+(1-EXP(-LN(2)/25))/(LN(2)/25)*Calculateur!AQ142*Calculateur!AS142*VLOOKUP('Données projet'!$B$10,Paramètres!$A$1:$I$89,3,0)*0.475*44/12</f>
        <v>1.0123251222234098</v>
      </c>
      <c r="AW142" s="21">
        <f>EXP(-LN(2)/2)*AW141+(1-EXP(-LN(2)/2))/(LN(2)/2)*AQ142*AT142*VLOOKUP('Données projet'!$B$10,Paramètres!$A$1:$I$89,3,0)*0.475*44/12</f>
        <v>7.9253617892646331E-16</v>
      </c>
      <c r="AX142" s="21">
        <f t="shared" si="114"/>
        <v>1.8152941928477042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-1.0936673788819462E-13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364.67510777943329</v>
      </c>
      <c r="BJ142" s="59">
        <f t="shared" si="146"/>
        <v>352.13878061387169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1.021276286700274</v>
      </c>
      <c r="BQ142" s="21">
        <f>EXP(-LN(2)/25)*BQ141+(1-EXP(-LN(2)/25))/(LN(2)/25)*Calculateur!BL142*Calculateur!BN142*VLOOKUP('Données projet'!$B$11,Paramètres!$A$1:$I$89,3,0)*0.475*44/12</f>
        <v>0.87730241755207461</v>
      </c>
      <c r="BR142" s="21">
        <f>EXP(-LN(2)/2)*BR141+(1-EXP(-LN(2)/2))/(LN(2)/2)*BL142*BO142*VLOOKUP('Données projet'!$B$11,Paramètres!$A$1:$I$89,3,0)*0.475*44/12</f>
        <v>1.0784005987952578E-15</v>
      </c>
      <c r="BS142" s="22">
        <f t="shared" si="117"/>
        <v>1.8985787042523496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-5.3205440053716299E-14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252.98248842635206</v>
      </c>
      <c r="CE142" s="59">
        <f t="shared" si="148"/>
        <v>207.11938580878308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0.36198132478411255</v>
      </c>
      <c r="CL142" s="21">
        <f>EXP(-LN(2)/25)*CL141+(1-EXP(-LN(2)/25))/(LN(2)/25)*Calculateur!CG142*Calculateur!CI142*VLOOKUP('Données projet'!$B$12,Paramètres!$A$1:$I$89,3,0)*0.475*44/12</f>
        <v>0.38254372383857332</v>
      </c>
      <c r="CM142" s="21">
        <f>EXP(-LN(2)/2)*CM141+(1-EXP(-LN(2)/2))/(LN(2)/2)*CG142*CJ142*VLOOKUP('Données projet'!$B$12,Paramètres!$A$1:$I$89,3,0)*0.475*44/12</f>
        <v>3.85935653604018E-16</v>
      </c>
      <c r="CN142" s="22">
        <f t="shared" si="120"/>
        <v>0.7445250486226862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-5.6843418860808015E-13</v>
      </c>
      <c r="CU142" s="17">
        <f>CT142*VLOOKUP('Données projet'!$B$13,Paramètres!$A$1:$I$89,3,0)*VLOOKUP('Données projet'!$B$13,Paramètres!$A$1:$I$89,5,0)</f>
        <v>-3.177547114319168E-13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356.67698551373468</v>
      </c>
      <c r="CZ142" s="59">
        <f t="shared" si="150"/>
        <v>353.21836615408171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0.52750607000734884</v>
      </c>
      <c r="DG142" s="21">
        <f>EXP(-LN(2)/25)*DG141+(1-EXP(-LN(2)/25))/(LN(2)/25)*Calculateur!DB142*Calculateur!DD142*VLOOKUP('Données projet'!$B$13,Paramètres!$A$1:$I$89,3,0)*0.475*44/12</f>
        <v>1.4693557846732275</v>
      </c>
      <c r="DH142" s="21">
        <f>EXP(-LN(2)/2)*DH141+(1-EXP(-LN(2)/2))/(LN(2)/2)*DB142*DE142*VLOOKUP('Données projet'!$B$13,Paramètres!$A$1:$I$89,3,0)*0.475*44/12</f>
        <v>1.2765671422766919E-15</v>
      </c>
      <c r="DI142" s="22">
        <f t="shared" si="123"/>
        <v>1.9968618546805776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-4.5474735088646412E-13</v>
      </c>
      <c r="DP142" s="17">
        <f>DO142*VLOOKUP('Données projet'!$B$14,Paramètres!$A$1:$I$89,3,0)*VLOOKUP('Données projet'!$B$14,Paramètres!$A$1:$I$89,5,0)</f>
        <v>-2.7193891583010558E-13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247.30892363953825</v>
      </c>
      <c r="DU142" s="59">
        <f t="shared" si="152"/>
        <v>248.38414731596578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0.6257306896452739</v>
      </c>
      <c r="EC142" s="21">
        <f>EXP(-LN(2)/2)*EC141+(1-EXP(-LN(2)/2))/(LN(2)/2)*DW142*DZ142*VLOOKUP('Données projet'!$B$14,Paramètres!$A$1:$I$89,3,0)*0.475*44/12</f>
        <v>9.3143222468191356E-16</v>
      </c>
      <c r="ED142" s="22">
        <f t="shared" si="126"/>
        <v>0.62573068964527478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-4.5474735088646412E-13</v>
      </c>
      <c r="EK142" s="17">
        <f>EJ142*VLOOKUP('Données projet'!$B$15,Paramètres!$A$1:$I$89,3,0)*VLOOKUP('Données projet'!$B$15,Paramètres!$A$1:$I$89,5,0)</f>
        <v>-2.7193891583010558E-13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247.30892363953825</v>
      </c>
      <c r="EP142" s="59">
        <f t="shared" si="154"/>
        <v>248.38414731596578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0.6257306896452739</v>
      </c>
      <c r="EX142" s="21">
        <f>EXP(-LN(2)/2)*EX141+(1-EXP(-LN(2)/2))/(LN(2)/2)*ER142*EU142*VLOOKUP('Données projet'!$B$15,Paramètres!$A$1:$I$89,3,0)*0.475*44/12</f>
        <v>9.3143222468191356E-16</v>
      </c>
      <c r="EY142" s="22">
        <f t="shared" si="129"/>
        <v>0.62573068964527478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6.8212102632969618E-13</v>
      </c>
      <c r="FF142" s="17">
        <f>FE142*VLOOKUP('Données projet'!$B$16,Paramètres!$A$1:$I$89,3,0)*VLOOKUP('Données projet'!$B$16,Paramètres!$A$1:$I$89,5,0)</f>
        <v>3.2810021366458383E-13</v>
      </c>
      <c r="FG142" s="13">
        <f t="shared" si="155"/>
        <v>4.2923528923937213E-12</v>
      </c>
      <c r="FH142" s="20">
        <f t="shared" si="130"/>
        <v>8.0472891597182151E-12</v>
      </c>
      <c r="FI142" s="59">
        <f t="shared" si="131"/>
        <v>293.33333333334139</v>
      </c>
      <c r="FJ142" s="59">
        <f ca="1">AVERAGE(OFFSET($FI$3,0,0,'Données projet'!$E$16+1,1))-AVERAGE(OFFSET($H$3,0,0,'Données projet'!$E$16+1,1))</f>
        <v>322.54393676667081</v>
      </c>
      <c r="FK142" s="59">
        <f t="shared" si="156"/>
        <v>296.73904998640018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0.77811526605735137</v>
      </c>
      <c r="FR142" s="21">
        <f>EXP(-LN(2)/25)*FR141+(1-EXP(-LN(2)/25))/(LN(2)/25)*Calculateur!FM142*Calculateur!FO142*VLOOKUP('Données projet'!$B$16,Paramètres!$A$1:$I$89,3,0)*0.475*44/12</f>
        <v>0.65367700466588119</v>
      </c>
      <c r="FS142" s="21">
        <f>EXP(-LN(2)/2)*FS141+(1-EXP(-LN(2)/2))/(LN(2)/2)*FM142*FP142*VLOOKUP('Données projet'!$B$16,Paramètres!$A$1:$I$89,3,0)*0.475*44/12</f>
        <v>8.2087508876888497E-16</v>
      </c>
      <c r="FT142" s="22">
        <f t="shared" si="132"/>
        <v>1.4317922707232333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293.33333333333974</v>
      </c>
      <c r="S143" s="59">
        <f ca="1">AVERAGE(OFFSET($R$3,0,0,'Données projet'!$E$9+1,1))-AVERAGE(OFFSET($H$3,0,0,'Données projet'!$E$9+1,1))</f>
        <v>401.06118089678654</v>
      </c>
      <c r="T143" s="59">
        <f t="shared" si="142"/>
        <v>399.58193819355591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6.2527760746888816E-13</v>
      </c>
      <c r="AJ143" s="13">
        <f>AI143*VLOOKUP('Données projet'!$B$10,Paramètres!$A$1:$I$89,3,0)*VLOOKUP('Données projet'!$B$10,Paramètres!$A$1:$I$89,5,0)</f>
        <v>3.9017322706058616E-13</v>
      </c>
      <c r="AK143" s="13">
        <f t="shared" si="143"/>
        <v>5.0025007393608908E-12</v>
      </c>
      <c r="AL143" s="20">
        <f t="shared" si="112"/>
        <v>9.3922404915174053E-12</v>
      </c>
      <c r="AM143" s="59">
        <f t="shared" si="113"/>
        <v>293.33333333334269</v>
      </c>
      <c r="AN143" s="59">
        <f ca="1">AVERAGE(OFFSET($AM$3,0,0,'Données projet'!$E$10+1,1))-AVERAGE(OFFSET($H$3,0,0,'Données projet'!$E$10+1,1))</f>
        <v>240.30073883588199</v>
      </c>
      <c r="AO143" s="59">
        <f t="shared" si="144"/>
        <v>263.20351282678843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0.78722333691212409</v>
      </c>
      <c r="AV143" s="21">
        <f>EXP(-LN(2)/25)*AV142+(1-EXP(-LN(2)/25))/(LN(2)/25)*Calculateur!AQ143*Calculateur!AS143*VLOOKUP('Données projet'!$B$10,Paramètres!$A$1:$I$89,3,0)*0.475*44/12</f>
        <v>0.98464303852034618</v>
      </c>
      <c r="AW143" s="21">
        <f>EXP(-LN(2)/2)*AW142+(1-EXP(-LN(2)/2))/(LN(2)/2)*AQ143*AT143*VLOOKUP('Données projet'!$B$10,Paramètres!$A$1:$I$89,3,0)*0.475*44/12</f>
        <v>5.6040770645457716E-16</v>
      </c>
      <c r="AX143" s="21">
        <f t="shared" si="114"/>
        <v>1.7718663754324708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-1.0936673788819462E-13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364.67510777943329</v>
      </c>
      <c r="BJ143" s="59">
        <f t="shared" si="146"/>
        <v>352.13878061387169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1.0012496816351086</v>
      </c>
      <c r="BQ143" s="21">
        <f>EXP(-LN(2)/25)*BQ142+(1-EXP(-LN(2)/25))/(LN(2)/25)*Calculateur!BL143*Calculateur!BN143*VLOOKUP('Données projet'!$B$11,Paramètres!$A$1:$I$89,3,0)*0.475*44/12</f>
        <v>0.85331253680878405</v>
      </c>
      <c r="BR143" s="21">
        <f>EXP(-LN(2)/2)*BR142+(1-EXP(-LN(2)/2))/(LN(2)/2)*BL143*BO143*VLOOKUP('Données projet'!$B$11,Paramètres!$A$1:$I$89,3,0)*0.475*44/12</f>
        <v>7.6254437624376017E-16</v>
      </c>
      <c r="BS143" s="22">
        <f t="shared" si="117"/>
        <v>1.8545622184438935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-5.3205440053716299E-14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252.98248842635206</v>
      </c>
      <c r="CE143" s="59">
        <f t="shared" si="148"/>
        <v>207.11938580878308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0.3548830917919033</v>
      </c>
      <c r="CL143" s="21">
        <f>EXP(-LN(2)/25)*CL142+(1-EXP(-LN(2)/25))/(LN(2)/25)*Calculateur!CG143*Calculateur!CI143*VLOOKUP('Données projet'!$B$12,Paramètres!$A$1:$I$89,3,0)*0.475*44/12</f>
        <v>0.3720830455931074</v>
      </c>
      <c r="CM143" s="21">
        <f>EXP(-LN(2)/2)*CM142+(1-EXP(-LN(2)/2))/(LN(2)/2)*CG143*CJ143*VLOOKUP('Données projet'!$B$12,Paramètres!$A$1:$I$89,3,0)*0.475*44/12</f>
        <v>2.7289771776506355E-16</v>
      </c>
      <c r="CN143" s="22">
        <f t="shared" si="120"/>
        <v>0.72696613738501092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-5.6843418860808015E-13</v>
      </c>
      <c r="CU143" s="17">
        <f>CT143*VLOOKUP('Données projet'!$B$13,Paramètres!$A$1:$I$89,3,0)*VLOOKUP('Données projet'!$B$13,Paramètres!$A$1:$I$89,5,0)</f>
        <v>-3.177547114319168E-13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356.67698551373468</v>
      </c>
      <c r="CZ143" s="59">
        <f t="shared" si="150"/>
        <v>353.21836615408171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0.51716199772143756</v>
      </c>
      <c r="DG143" s="21">
        <f>EXP(-LN(2)/25)*DG142+(1-EXP(-LN(2)/25))/(LN(2)/25)*Calculateur!DB143*Calculateur!DD143*VLOOKUP('Données projet'!$B$13,Paramètres!$A$1:$I$89,3,0)*0.475*44/12</f>
        <v>1.4291761734712756</v>
      </c>
      <c r="DH143" s="21">
        <f>EXP(-LN(2)/2)*DH142+(1-EXP(-LN(2)/2))/(LN(2)/2)*DB143*DE143*VLOOKUP('Données projet'!$B$13,Paramètres!$A$1:$I$89,3,0)*0.475*44/12</f>
        <v>9.0266928294378106E-16</v>
      </c>
      <c r="DI143" s="22">
        <f t="shared" si="123"/>
        <v>1.9463381711927141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-4.5474735088646412E-13</v>
      </c>
      <c r="DP143" s="17">
        <f>DO143*VLOOKUP('Données projet'!$B$14,Paramètres!$A$1:$I$89,3,0)*VLOOKUP('Données projet'!$B$14,Paramètres!$A$1:$I$89,5,0)</f>
        <v>-2.7193891583010558E-13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247.30892363953825</v>
      </c>
      <c r="DU143" s="59">
        <f t="shared" si="152"/>
        <v>248.38414731596578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0.608620051031177</v>
      </c>
      <c r="EC143" s="21">
        <f>EXP(-LN(2)/2)*EC142+(1-EXP(-LN(2)/2))/(LN(2)/2)*DW143*DZ143*VLOOKUP('Données projet'!$B$14,Paramètres!$A$1:$I$89,3,0)*0.475*44/12</f>
        <v>6.5862204228825304E-16</v>
      </c>
      <c r="ED143" s="22">
        <f t="shared" si="126"/>
        <v>0.60862005103117767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-4.5474735088646412E-13</v>
      </c>
      <c r="EK143" s="17">
        <f>EJ143*VLOOKUP('Données projet'!$B$15,Paramètres!$A$1:$I$89,3,0)*VLOOKUP('Données projet'!$B$15,Paramètres!$A$1:$I$89,5,0)</f>
        <v>-2.7193891583010558E-13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247.30892363953825</v>
      </c>
      <c r="EP143" s="59">
        <f t="shared" si="154"/>
        <v>248.38414731596578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0.608620051031177</v>
      </c>
      <c r="EX143" s="21">
        <f>EXP(-LN(2)/2)*EX142+(1-EXP(-LN(2)/2))/(LN(2)/2)*ER143*EU143*VLOOKUP('Données projet'!$B$15,Paramètres!$A$1:$I$89,3,0)*0.475*44/12</f>
        <v>6.5862204228825304E-16</v>
      </c>
      <c r="EY143" s="22">
        <f t="shared" si="129"/>
        <v>0.60862005103117767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6.8212102632969618E-13</v>
      </c>
      <c r="FF143" s="17">
        <f>FE143*VLOOKUP('Données projet'!$B$16,Paramètres!$A$1:$I$89,3,0)*VLOOKUP('Données projet'!$B$16,Paramètres!$A$1:$I$89,5,0)</f>
        <v>3.2810021366458383E-13</v>
      </c>
      <c r="FG143" s="13">
        <f t="shared" si="155"/>
        <v>4.2923528923937213E-12</v>
      </c>
      <c r="FH143" s="20">
        <f t="shared" si="130"/>
        <v>8.0472891597182151E-12</v>
      </c>
      <c r="FI143" s="59">
        <f t="shared" si="131"/>
        <v>293.33333333334139</v>
      </c>
      <c r="FJ143" s="59">
        <f ca="1">AVERAGE(OFFSET($FI$3,0,0,'Données projet'!$E$16+1,1))-AVERAGE(OFFSET($H$3,0,0,'Données projet'!$E$16+1,1))</f>
        <v>322.54393676667081</v>
      </c>
      <c r="FK143" s="59">
        <f t="shared" si="156"/>
        <v>296.73904998640018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0.7628569002934158</v>
      </c>
      <c r="FR143" s="21">
        <f>EXP(-LN(2)/25)*FR142+(1-EXP(-LN(2)/25))/(LN(2)/25)*Calculateur!FM143*Calculateur!FO143*VLOOKUP('Données projet'!$B$16,Paramètres!$A$1:$I$89,3,0)*0.475*44/12</f>
        <v>0.63580217259791294</v>
      </c>
      <c r="FS143" s="21">
        <f>EXP(-LN(2)/2)*FS142+(1-EXP(-LN(2)/2))/(LN(2)/2)*FM143*FP143*VLOOKUP('Données projet'!$B$16,Paramètres!$A$1:$I$89,3,0)*0.475*44/12</f>
        <v>5.8044634177558771E-16</v>
      </c>
      <c r="FT143" s="22">
        <f t="shared" si="132"/>
        <v>1.3986590728913295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293.33333333333974</v>
      </c>
      <c r="S144" s="59">
        <f ca="1">AVERAGE(OFFSET($R$3,0,0,'Données projet'!$E$9+1,1))-AVERAGE(OFFSET($H$3,0,0,'Données projet'!$E$9+1,1))</f>
        <v>401.06118089678654</v>
      </c>
      <c r="T144" s="59">
        <f t="shared" si="142"/>
        <v>399.58193819355591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6.2527760746888816E-13</v>
      </c>
      <c r="AJ144" s="13">
        <f>AI144*VLOOKUP('Données projet'!$B$10,Paramètres!$A$1:$I$89,3,0)*VLOOKUP('Données projet'!$B$10,Paramètres!$A$1:$I$89,5,0)</f>
        <v>3.9017322706058616E-13</v>
      </c>
      <c r="AK144" s="13">
        <f t="shared" si="143"/>
        <v>5.0025007393608908E-12</v>
      </c>
      <c r="AL144" s="20">
        <f t="shared" si="112"/>
        <v>9.3922404915174053E-12</v>
      </c>
      <c r="AM144" s="59">
        <f t="shared" si="113"/>
        <v>293.33333333334269</v>
      </c>
      <c r="AN144" s="59">
        <f ca="1">AVERAGE(OFFSET($AM$3,0,0,'Données projet'!$E$10+1,1))-AVERAGE(OFFSET($H$3,0,0,'Données projet'!$E$10+1,1))</f>
        <v>240.30073883588199</v>
      </c>
      <c r="AO144" s="59">
        <f t="shared" si="144"/>
        <v>263.20351282678843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0.77178636743410112</v>
      </c>
      <c r="AV144" s="21">
        <f>EXP(-LN(2)/25)*AV143+(1-EXP(-LN(2)/25))/(LN(2)/25)*Calculateur!AQ144*Calculateur!AS144*VLOOKUP('Données projet'!$B$10,Paramètres!$A$1:$I$89,3,0)*0.475*44/12</f>
        <v>0.9577179228518804</v>
      </c>
      <c r="AW144" s="21">
        <f>EXP(-LN(2)/2)*AW143+(1-EXP(-LN(2)/2))/(LN(2)/2)*AQ144*AT144*VLOOKUP('Données projet'!$B$10,Paramètres!$A$1:$I$89,3,0)*0.475*44/12</f>
        <v>3.9626808946323165E-16</v>
      </c>
      <c r="AX144" s="21">
        <f t="shared" si="114"/>
        <v>1.7295042902859818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-1.0936673788819462E-13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364.67510777943329</v>
      </c>
      <c r="BJ144" s="59">
        <f t="shared" si="146"/>
        <v>352.13878061387169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0.98161578608024813</v>
      </c>
      <c r="BQ144" s="21">
        <f>EXP(-LN(2)/25)*BQ143+(1-EXP(-LN(2)/25))/(LN(2)/25)*Calculateur!BL144*Calculateur!BN144*VLOOKUP('Données projet'!$B$11,Paramètres!$A$1:$I$89,3,0)*0.475*44/12</f>
        <v>0.82997866061599179</v>
      </c>
      <c r="BR144" s="21">
        <f>EXP(-LN(2)/2)*BR143+(1-EXP(-LN(2)/2))/(LN(2)/2)*BL144*BO144*VLOOKUP('Données projet'!$B$11,Paramètres!$A$1:$I$89,3,0)*0.475*44/12</f>
        <v>5.3920029939762888E-16</v>
      </c>
      <c r="BS144" s="22">
        <f t="shared" si="117"/>
        <v>1.8115944466962404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-5.3205440053716299E-14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252.98248842635206</v>
      </c>
      <c r="CE144" s="59">
        <f t="shared" si="148"/>
        <v>207.11938580878308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0.34792405081917671</v>
      </c>
      <c r="CL144" s="21">
        <f>EXP(-LN(2)/25)*CL143+(1-EXP(-LN(2)/25))/(LN(2)/25)*Calculateur!CG144*Calculateur!CI144*VLOOKUP('Données projet'!$B$12,Paramètres!$A$1:$I$89,3,0)*0.475*44/12</f>
        <v>0.36190841514436689</v>
      </c>
      <c r="CM144" s="21">
        <f>EXP(-LN(2)/2)*CM143+(1-EXP(-LN(2)/2))/(LN(2)/2)*CG144*CJ144*VLOOKUP('Données projet'!$B$12,Paramètres!$A$1:$I$89,3,0)*0.475*44/12</f>
        <v>1.92967826802009E-16</v>
      </c>
      <c r="CN144" s="22">
        <f t="shared" si="120"/>
        <v>0.70983246596354377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-5.6843418860808015E-13</v>
      </c>
      <c r="CU144" s="17">
        <f>CT144*VLOOKUP('Données projet'!$B$13,Paramètres!$A$1:$I$89,3,0)*VLOOKUP('Données projet'!$B$13,Paramètres!$A$1:$I$89,5,0)</f>
        <v>-3.177547114319168E-13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356.67698551373468</v>
      </c>
      <c r="CZ144" s="59">
        <f t="shared" si="150"/>
        <v>353.21836615408171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0.5070207663837919</v>
      </c>
      <c r="DG144" s="21">
        <f>EXP(-LN(2)/25)*DG143+(1-EXP(-LN(2)/25))/(LN(2)/25)*Calculateur!DB144*Calculateur!DD144*VLOOKUP('Données projet'!$B$13,Paramètres!$A$1:$I$89,3,0)*0.475*44/12</f>
        <v>1.3900952758505949</v>
      </c>
      <c r="DH144" s="21">
        <f>EXP(-LN(2)/2)*DH143+(1-EXP(-LN(2)/2))/(LN(2)/2)*DB144*DE144*VLOOKUP('Données projet'!$B$13,Paramètres!$A$1:$I$89,3,0)*0.475*44/12</f>
        <v>6.3828357113834595E-16</v>
      </c>
      <c r="DI144" s="22">
        <f t="shared" si="123"/>
        <v>1.8971160422343873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-4.5474735088646412E-13</v>
      </c>
      <c r="DP144" s="17">
        <f>DO144*VLOOKUP('Données projet'!$B$14,Paramètres!$A$1:$I$89,3,0)*VLOOKUP('Données projet'!$B$14,Paramètres!$A$1:$I$89,5,0)</f>
        <v>-2.7193891583010558E-13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247.30892363953825</v>
      </c>
      <c r="DU144" s="59">
        <f t="shared" si="152"/>
        <v>248.38414731596578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0.59197730372979196</v>
      </c>
      <c r="EC144" s="21">
        <f>EXP(-LN(2)/2)*EC143+(1-EXP(-LN(2)/2))/(LN(2)/2)*DW144*DZ144*VLOOKUP('Données projet'!$B$14,Paramètres!$A$1:$I$89,3,0)*0.475*44/12</f>
        <v>4.6571611234095678E-16</v>
      </c>
      <c r="ED144" s="22">
        <f t="shared" si="126"/>
        <v>0.5919773037297924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-4.5474735088646412E-13</v>
      </c>
      <c r="EK144" s="17">
        <f>EJ144*VLOOKUP('Données projet'!$B$15,Paramètres!$A$1:$I$89,3,0)*VLOOKUP('Données projet'!$B$15,Paramètres!$A$1:$I$89,5,0)</f>
        <v>-2.7193891583010558E-13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247.30892363953825</v>
      </c>
      <c r="EP144" s="59">
        <f t="shared" si="154"/>
        <v>248.38414731596578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0.59197730372979196</v>
      </c>
      <c r="EX144" s="21">
        <f>EXP(-LN(2)/2)*EX143+(1-EXP(-LN(2)/2))/(LN(2)/2)*ER144*EU144*VLOOKUP('Données projet'!$B$15,Paramètres!$A$1:$I$89,3,0)*0.475*44/12</f>
        <v>4.6571611234095678E-16</v>
      </c>
      <c r="EY144" s="22">
        <f t="shared" si="129"/>
        <v>0.5919773037297924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6.8212102632969618E-13</v>
      </c>
      <c r="FF144" s="17">
        <f>FE144*VLOOKUP('Données projet'!$B$16,Paramètres!$A$1:$I$89,3,0)*VLOOKUP('Données projet'!$B$16,Paramètres!$A$1:$I$89,5,0)</f>
        <v>3.2810021366458383E-13</v>
      </c>
      <c r="FG144" s="13">
        <f t="shared" si="155"/>
        <v>4.2923528923937213E-12</v>
      </c>
      <c r="FH144" s="20">
        <f t="shared" si="130"/>
        <v>8.0472891597182151E-12</v>
      </c>
      <c r="FI144" s="59">
        <f t="shared" si="131"/>
        <v>293.33333333334139</v>
      </c>
      <c r="FJ144" s="59">
        <f ca="1">AVERAGE(OFFSET($FI$3,0,0,'Données projet'!$E$16+1,1))-AVERAGE(OFFSET($H$3,0,0,'Données projet'!$E$16+1,1))</f>
        <v>322.54393676667081</v>
      </c>
      <c r="FK144" s="59">
        <f t="shared" si="156"/>
        <v>296.73904998640018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0.74789774177542689</v>
      </c>
      <c r="FR144" s="21">
        <f>EXP(-LN(2)/25)*FR143+(1-EXP(-LN(2)/25))/(LN(2)/25)*Calculateur!FM144*Calculateur!FO144*VLOOKUP('Données projet'!$B$16,Paramètres!$A$1:$I$89,3,0)*0.475*44/12</f>
        <v>0.61841612875283991</v>
      </c>
      <c r="FS144" s="21">
        <f>EXP(-LN(2)/2)*FS143+(1-EXP(-LN(2)/2))/(LN(2)/2)*FM144*FP144*VLOOKUP('Données projet'!$B$16,Paramètres!$A$1:$I$89,3,0)*0.475*44/12</f>
        <v>4.1043754438444249E-16</v>
      </c>
      <c r="FT144" s="22">
        <f t="shared" si="132"/>
        <v>1.3663138705282671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293.33333333333974</v>
      </c>
      <c r="S145" s="59">
        <f ca="1">AVERAGE(OFFSET($R$3,0,0,'Données projet'!$E$9+1,1))-AVERAGE(OFFSET($H$3,0,0,'Données projet'!$E$9+1,1))</f>
        <v>401.06118089678654</v>
      </c>
      <c r="T145" s="59">
        <f t="shared" si="142"/>
        <v>399.58193819355591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6.2527760746888816E-13</v>
      </c>
      <c r="AJ145" s="13">
        <f>AI145*VLOOKUP('Données projet'!$B$10,Paramètres!$A$1:$I$89,3,0)*VLOOKUP('Données projet'!$B$10,Paramètres!$A$1:$I$89,5,0)</f>
        <v>3.9017322706058616E-13</v>
      </c>
      <c r="AK145" s="13">
        <f t="shared" si="143"/>
        <v>5.0025007393608908E-12</v>
      </c>
      <c r="AL145" s="20">
        <f t="shared" si="112"/>
        <v>9.3922404915174053E-12</v>
      </c>
      <c r="AM145" s="59">
        <f t="shared" si="113"/>
        <v>293.33333333334269</v>
      </c>
      <c r="AN145" s="59">
        <f ca="1">AVERAGE(OFFSET($AM$3,0,0,'Données projet'!$E$10+1,1))-AVERAGE(OFFSET($H$3,0,0,'Données projet'!$E$10+1,1))</f>
        <v>240.30073883588199</v>
      </c>
      <c r="AO145" s="59">
        <f t="shared" si="144"/>
        <v>263.20351282678843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0.75665210751192047</v>
      </c>
      <c r="AV145" s="21">
        <f>EXP(-LN(2)/25)*AV144+(1-EXP(-LN(2)/25))/(LN(2)/25)*Calculateur!AQ145*Calculateur!AS145*VLOOKUP('Données projet'!$B$10,Paramètres!$A$1:$I$89,3,0)*0.475*44/12</f>
        <v>0.93152907588729905</v>
      </c>
      <c r="AW145" s="21">
        <f>EXP(-LN(2)/2)*AW144+(1-EXP(-LN(2)/2))/(LN(2)/2)*AQ145*AT145*VLOOKUP('Données projet'!$B$10,Paramètres!$A$1:$I$89,3,0)*0.475*44/12</f>
        <v>2.8020385322728858E-16</v>
      </c>
      <c r="AX145" s="21">
        <f t="shared" si="114"/>
        <v>1.6881811833992197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-1.0936673788819462E-13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364.67510777943329</v>
      </c>
      <c r="BJ145" s="59">
        <f t="shared" si="146"/>
        <v>352.13878061387169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0.96236689924172469</v>
      </c>
      <c r="BQ145" s="21">
        <f>EXP(-LN(2)/25)*BQ144+(1-EXP(-LN(2)/25))/(LN(2)/25)*Calculateur!BL145*Calculateur!BN145*VLOOKUP('Données projet'!$B$11,Paramètres!$A$1:$I$89,3,0)*0.475*44/12</f>
        <v>0.80728285049476667</v>
      </c>
      <c r="BR145" s="21">
        <f>EXP(-LN(2)/2)*BR144+(1-EXP(-LN(2)/2))/(LN(2)/2)*BL145*BO145*VLOOKUP('Données projet'!$B$11,Paramètres!$A$1:$I$89,3,0)*0.475*44/12</f>
        <v>3.8127218812188009E-16</v>
      </c>
      <c r="BS145" s="22">
        <f t="shared" si="117"/>
        <v>1.7696497497364918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-5.3205440053716299E-14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252.98248842635206</v>
      </c>
      <c r="CE145" s="59">
        <f t="shared" si="148"/>
        <v>207.11938580878308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0.3411014723953294</v>
      </c>
      <c r="CL145" s="21">
        <f>EXP(-LN(2)/25)*CL144+(1-EXP(-LN(2)/25))/(LN(2)/25)*Calculateur!CG145*Calculateur!CI145*VLOOKUP('Données projet'!$B$12,Paramètres!$A$1:$I$89,3,0)*0.475*44/12</f>
        <v>0.35201201050030778</v>
      </c>
      <c r="CM145" s="21">
        <f>EXP(-LN(2)/2)*CM144+(1-EXP(-LN(2)/2))/(LN(2)/2)*CG145*CJ145*VLOOKUP('Données projet'!$B$12,Paramètres!$A$1:$I$89,3,0)*0.475*44/12</f>
        <v>1.3644885888253177E-16</v>
      </c>
      <c r="CN145" s="22">
        <f t="shared" si="120"/>
        <v>0.69311348289563723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-5.6843418860808015E-13</v>
      </c>
      <c r="CU145" s="17">
        <f>CT145*VLOOKUP('Données projet'!$B$13,Paramètres!$A$1:$I$89,3,0)*VLOOKUP('Données projet'!$B$13,Paramètres!$A$1:$I$89,5,0)</f>
        <v>-3.177547114319168E-13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356.67698551373468</v>
      </c>
      <c r="CZ145" s="59">
        <f t="shared" si="150"/>
        <v>353.21836615408171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0.49707839840713713</v>
      </c>
      <c r="DG145" s="21">
        <f>EXP(-LN(2)/25)*DG144+(1-EXP(-LN(2)/25))/(LN(2)/25)*Calculateur!DB145*Calculateur!DD145*VLOOKUP('Données projet'!$B$13,Paramètres!$A$1:$I$89,3,0)*0.475*44/12</f>
        <v>1.352083047430527</v>
      </c>
      <c r="DH145" s="21">
        <f>EXP(-LN(2)/2)*DH144+(1-EXP(-LN(2)/2))/(LN(2)/2)*DB145*DE145*VLOOKUP('Données projet'!$B$13,Paramètres!$A$1:$I$89,3,0)*0.475*44/12</f>
        <v>4.5133464147189053E-16</v>
      </c>
      <c r="DI145" s="22">
        <f t="shared" si="123"/>
        <v>1.8491614458376646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-4.5474735088646412E-13</v>
      </c>
      <c r="DP145" s="17">
        <f>DO145*VLOOKUP('Données projet'!$B$14,Paramètres!$A$1:$I$89,3,0)*VLOOKUP('Données projet'!$B$14,Paramètres!$A$1:$I$89,5,0)</f>
        <v>-2.7193891583010558E-13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247.30892363953825</v>
      </c>
      <c r="DU145" s="59">
        <f t="shared" si="152"/>
        <v>248.38414731596578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0.57578965322856734</v>
      </c>
      <c r="EC145" s="21">
        <f>EXP(-LN(2)/2)*EC144+(1-EXP(-LN(2)/2))/(LN(2)/2)*DW145*DZ145*VLOOKUP('Données projet'!$B$14,Paramètres!$A$1:$I$89,3,0)*0.475*44/12</f>
        <v>3.2931102114412652E-16</v>
      </c>
      <c r="ED145" s="22">
        <f t="shared" si="126"/>
        <v>0.57578965322856768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-4.5474735088646412E-13</v>
      </c>
      <c r="EK145" s="17">
        <f>EJ145*VLOOKUP('Données projet'!$B$15,Paramètres!$A$1:$I$89,3,0)*VLOOKUP('Données projet'!$B$15,Paramètres!$A$1:$I$89,5,0)</f>
        <v>-2.7193891583010558E-13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247.30892363953825</v>
      </c>
      <c r="EP145" s="59">
        <f t="shared" si="154"/>
        <v>248.38414731596578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0.57578965322856734</v>
      </c>
      <c r="EX145" s="21">
        <f>EXP(-LN(2)/2)*EX144+(1-EXP(-LN(2)/2))/(LN(2)/2)*ER145*EU145*VLOOKUP('Données projet'!$B$15,Paramètres!$A$1:$I$89,3,0)*0.475*44/12</f>
        <v>3.2931102114412652E-16</v>
      </c>
      <c r="EY145" s="22">
        <f t="shared" si="129"/>
        <v>0.57578965322856768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6.8212102632969618E-13</v>
      </c>
      <c r="FF145" s="17">
        <f>FE145*VLOOKUP('Données projet'!$B$16,Paramètres!$A$1:$I$89,3,0)*VLOOKUP('Données projet'!$B$16,Paramètres!$A$1:$I$89,5,0)</f>
        <v>3.2810021366458383E-13</v>
      </c>
      <c r="FG145" s="13">
        <f t="shared" si="155"/>
        <v>4.2923528923937213E-12</v>
      </c>
      <c r="FH145" s="20">
        <f t="shared" si="130"/>
        <v>8.0472891597182151E-12</v>
      </c>
      <c r="FI145" s="59">
        <f t="shared" si="131"/>
        <v>293.33333333334139</v>
      </c>
      <c r="FJ145" s="59">
        <f ca="1">AVERAGE(OFFSET($FI$3,0,0,'Données projet'!$E$16+1,1))-AVERAGE(OFFSET($H$3,0,0,'Données projet'!$E$16+1,1))</f>
        <v>322.54393676667081</v>
      </c>
      <c r="FK145" s="59">
        <f t="shared" si="156"/>
        <v>296.73904998640018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0.73323192323178998</v>
      </c>
      <c r="FR145" s="21">
        <f>EXP(-LN(2)/25)*FR144+(1-EXP(-LN(2)/25))/(LN(2)/25)*Calculateur!FM145*Calculateur!FO145*VLOOKUP('Données projet'!$B$16,Paramètres!$A$1:$I$89,3,0)*0.475*44/12</f>
        <v>0.60150550719100271</v>
      </c>
      <c r="FS145" s="21">
        <f>EXP(-LN(2)/2)*FS144+(1-EXP(-LN(2)/2))/(LN(2)/2)*FM145*FP145*VLOOKUP('Données projet'!$B$16,Paramètres!$A$1:$I$89,3,0)*0.475*44/12</f>
        <v>2.9022317088779386E-16</v>
      </c>
      <c r="FT145" s="22">
        <f t="shared" si="132"/>
        <v>1.3347374304227928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293.33333333333974</v>
      </c>
      <c r="S146" s="59">
        <f ca="1">AVERAGE(OFFSET($R$3,0,0,'Données projet'!$E$9+1,1))-AVERAGE(OFFSET($H$3,0,0,'Données projet'!$E$9+1,1))</f>
        <v>401.06118089678654</v>
      </c>
      <c r="T146" s="59">
        <f t="shared" si="142"/>
        <v>399.58193819355591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6.2527760746888816E-13</v>
      </c>
      <c r="AJ146" s="13">
        <f>AI146*VLOOKUP('Données projet'!$B$10,Paramètres!$A$1:$I$89,3,0)*VLOOKUP('Données projet'!$B$10,Paramètres!$A$1:$I$89,5,0)</f>
        <v>3.9017322706058616E-13</v>
      </c>
      <c r="AK146" s="13">
        <f t="shared" si="143"/>
        <v>5.0025007393608908E-12</v>
      </c>
      <c r="AL146" s="20">
        <f t="shared" si="112"/>
        <v>9.3922404915174053E-12</v>
      </c>
      <c r="AM146" s="59">
        <f t="shared" si="113"/>
        <v>293.33333333334269</v>
      </c>
      <c r="AN146" s="59">
        <f ca="1">AVERAGE(OFFSET($AM$3,0,0,'Données projet'!$E$10+1,1))-AVERAGE(OFFSET($H$3,0,0,'Données projet'!$E$10+1,1))</f>
        <v>240.30073883588199</v>
      </c>
      <c r="AO146" s="59">
        <f t="shared" si="144"/>
        <v>263.20351282678843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0.74181462119582675</v>
      </c>
      <c r="AV146" s="21">
        <f>EXP(-LN(2)/25)*AV145+(1-EXP(-LN(2)/25))/(LN(2)/25)*Calculateur!AQ146*Calculateur!AS146*VLOOKUP('Données projet'!$B$10,Paramètres!$A$1:$I$89,3,0)*0.475*44/12</f>
        <v>0.90605636432017578</v>
      </c>
      <c r="AW146" s="21">
        <f>EXP(-LN(2)/2)*AW145+(1-EXP(-LN(2)/2))/(LN(2)/2)*AQ146*AT146*VLOOKUP('Données projet'!$B$10,Paramètres!$A$1:$I$89,3,0)*0.475*44/12</f>
        <v>1.9813404473161583E-16</v>
      </c>
      <c r="AX146" s="21">
        <f t="shared" si="114"/>
        <v>1.6478709855160028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-1.0936673788819462E-13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364.67510777943329</v>
      </c>
      <c r="BJ146" s="59">
        <f t="shared" si="146"/>
        <v>352.13878061387169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0.94349547133344303</v>
      </c>
      <c r="BQ146" s="21">
        <f>EXP(-LN(2)/25)*BQ145+(1-EXP(-LN(2)/25))/(LN(2)/25)*Calculateur!BL146*Calculateur!BN146*VLOOKUP('Données projet'!$B$11,Paramètres!$A$1:$I$89,3,0)*0.475*44/12</f>
        <v>0.78520765849482721</v>
      </c>
      <c r="BR146" s="21">
        <f>EXP(-LN(2)/2)*BR145+(1-EXP(-LN(2)/2))/(LN(2)/2)*BL146*BO146*VLOOKUP('Données projet'!$B$11,Paramètres!$A$1:$I$89,3,0)*0.475*44/12</f>
        <v>2.6960014969881444E-16</v>
      </c>
      <c r="BS146" s="22">
        <f t="shared" si="117"/>
        <v>1.7287031298282705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-5.3205440053716299E-14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252.98248842635206</v>
      </c>
      <c r="CE146" s="59">
        <f t="shared" si="148"/>
        <v>207.11938580878308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0.33441268057301177</v>
      </c>
      <c r="CL146" s="21">
        <f>EXP(-LN(2)/25)*CL145+(1-EXP(-LN(2)/25))/(LN(2)/25)*Calculateur!CG146*Calculateur!CI146*VLOOKUP('Données projet'!$B$12,Paramètres!$A$1:$I$89,3,0)*0.475*44/12</f>
        <v>0.34238622356166976</v>
      </c>
      <c r="CM146" s="21">
        <f>EXP(-LN(2)/2)*CM145+(1-EXP(-LN(2)/2))/(LN(2)/2)*CG146*CJ146*VLOOKUP('Données projet'!$B$12,Paramètres!$A$1:$I$89,3,0)*0.475*44/12</f>
        <v>9.6483913401004499E-17</v>
      </c>
      <c r="CN146" s="22">
        <f t="shared" si="120"/>
        <v>0.67679890413468169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-5.6843418860808015E-13</v>
      </c>
      <c r="CU146" s="17">
        <f>CT146*VLOOKUP('Données projet'!$B$13,Paramètres!$A$1:$I$89,3,0)*VLOOKUP('Données projet'!$B$13,Paramètres!$A$1:$I$89,5,0)</f>
        <v>-3.177547114319168E-13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356.67698551373468</v>
      </c>
      <c r="CZ146" s="59">
        <f t="shared" si="150"/>
        <v>353.21836615408171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0.48733099420225889</v>
      </c>
      <c r="DG146" s="21">
        <f>EXP(-LN(2)/25)*DG145+(1-EXP(-LN(2)/25))/(LN(2)/25)*Calculateur!DB146*Calculateur!DD146*VLOOKUP('Données projet'!$B$13,Paramètres!$A$1:$I$89,3,0)*0.475*44/12</f>
        <v>1.315110265395582</v>
      </c>
      <c r="DH146" s="21">
        <f>EXP(-LN(2)/2)*DH145+(1-EXP(-LN(2)/2))/(LN(2)/2)*DB146*DE146*VLOOKUP('Données projet'!$B$13,Paramètres!$A$1:$I$89,3,0)*0.475*44/12</f>
        <v>3.1914178556917297E-16</v>
      </c>
      <c r="DI146" s="22">
        <f t="shared" si="123"/>
        <v>1.8024412595978412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-4.5474735088646412E-13</v>
      </c>
      <c r="DP146" s="17">
        <f>DO146*VLOOKUP('Données projet'!$B$14,Paramètres!$A$1:$I$89,3,0)*VLOOKUP('Données projet'!$B$14,Paramètres!$A$1:$I$89,5,0)</f>
        <v>-2.7193891583010558E-13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247.30892363953825</v>
      </c>
      <c r="DU146" s="59">
        <f t="shared" si="152"/>
        <v>248.38414731596578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0.56004465488157029</v>
      </c>
      <c r="EC146" s="21">
        <f>EXP(-LN(2)/2)*EC145+(1-EXP(-LN(2)/2))/(LN(2)/2)*DW146*DZ146*VLOOKUP('Données projet'!$B$14,Paramètres!$A$1:$I$89,3,0)*0.475*44/12</f>
        <v>2.3285805617047839E-16</v>
      </c>
      <c r="ED146" s="22">
        <f t="shared" si="126"/>
        <v>0.56004465488157051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-4.5474735088646412E-13</v>
      </c>
      <c r="EK146" s="17">
        <f>EJ146*VLOOKUP('Données projet'!$B$15,Paramètres!$A$1:$I$89,3,0)*VLOOKUP('Données projet'!$B$15,Paramètres!$A$1:$I$89,5,0)</f>
        <v>-2.7193891583010558E-13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247.30892363953825</v>
      </c>
      <c r="EP146" s="59">
        <f t="shared" si="154"/>
        <v>248.38414731596578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0.56004465488157029</v>
      </c>
      <c r="EX146" s="21">
        <f>EXP(-LN(2)/2)*EX145+(1-EXP(-LN(2)/2))/(LN(2)/2)*ER146*EU146*VLOOKUP('Données projet'!$B$15,Paramètres!$A$1:$I$89,3,0)*0.475*44/12</f>
        <v>2.3285805617047839E-16</v>
      </c>
      <c r="EY146" s="22">
        <f t="shared" si="129"/>
        <v>0.56004465488157051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6.8212102632969618E-13</v>
      </c>
      <c r="FF146" s="17">
        <f>FE146*VLOOKUP('Données projet'!$B$16,Paramètres!$A$1:$I$89,3,0)*VLOOKUP('Données projet'!$B$16,Paramètres!$A$1:$I$89,5,0)</f>
        <v>3.2810021366458383E-13</v>
      </c>
      <c r="FG146" s="13">
        <f t="shared" si="155"/>
        <v>4.2923528923937213E-12</v>
      </c>
      <c r="FH146" s="20">
        <f t="shared" si="130"/>
        <v>8.0472891597182151E-12</v>
      </c>
      <c r="FI146" s="59">
        <f t="shared" si="131"/>
        <v>293.33333333334139</v>
      </c>
      <c r="FJ146" s="59">
        <f ca="1">AVERAGE(OFFSET($FI$3,0,0,'Données projet'!$E$16+1,1))-AVERAGE(OFFSET($H$3,0,0,'Données projet'!$E$16+1,1))</f>
        <v>322.54393676667081</v>
      </c>
      <c r="FK146" s="59">
        <f t="shared" si="156"/>
        <v>296.73904998640018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0.71885369244452768</v>
      </c>
      <c r="FR146" s="21">
        <f>EXP(-LN(2)/25)*FR145+(1-EXP(-LN(2)/25))/(LN(2)/25)*Calculateur!FM146*Calculateur!FO146*VLOOKUP('Données projet'!$B$16,Paramètres!$A$1:$I$89,3,0)*0.475*44/12</f>
        <v>0.5850573074650649</v>
      </c>
      <c r="FS146" s="21">
        <f>EXP(-LN(2)/2)*FS145+(1-EXP(-LN(2)/2))/(LN(2)/2)*FM146*FP146*VLOOKUP('Données projet'!$B$16,Paramètres!$A$1:$I$89,3,0)*0.475*44/12</f>
        <v>2.0521877219222124E-16</v>
      </c>
      <c r="FT146" s="22">
        <f t="shared" si="132"/>
        <v>1.3039109999095928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293.33333333333974</v>
      </c>
      <c r="S147" s="59">
        <f ca="1">AVERAGE(OFFSET($R$3,0,0,'Données projet'!$E$9+1,1))-AVERAGE(OFFSET($H$3,0,0,'Données projet'!$E$9+1,1))</f>
        <v>401.06118089678654</v>
      </c>
      <c r="T147" s="59">
        <f t="shared" si="142"/>
        <v>399.58193819355591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6.2527760746888816E-13</v>
      </c>
      <c r="AJ147" s="13">
        <f>AI147*VLOOKUP('Données projet'!$B$10,Paramètres!$A$1:$I$89,3,0)*VLOOKUP('Données projet'!$B$10,Paramètres!$A$1:$I$89,5,0)</f>
        <v>3.9017322706058616E-13</v>
      </c>
      <c r="AK147" s="13">
        <f t="shared" si="143"/>
        <v>5.0025007393608908E-12</v>
      </c>
      <c r="AL147" s="20">
        <f t="shared" si="112"/>
        <v>9.3922404915174053E-12</v>
      </c>
      <c r="AM147" s="59">
        <f t="shared" si="113"/>
        <v>293.33333333334269</v>
      </c>
      <c r="AN147" s="59">
        <f ca="1">AVERAGE(OFFSET($AM$3,0,0,'Données projet'!$E$10+1,1))-AVERAGE(OFFSET($H$3,0,0,'Données projet'!$E$10+1,1))</f>
        <v>240.30073883588199</v>
      </c>
      <c r="AO147" s="59">
        <f t="shared" si="144"/>
        <v>263.20351282678843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0.72726808893641859</v>
      </c>
      <c r="AV147" s="21">
        <f>EXP(-LN(2)/25)*AV146+(1-EXP(-LN(2)/25))/(LN(2)/25)*Calculateur!AQ147*Calculateur!AS147*VLOOKUP('Données projet'!$B$10,Paramètres!$A$1:$I$89,3,0)*0.475*44/12</f>
        <v>0.88128020539040719</v>
      </c>
      <c r="AW147" s="21">
        <f>EXP(-LN(2)/2)*AW146+(1-EXP(-LN(2)/2))/(LN(2)/2)*AQ147*AT147*VLOOKUP('Données projet'!$B$10,Paramètres!$A$1:$I$89,3,0)*0.475*44/12</f>
        <v>1.4010192661364429E-16</v>
      </c>
      <c r="AX147" s="21">
        <f t="shared" si="114"/>
        <v>1.6085482943268261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-1.0936673788819462E-13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364.67510777943329</v>
      </c>
      <c r="BJ147" s="59">
        <f t="shared" si="146"/>
        <v>352.13878061387169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0.92499410061600829</v>
      </c>
      <c r="BQ147" s="21">
        <f>EXP(-LN(2)/25)*BQ146+(1-EXP(-LN(2)/25))/(LN(2)/25)*Calculateur!BL147*Calculateur!BN147*VLOOKUP('Données projet'!$B$11,Paramètres!$A$1:$I$89,3,0)*0.475*44/12</f>
        <v>0.76373611378101003</v>
      </c>
      <c r="BR147" s="21">
        <f>EXP(-LN(2)/2)*BR146+(1-EXP(-LN(2)/2))/(LN(2)/2)*BL147*BO147*VLOOKUP('Données projet'!$B$11,Paramètres!$A$1:$I$89,3,0)*0.475*44/12</f>
        <v>1.9063609406094004E-16</v>
      </c>
      <c r="BS147" s="22">
        <f t="shared" si="117"/>
        <v>1.6887302143970186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-5.3205440053716299E-14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252.98248842635206</v>
      </c>
      <c r="CE147" s="59">
        <f t="shared" si="148"/>
        <v>207.11938580878308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0.32785505187856961</v>
      </c>
      <c r="CL147" s="21">
        <f>EXP(-LN(2)/25)*CL146+(1-EXP(-LN(2)/25))/(LN(2)/25)*Calculateur!CG147*Calculateur!CI147*VLOOKUP('Données projet'!$B$12,Paramètres!$A$1:$I$89,3,0)*0.475*44/12</f>
        <v>0.33302365427306696</v>
      </c>
      <c r="CM147" s="21">
        <f>EXP(-LN(2)/2)*CM146+(1-EXP(-LN(2)/2))/(LN(2)/2)*CG147*CJ147*VLOOKUP('Données projet'!$B$12,Paramètres!$A$1:$I$89,3,0)*0.475*44/12</f>
        <v>6.8224429441265887E-17</v>
      </c>
      <c r="CN147" s="22">
        <f t="shared" si="120"/>
        <v>0.66087870615163669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-5.6843418860808015E-13</v>
      </c>
      <c r="CU147" s="17">
        <f>CT147*VLOOKUP('Données projet'!$B$13,Paramètres!$A$1:$I$89,3,0)*VLOOKUP('Données projet'!$B$13,Paramètres!$A$1:$I$89,5,0)</f>
        <v>-3.177547114319168E-13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356.67698551373468</v>
      </c>
      <c r="CZ147" s="59">
        <f t="shared" si="150"/>
        <v>353.21836615408171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0.47777473064850878</v>
      </c>
      <c r="DG147" s="21">
        <f>EXP(-LN(2)/25)*DG146+(1-EXP(-LN(2)/25))/(LN(2)/25)*Calculateur!DB147*Calculateur!DD147*VLOOKUP('Données projet'!$B$13,Paramètres!$A$1:$I$89,3,0)*0.475*44/12</f>
        <v>1.2791485060296965</v>
      </c>
      <c r="DH147" s="21">
        <f>EXP(-LN(2)/2)*DH146+(1-EXP(-LN(2)/2))/(LN(2)/2)*DB147*DE147*VLOOKUP('Données projet'!$B$13,Paramètres!$A$1:$I$89,3,0)*0.475*44/12</f>
        <v>2.2566732073594527E-16</v>
      </c>
      <c r="DI147" s="22">
        <f t="shared" si="123"/>
        <v>1.7569232366782055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-4.5474735088646412E-13</v>
      </c>
      <c r="DP147" s="17">
        <f>DO147*VLOOKUP('Données projet'!$B$14,Paramètres!$A$1:$I$89,3,0)*VLOOKUP('Données projet'!$B$14,Paramètres!$A$1:$I$89,5,0)</f>
        <v>-2.7193891583010558E-13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247.30892363953825</v>
      </c>
      <c r="DU147" s="59">
        <f t="shared" si="152"/>
        <v>248.38414731596578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0.5447302043423653</v>
      </c>
      <c r="EC147" s="21">
        <f>EXP(-LN(2)/2)*EC146+(1-EXP(-LN(2)/2))/(LN(2)/2)*DW147*DZ147*VLOOKUP('Données projet'!$B$14,Paramètres!$A$1:$I$89,3,0)*0.475*44/12</f>
        <v>1.6465551057206326E-16</v>
      </c>
      <c r="ED147" s="22">
        <f t="shared" si="126"/>
        <v>0.54473020434236541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-4.5474735088646412E-13</v>
      </c>
      <c r="EK147" s="17">
        <f>EJ147*VLOOKUP('Données projet'!$B$15,Paramètres!$A$1:$I$89,3,0)*VLOOKUP('Données projet'!$B$15,Paramètres!$A$1:$I$89,5,0)</f>
        <v>-2.7193891583010558E-13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247.30892363953825</v>
      </c>
      <c r="EP147" s="59">
        <f t="shared" si="154"/>
        <v>248.38414731596578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0.5447302043423653</v>
      </c>
      <c r="EX147" s="21">
        <f>EXP(-LN(2)/2)*EX146+(1-EXP(-LN(2)/2))/(LN(2)/2)*ER147*EU147*VLOOKUP('Données projet'!$B$15,Paramètres!$A$1:$I$89,3,0)*0.475*44/12</f>
        <v>1.6465551057206326E-16</v>
      </c>
      <c r="EY147" s="22">
        <f t="shared" si="129"/>
        <v>0.54473020434236541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6.8212102632969618E-13</v>
      </c>
      <c r="FF147" s="17">
        <f>FE147*VLOOKUP('Données projet'!$B$16,Paramètres!$A$1:$I$89,3,0)*VLOOKUP('Données projet'!$B$16,Paramètres!$A$1:$I$89,5,0)</f>
        <v>3.2810021366458383E-13</v>
      </c>
      <c r="FG147" s="13">
        <f t="shared" si="155"/>
        <v>4.2923528923937213E-12</v>
      </c>
      <c r="FH147" s="20">
        <f t="shared" si="130"/>
        <v>8.0472891597182151E-12</v>
      </c>
      <c r="FI147" s="59">
        <f t="shared" si="131"/>
        <v>293.33333333334139</v>
      </c>
      <c r="FJ147" s="59">
        <f ca="1">AVERAGE(OFFSET($FI$3,0,0,'Données projet'!$E$16+1,1))-AVERAGE(OFFSET($H$3,0,0,'Données projet'!$E$16+1,1))</f>
        <v>322.54393676667081</v>
      </c>
      <c r="FK147" s="59">
        <f t="shared" si="156"/>
        <v>296.73904998640018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0.70475740999314884</v>
      </c>
      <c r="FR147" s="21">
        <f>EXP(-LN(2)/25)*FR146+(1-EXP(-LN(2)/25))/(LN(2)/25)*Calculateur!FM147*Calculateur!FO147*VLOOKUP('Données projet'!$B$16,Paramètres!$A$1:$I$89,3,0)*0.475*44/12</f>
        <v>0.56905888462560605</v>
      </c>
      <c r="FS147" s="21">
        <f>EXP(-LN(2)/2)*FS146+(1-EXP(-LN(2)/2))/(LN(2)/2)*FM147*FP147*VLOOKUP('Données projet'!$B$16,Paramètres!$A$1:$I$89,3,0)*0.475*44/12</f>
        <v>1.4511158544389693E-16</v>
      </c>
      <c r="FT147" s="22">
        <f t="shared" si="132"/>
        <v>1.273816294618755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293.33333333333974</v>
      </c>
      <c r="S148" s="59">
        <f ca="1">AVERAGE(OFFSET($R$3,0,0,'Données projet'!$E$9+1,1))-AVERAGE(OFFSET($H$3,0,0,'Données projet'!$E$9+1,1))</f>
        <v>401.06118089678654</v>
      </c>
      <c r="T148" s="59">
        <f t="shared" si="142"/>
        <v>399.58193819355591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6.2527760746888816E-13</v>
      </c>
      <c r="AJ148" s="13">
        <f>AI148*VLOOKUP('Données projet'!$B$10,Paramètres!$A$1:$I$89,3,0)*VLOOKUP('Données projet'!$B$10,Paramètres!$A$1:$I$89,5,0)</f>
        <v>3.9017322706058616E-13</v>
      </c>
      <c r="AK148" s="13">
        <f t="shared" si="143"/>
        <v>5.0025007393608908E-12</v>
      </c>
      <c r="AL148" s="20">
        <f t="shared" si="112"/>
        <v>9.3922404915174053E-12</v>
      </c>
      <c r="AM148" s="59">
        <f t="shared" si="113"/>
        <v>293.33333333334269</v>
      </c>
      <c r="AN148" s="59">
        <f ca="1">AVERAGE(OFFSET($AM$3,0,0,'Données projet'!$E$10+1,1))-AVERAGE(OFFSET($H$3,0,0,'Données projet'!$E$10+1,1))</f>
        <v>240.30073883588199</v>
      </c>
      <c r="AO148" s="59">
        <f t="shared" si="144"/>
        <v>263.20351282678843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0.7130068053021088</v>
      </c>
      <c r="AV148" s="21">
        <f>EXP(-LN(2)/25)*AV147+(1-EXP(-LN(2)/25))/(LN(2)/25)*Calculateur!AQ148*Calculateur!AS148*VLOOKUP('Données projet'!$B$10,Paramètres!$A$1:$I$89,3,0)*0.475*44/12</f>
        <v>0.85718155182949474</v>
      </c>
      <c r="AW148" s="21">
        <f>EXP(-LN(2)/2)*AW147+(1-EXP(-LN(2)/2))/(LN(2)/2)*AQ148*AT148*VLOOKUP('Données projet'!$B$10,Paramètres!$A$1:$I$89,3,0)*0.475*44/12</f>
        <v>9.9067022365807913E-17</v>
      </c>
      <c r="AX148" s="21">
        <f t="shared" si="114"/>
        <v>1.5701883571316035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-1.0936673788819462E-13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364.67510777943329</v>
      </c>
      <c r="BJ148" s="59">
        <f t="shared" si="146"/>
        <v>352.13878061387169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0.90685553049362055</v>
      </c>
      <c r="BQ148" s="21">
        <f>EXP(-LN(2)/25)*BQ147+(1-EXP(-LN(2)/25))/(LN(2)/25)*Calculateur!BL148*Calculateur!BN148*VLOOKUP('Données projet'!$B$11,Paramètres!$A$1:$I$89,3,0)*0.475*44/12</f>
        <v>0.74285170958653168</v>
      </c>
      <c r="BR148" s="21">
        <f>EXP(-LN(2)/2)*BR147+(1-EXP(-LN(2)/2))/(LN(2)/2)*BL148*BO148*VLOOKUP('Données projet'!$B$11,Paramètres!$A$1:$I$89,3,0)*0.475*44/12</f>
        <v>1.3480007484940722E-16</v>
      </c>
      <c r="BS148" s="22">
        <f t="shared" si="117"/>
        <v>1.6497072400801525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-5.3205440053716299E-14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252.98248842635206</v>
      </c>
      <c r="CE148" s="59">
        <f t="shared" si="148"/>
        <v>207.11938580878308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0.32142601428306694</v>
      </c>
      <c r="CL148" s="21">
        <f>EXP(-LN(2)/25)*CL147+(1-EXP(-LN(2)/25))/(LN(2)/25)*Calculateur!CG148*Calculateur!CI148*VLOOKUP('Données projet'!$B$12,Paramètres!$A$1:$I$89,3,0)*0.475*44/12</f>
        <v>0.3239171049340171</v>
      </c>
      <c r="CM148" s="21">
        <f>EXP(-LN(2)/2)*CM147+(1-EXP(-LN(2)/2))/(LN(2)/2)*CG148*CJ148*VLOOKUP('Données projet'!$B$12,Paramètres!$A$1:$I$89,3,0)*0.475*44/12</f>
        <v>4.8241956700502249E-17</v>
      </c>
      <c r="CN148" s="22">
        <f t="shared" si="120"/>
        <v>0.64534311921708398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-5.6843418860808015E-13</v>
      </c>
      <c r="CU148" s="17">
        <f>CT148*VLOOKUP('Données projet'!$B$13,Paramètres!$A$1:$I$89,3,0)*VLOOKUP('Données projet'!$B$13,Paramètres!$A$1:$I$89,5,0)</f>
        <v>-3.177547114319168E-13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356.67698551373468</v>
      </c>
      <c r="CZ148" s="59">
        <f t="shared" si="150"/>
        <v>353.21836615408171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0.46840585959430248</v>
      </c>
      <c r="DG148" s="21">
        <f>EXP(-LN(2)/25)*DG147+(1-EXP(-LN(2)/25))/(LN(2)/25)*Calculateur!DB148*Calculateur!DD148*VLOOKUP('Données projet'!$B$13,Paramètres!$A$1:$I$89,3,0)*0.475*44/12</f>
        <v>1.2441701228648181</v>
      </c>
      <c r="DH148" s="21">
        <f>EXP(-LN(2)/2)*DH147+(1-EXP(-LN(2)/2))/(LN(2)/2)*DB148*DE148*VLOOKUP('Données projet'!$B$13,Paramètres!$A$1:$I$89,3,0)*0.475*44/12</f>
        <v>1.5957089278458649E-16</v>
      </c>
      <c r="DI148" s="22">
        <f t="shared" si="123"/>
        <v>1.7125759824591207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-4.5474735088646412E-13</v>
      </c>
      <c r="DP148" s="17">
        <f>DO148*VLOOKUP('Données projet'!$B$14,Paramètres!$A$1:$I$89,3,0)*VLOOKUP('Données projet'!$B$14,Paramètres!$A$1:$I$89,5,0)</f>
        <v>-2.7193891583010558E-13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247.30892363953825</v>
      </c>
      <c r="DU148" s="59">
        <f t="shared" si="152"/>
        <v>248.38414731596578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0.52983452825850685</v>
      </c>
      <c r="EC148" s="21">
        <f>EXP(-LN(2)/2)*EC147+(1-EXP(-LN(2)/2))/(LN(2)/2)*DW148*DZ148*VLOOKUP('Données projet'!$B$14,Paramètres!$A$1:$I$89,3,0)*0.475*44/12</f>
        <v>1.1642902808523919E-16</v>
      </c>
      <c r="ED148" s="22">
        <f t="shared" si="126"/>
        <v>0.52983452825850696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-4.5474735088646412E-13</v>
      </c>
      <c r="EK148" s="17">
        <f>EJ148*VLOOKUP('Données projet'!$B$15,Paramètres!$A$1:$I$89,3,0)*VLOOKUP('Données projet'!$B$15,Paramètres!$A$1:$I$89,5,0)</f>
        <v>-2.7193891583010558E-13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247.30892363953825</v>
      </c>
      <c r="EP148" s="59">
        <f t="shared" si="154"/>
        <v>248.38414731596578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0.52983452825850685</v>
      </c>
      <c r="EX148" s="21">
        <f>EXP(-LN(2)/2)*EX147+(1-EXP(-LN(2)/2))/(LN(2)/2)*ER148*EU148*VLOOKUP('Données projet'!$B$15,Paramètres!$A$1:$I$89,3,0)*0.475*44/12</f>
        <v>1.1642902808523919E-16</v>
      </c>
      <c r="EY148" s="22">
        <f t="shared" si="129"/>
        <v>0.52983452825850696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6.8212102632969618E-13</v>
      </c>
      <c r="FF148" s="17">
        <f>FE148*VLOOKUP('Données projet'!$B$16,Paramètres!$A$1:$I$89,3,0)*VLOOKUP('Données projet'!$B$16,Paramètres!$A$1:$I$89,5,0)</f>
        <v>3.2810021366458383E-13</v>
      </c>
      <c r="FG148" s="13">
        <f t="shared" si="155"/>
        <v>4.2923528923937213E-12</v>
      </c>
      <c r="FH148" s="20">
        <f t="shared" si="130"/>
        <v>8.0472891597182151E-12</v>
      </c>
      <c r="FI148" s="59">
        <f t="shared" si="131"/>
        <v>293.33333333334139</v>
      </c>
      <c r="FJ148" s="59">
        <f ca="1">AVERAGE(OFFSET($FI$3,0,0,'Données projet'!$E$16+1,1))-AVERAGE(OFFSET($H$3,0,0,'Données projet'!$E$16+1,1))</f>
        <v>322.54393676667081</v>
      </c>
      <c r="FK148" s="59">
        <f t="shared" si="156"/>
        <v>296.73904998640018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0.69093754704275823</v>
      </c>
      <c r="FR148" s="21">
        <f>EXP(-LN(2)/25)*FR147+(1-EXP(-LN(2)/25))/(LN(2)/25)*Calculateur!FM148*Calculateur!FO148*VLOOKUP('Données projet'!$B$16,Paramètres!$A$1:$I$89,3,0)*0.475*44/12</f>
        <v>0.55349793950001269</v>
      </c>
      <c r="FS148" s="21">
        <f>EXP(-LN(2)/2)*FS147+(1-EXP(-LN(2)/2))/(LN(2)/2)*FM148*FP148*VLOOKUP('Données projet'!$B$16,Paramètres!$A$1:$I$89,3,0)*0.475*44/12</f>
        <v>1.0260938609611062E-16</v>
      </c>
      <c r="FT148" s="22">
        <f t="shared" si="132"/>
        <v>1.2444354865427709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293.33333333333974</v>
      </c>
      <c r="S149" s="59">
        <f ca="1">AVERAGE(OFFSET($R$3,0,0,'Données projet'!$E$9+1,1))-AVERAGE(OFFSET($H$3,0,0,'Données projet'!$E$9+1,1))</f>
        <v>401.06118089678654</v>
      </c>
      <c r="T149" s="59">
        <f t="shared" si="142"/>
        <v>399.58193819355591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6.2527760746888816E-13</v>
      </c>
      <c r="AJ149" s="13">
        <f>AI149*VLOOKUP('Données projet'!$B$10,Paramètres!$A$1:$I$89,3,0)*VLOOKUP('Données projet'!$B$10,Paramètres!$A$1:$I$89,5,0)</f>
        <v>3.9017322706058616E-13</v>
      </c>
      <c r="AK149" s="13">
        <f t="shared" si="143"/>
        <v>5.0025007393608908E-12</v>
      </c>
      <c r="AL149" s="20">
        <f t="shared" si="112"/>
        <v>9.3922404915174053E-12</v>
      </c>
      <c r="AM149" s="59">
        <f t="shared" si="113"/>
        <v>293.33333333334269</v>
      </c>
      <c r="AN149" s="59">
        <f ca="1">AVERAGE(OFFSET($AM$3,0,0,'Données projet'!$E$10+1,1))-AVERAGE(OFFSET($H$3,0,0,'Données projet'!$E$10+1,1))</f>
        <v>240.30073883588199</v>
      </c>
      <c r="AO149" s="59">
        <f t="shared" si="144"/>
        <v>263.20351282678843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0.69902517674134379</v>
      </c>
      <c r="AV149" s="21">
        <f>EXP(-LN(2)/25)*AV148+(1-EXP(-LN(2)/25))/(LN(2)/25)*Calculateur!AQ149*Calculateur!AS149*VLOOKUP('Données projet'!$B$10,Paramètres!$A$1:$I$89,3,0)*0.475*44/12</f>
        <v>0.83374187721749848</v>
      </c>
      <c r="AW149" s="21">
        <f>EXP(-LN(2)/2)*AW148+(1-EXP(-LN(2)/2))/(LN(2)/2)*AQ149*AT149*VLOOKUP('Données projet'!$B$10,Paramètres!$A$1:$I$89,3,0)*0.475*44/12</f>
        <v>7.0050963306822145E-17</v>
      </c>
      <c r="AX149" s="21">
        <f t="shared" si="114"/>
        <v>1.5327670539588423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-1.0936673788819462E-13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364.67510777943329</v>
      </c>
      <c r="BJ149" s="59">
        <f t="shared" si="146"/>
        <v>352.13878061387169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0.88907264666789743</v>
      </c>
      <c r="BQ149" s="21">
        <f>EXP(-LN(2)/25)*BQ148+(1-EXP(-LN(2)/25))/(LN(2)/25)*Calculateur!BL149*Calculateur!BN149*VLOOKUP('Données projet'!$B$11,Paramètres!$A$1:$I$89,3,0)*0.475*44/12</f>
        <v>0.72253839052301438</v>
      </c>
      <c r="BR149" s="21">
        <f>EXP(-LN(2)/2)*BR148+(1-EXP(-LN(2)/2))/(LN(2)/2)*BL149*BO149*VLOOKUP('Données projet'!$B$11,Paramètres!$A$1:$I$89,3,0)*0.475*44/12</f>
        <v>9.5318047030470022E-17</v>
      </c>
      <c r="BS149" s="22">
        <f t="shared" si="117"/>
        <v>1.6116110371909118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-5.3205440053716299E-14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252.98248842635206</v>
      </c>
      <c r="CE149" s="59">
        <f t="shared" si="148"/>
        <v>207.11938580878308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0.31512304619348636</v>
      </c>
      <c r="CL149" s="21">
        <f>EXP(-LN(2)/25)*CL148+(1-EXP(-LN(2)/25))/(LN(2)/25)*Calculateur!CG149*Calculateur!CI149*VLOOKUP('Données projet'!$B$12,Paramètres!$A$1:$I$89,3,0)*0.475*44/12</f>
        <v>0.31505957466553619</v>
      </c>
      <c r="CM149" s="21">
        <f>EXP(-LN(2)/2)*CM148+(1-EXP(-LN(2)/2))/(LN(2)/2)*CG149*CJ149*VLOOKUP('Données projet'!$B$12,Paramètres!$A$1:$I$89,3,0)*0.475*44/12</f>
        <v>3.4112214720632944E-17</v>
      </c>
      <c r="CN149" s="22">
        <f t="shared" si="120"/>
        <v>0.63018262085902255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-5.6843418860808015E-13</v>
      </c>
      <c r="CU149" s="17">
        <f>CT149*VLOOKUP('Données projet'!$B$13,Paramètres!$A$1:$I$89,3,0)*VLOOKUP('Données projet'!$B$13,Paramètres!$A$1:$I$89,5,0)</f>
        <v>-3.177547114319168E-13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356.67698551373468</v>
      </c>
      <c r="CZ149" s="59">
        <f t="shared" si="150"/>
        <v>353.21836615408171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0.45922070638702212</v>
      </c>
      <c r="DG149" s="21">
        <f>EXP(-LN(2)/25)*DG148+(1-EXP(-LN(2)/25))/(LN(2)/25)*Calculateur!DB149*Calculateur!DD149*VLOOKUP('Données projet'!$B$13,Paramètres!$A$1:$I$89,3,0)*0.475*44/12</f>
        <v>1.2101482254270164</v>
      </c>
      <c r="DH149" s="21">
        <f>EXP(-LN(2)/2)*DH148+(1-EXP(-LN(2)/2))/(LN(2)/2)*DB149*DE149*VLOOKUP('Données projet'!$B$13,Paramètres!$A$1:$I$89,3,0)*0.475*44/12</f>
        <v>1.1283366036797263E-16</v>
      </c>
      <c r="DI149" s="22">
        <f t="shared" si="123"/>
        <v>1.6693689318140388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-4.5474735088646412E-13</v>
      </c>
      <c r="DP149" s="17">
        <f>DO149*VLOOKUP('Données projet'!$B$14,Paramètres!$A$1:$I$89,3,0)*VLOOKUP('Données projet'!$B$14,Paramètres!$A$1:$I$89,5,0)</f>
        <v>-2.7193891583010558E-13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247.30892363953825</v>
      </c>
      <c r="DU149" s="59">
        <f t="shared" si="152"/>
        <v>248.38414731596578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0.51534617522049109</v>
      </c>
      <c r="EC149" s="21">
        <f>EXP(-LN(2)/2)*EC148+(1-EXP(-LN(2)/2))/(LN(2)/2)*DW149*DZ149*VLOOKUP('Données projet'!$B$14,Paramètres!$A$1:$I$89,3,0)*0.475*44/12</f>
        <v>8.232775528603163E-17</v>
      </c>
      <c r="ED149" s="22">
        <f t="shared" si="126"/>
        <v>0.5153461752204912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-4.5474735088646412E-13</v>
      </c>
      <c r="EK149" s="17">
        <f>EJ149*VLOOKUP('Données projet'!$B$15,Paramètres!$A$1:$I$89,3,0)*VLOOKUP('Données projet'!$B$15,Paramètres!$A$1:$I$89,5,0)</f>
        <v>-2.7193891583010558E-13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247.30892363953825</v>
      </c>
      <c r="EP149" s="59">
        <f t="shared" si="154"/>
        <v>248.38414731596578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0.51534617522049109</v>
      </c>
      <c r="EX149" s="21">
        <f>EXP(-LN(2)/2)*EX148+(1-EXP(-LN(2)/2))/(LN(2)/2)*ER149*EU149*VLOOKUP('Données projet'!$B$15,Paramètres!$A$1:$I$89,3,0)*0.475*44/12</f>
        <v>8.232775528603163E-17</v>
      </c>
      <c r="EY149" s="22">
        <f t="shared" si="129"/>
        <v>0.5153461752204912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6.8212102632969618E-13</v>
      </c>
      <c r="FF149" s="17">
        <f>FE149*VLOOKUP('Données projet'!$B$16,Paramètres!$A$1:$I$89,3,0)*VLOOKUP('Données projet'!$B$16,Paramètres!$A$1:$I$89,5,0)</f>
        <v>3.2810021366458383E-13</v>
      </c>
      <c r="FG149" s="13">
        <f t="shared" si="155"/>
        <v>4.2923528923937213E-12</v>
      </c>
      <c r="FH149" s="20">
        <f t="shared" si="130"/>
        <v>8.0472891597182151E-12</v>
      </c>
      <c r="FI149" s="59">
        <f t="shared" si="131"/>
        <v>293.33333333334139</v>
      </c>
      <c r="FJ149" s="59">
        <f ca="1">AVERAGE(OFFSET($FI$3,0,0,'Données projet'!$E$16+1,1))-AVERAGE(OFFSET($H$3,0,0,'Données projet'!$E$16+1,1))</f>
        <v>322.54393676667081</v>
      </c>
      <c r="FK149" s="59">
        <f t="shared" si="156"/>
        <v>296.73904998640018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0.67738868317554068</v>
      </c>
      <c r="FR149" s="21">
        <f>EXP(-LN(2)/25)*FR148+(1-EXP(-LN(2)/25))/(LN(2)/25)*Calculateur!FM149*Calculateur!FO149*VLOOKUP('Données projet'!$B$16,Paramètres!$A$1:$I$89,3,0)*0.475*44/12</f>
        <v>0.5383625092371932</v>
      </c>
      <c r="FS149" s="21">
        <f>EXP(-LN(2)/2)*FS148+(1-EXP(-LN(2)/2))/(LN(2)/2)*FM149*FP149*VLOOKUP('Données projet'!$B$16,Paramètres!$A$1:$I$89,3,0)*0.475*44/12</f>
        <v>7.2555792721948464E-17</v>
      </c>
      <c r="FT149" s="22">
        <f t="shared" si="132"/>
        <v>1.2157511924127338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293.33333333333974</v>
      </c>
      <c r="S150" s="59">
        <f ca="1">AVERAGE(OFFSET($R$3,0,0,'Données projet'!$E$9+1,1))-AVERAGE(OFFSET($H$3,0,0,'Données projet'!$E$9+1,1))</f>
        <v>401.06118089678654</v>
      </c>
      <c r="T150" s="59">
        <f t="shared" si="142"/>
        <v>399.58193819355591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6.2527760746888816E-13</v>
      </c>
      <c r="AJ150" s="13">
        <f>AI150*VLOOKUP('Données projet'!$B$10,Paramètres!$A$1:$I$89,3,0)*VLOOKUP('Données projet'!$B$10,Paramètres!$A$1:$I$89,5,0)</f>
        <v>3.9017322706058616E-13</v>
      </c>
      <c r="AK150" s="13">
        <f t="shared" si="143"/>
        <v>5.0025007393608908E-12</v>
      </c>
      <c r="AL150" s="20">
        <f t="shared" si="112"/>
        <v>9.3922404915174053E-12</v>
      </c>
      <c r="AM150" s="59">
        <f t="shared" si="113"/>
        <v>293.33333333334269</v>
      </c>
      <c r="AN150" s="59">
        <f ca="1">AVERAGE(OFFSET($AM$3,0,0,'Données projet'!$E$10+1,1))-AVERAGE(OFFSET($H$3,0,0,'Données projet'!$E$10+1,1))</f>
        <v>240.30073883588199</v>
      </c>
      <c r="AO150" s="59">
        <f t="shared" si="144"/>
        <v>263.20351282678843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0.68531771938870401</v>
      </c>
      <c r="AV150" s="21">
        <f>EXP(-LN(2)/25)*AV149+(1-EXP(-LN(2)/25))/(LN(2)/25)*Calculateur!AQ150*Calculateur!AS150*VLOOKUP('Données projet'!$B$10,Paramètres!$A$1:$I$89,3,0)*0.475*44/12</f>
        <v>0.81094316174040626</v>
      </c>
      <c r="AW150" s="21">
        <f>EXP(-LN(2)/2)*AW149+(1-EXP(-LN(2)/2))/(LN(2)/2)*AQ150*AT150*VLOOKUP('Données projet'!$B$10,Paramètres!$A$1:$I$89,3,0)*0.475*44/12</f>
        <v>4.9533511182903957E-17</v>
      </c>
      <c r="AX150" s="21">
        <f t="shared" si="114"/>
        <v>1.4962608811291103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-1.0936673788819462E-13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364.67510777943329</v>
      </c>
      <c r="BJ150" s="59">
        <f t="shared" si="146"/>
        <v>352.13878061387169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0.87163847434750863</v>
      </c>
      <c r="BQ150" s="21">
        <f>EXP(-LN(2)/25)*BQ149+(1-EXP(-LN(2)/25))/(LN(2)/25)*Calculateur!BL150*Calculateur!BN150*VLOOKUP('Données projet'!$B$11,Paramètres!$A$1:$I$89,3,0)*0.475*44/12</f>
        <v>0.70278054023752001</v>
      </c>
      <c r="BR150" s="21">
        <f>EXP(-LN(2)/2)*BR149+(1-EXP(-LN(2)/2))/(LN(2)/2)*BL150*BO150*VLOOKUP('Données projet'!$B$11,Paramètres!$A$1:$I$89,3,0)*0.475*44/12</f>
        <v>6.740003742470361E-17</v>
      </c>
      <c r="BS150" s="22">
        <f t="shared" si="117"/>
        <v>1.5744190145850285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-5.3205440053716299E-14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252.98248842635206</v>
      </c>
      <c r="CE150" s="59">
        <f t="shared" si="148"/>
        <v>207.11938580878308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0.30894367546371149</v>
      </c>
      <c r="CL150" s="21">
        <f>EXP(-LN(2)/25)*CL149+(1-EXP(-LN(2)/25))/(LN(2)/25)*Calculateur!CG150*Calculateur!CI150*VLOOKUP('Données projet'!$B$12,Paramètres!$A$1:$I$89,3,0)*0.475*44/12</f>
        <v>0.30644425402804415</v>
      </c>
      <c r="CM150" s="21">
        <f>EXP(-LN(2)/2)*CM149+(1-EXP(-LN(2)/2))/(LN(2)/2)*CG150*CJ150*VLOOKUP('Données projet'!$B$12,Paramètres!$A$1:$I$89,3,0)*0.475*44/12</f>
        <v>2.4120978350251125E-17</v>
      </c>
      <c r="CN150" s="22">
        <f t="shared" si="120"/>
        <v>0.61538792949175569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-5.6843418860808015E-13</v>
      </c>
      <c r="CU150" s="17">
        <f>CT150*VLOOKUP('Données projet'!$B$13,Paramètres!$A$1:$I$89,3,0)*VLOOKUP('Données projet'!$B$13,Paramètres!$A$1:$I$89,5,0)</f>
        <v>-3.177547114319168E-13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356.67698551373468</v>
      </c>
      <c r="CZ150" s="59">
        <f t="shared" si="150"/>
        <v>353.21836615408171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0.45021566843174621</v>
      </c>
      <c r="DG150" s="21">
        <f>EXP(-LN(2)/25)*DG149+(1-EXP(-LN(2)/25))/(LN(2)/25)*Calculateur!DB150*Calculateur!DD150*VLOOKUP('Données projet'!$B$13,Paramètres!$A$1:$I$89,3,0)*0.475*44/12</f>
        <v>1.1770566585637854</v>
      </c>
      <c r="DH150" s="21">
        <f>EXP(-LN(2)/2)*DH149+(1-EXP(-LN(2)/2))/(LN(2)/2)*DB150*DE150*VLOOKUP('Données projet'!$B$13,Paramètres!$A$1:$I$89,3,0)*0.475*44/12</f>
        <v>7.9785446392293243E-17</v>
      </c>
      <c r="DI150" s="22">
        <f t="shared" si="123"/>
        <v>1.6272723269955316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-4.5474735088646412E-13</v>
      </c>
      <c r="DP150" s="17">
        <f>DO150*VLOOKUP('Données projet'!$B$14,Paramètres!$A$1:$I$89,3,0)*VLOOKUP('Données projet'!$B$14,Paramètres!$A$1:$I$89,5,0)</f>
        <v>-2.7193891583010558E-13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247.30892363953825</v>
      </c>
      <c r="DU150" s="59">
        <f t="shared" si="152"/>
        <v>248.38414731596578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0.50125400695820921</v>
      </c>
      <c r="EC150" s="21">
        <f>EXP(-LN(2)/2)*EC149+(1-EXP(-LN(2)/2))/(LN(2)/2)*DW150*DZ150*VLOOKUP('Données projet'!$B$14,Paramètres!$A$1:$I$89,3,0)*0.475*44/12</f>
        <v>5.8214514042619597E-17</v>
      </c>
      <c r="ED150" s="22">
        <f t="shared" si="126"/>
        <v>0.50125400695820932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-4.5474735088646412E-13</v>
      </c>
      <c r="EK150" s="17">
        <f>EJ150*VLOOKUP('Données projet'!$B$15,Paramètres!$A$1:$I$89,3,0)*VLOOKUP('Données projet'!$B$15,Paramètres!$A$1:$I$89,5,0)</f>
        <v>-2.7193891583010558E-13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247.30892363953825</v>
      </c>
      <c r="EP150" s="59">
        <f t="shared" si="154"/>
        <v>248.38414731596578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0.50125400695820921</v>
      </c>
      <c r="EX150" s="21">
        <f>EXP(-LN(2)/2)*EX149+(1-EXP(-LN(2)/2))/(LN(2)/2)*ER150*EU150*VLOOKUP('Données projet'!$B$15,Paramètres!$A$1:$I$89,3,0)*0.475*44/12</f>
        <v>5.8214514042619597E-17</v>
      </c>
      <c r="EY150" s="22">
        <f t="shared" si="129"/>
        <v>0.50125400695820932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6.8212102632969618E-13</v>
      </c>
      <c r="FF150" s="17">
        <f>FE150*VLOOKUP('Données projet'!$B$16,Paramètres!$A$1:$I$89,3,0)*VLOOKUP('Données projet'!$B$16,Paramètres!$A$1:$I$89,5,0)</f>
        <v>3.2810021366458383E-13</v>
      </c>
      <c r="FG150" s="13">
        <f t="shared" si="155"/>
        <v>4.2923528923937213E-12</v>
      </c>
      <c r="FH150" s="20">
        <f t="shared" si="130"/>
        <v>8.0472891597182151E-12</v>
      </c>
      <c r="FI150" s="59">
        <f t="shared" si="131"/>
        <v>293.33333333334139</v>
      </c>
      <c r="FJ150" s="59">
        <f ca="1">AVERAGE(OFFSET($FI$3,0,0,'Données projet'!$E$16+1,1))-AVERAGE(OFFSET($H$3,0,0,'Données projet'!$E$16+1,1))</f>
        <v>322.54393676667081</v>
      </c>
      <c r="FK150" s="59">
        <f t="shared" si="156"/>
        <v>296.73904998640018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0.66410550426476833</v>
      </c>
      <c r="FR150" s="21">
        <f>EXP(-LN(2)/25)*FR149+(1-EXP(-LN(2)/25))/(LN(2)/25)*Calculateur!FM150*Calculateur!FO150*VLOOKUP('Données projet'!$B$16,Paramètres!$A$1:$I$89,3,0)*0.475*44/12</f>
        <v>0.52364095811084821</v>
      </c>
      <c r="FS150" s="21">
        <f>EXP(-LN(2)/2)*FS149+(1-EXP(-LN(2)/2))/(LN(2)/2)*FM150*FP150*VLOOKUP('Données projet'!$B$16,Paramètres!$A$1:$I$89,3,0)*0.475*44/12</f>
        <v>5.1304693048055311E-17</v>
      </c>
      <c r="FT150" s="22">
        <f t="shared" si="132"/>
        <v>1.1877464623756167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293.33333333333974</v>
      </c>
      <c r="S151" s="59">
        <f ca="1">AVERAGE(OFFSET($R$3,0,0,'Données projet'!$E$9+1,1))-AVERAGE(OFFSET($H$3,0,0,'Données projet'!$E$9+1,1))</f>
        <v>401.06118089678654</v>
      </c>
      <c r="T151" s="59">
        <f t="shared" si="142"/>
        <v>399.58193819355591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6.2527760746888816E-13</v>
      </c>
      <c r="AJ151" s="13">
        <f>AI151*VLOOKUP('Données projet'!$B$10,Paramètres!$A$1:$I$89,3,0)*VLOOKUP('Données projet'!$B$10,Paramètres!$A$1:$I$89,5,0)</f>
        <v>3.9017322706058616E-13</v>
      </c>
      <c r="AK151" s="13">
        <f t="shared" si="143"/>
        <v>5.0025007393608908E-12</v>
      </c>
      <c r="AL151" s="20">
        <f t="shared" si="112"/>
        <v>9.3922404915174053E-12</v>
      </c>
      <c r="AM151" s="59">
        <f t="shared" si="113"/>
        <v>293.33333333334269</v>
      </c>
      <c r="AN151" s="59">
        <f ca="1">AVERAGE(OFFSET($AM$3,0,0,'Données projet'!$E$10+1,1))-AVERAGE(OFFSET($H$3,0,0,'Données projet'!$E$10+1,1))</f>
        <v>240.30073883588199</v>
      </c>
      <c r="AO151" s="59">
        <f t="shared" si="144"/>
        <v>263.20351282678843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0.67187905691402605</v>
      </c>
      <c r="AV151" s="21">
        <f>EXP(-LN(2)/25)*AV150+(1-EXP(-LN(2)/25))/(LN(2)/25)*Calculateur!AQ151*Calculateur!AS151*VLOOKUP('Données projet'!$B$10,Paramètres!$A$1:$I$89,3,0)*0.475*44/12</f>
        <v>0.78876787833696738</v>
      </c>
      <c r="AW151" s="21">
        <f>EXP(-LN(2)/2)*AW150+(1-EXP(-LN(2)/2))/(LN(2)/2)*AQ151*AT151*VLOOKUP('Données projet'!$B$10,Paramètres!$A$1:$I$89,3,0)*0.475*44/12</f>
        <v>3.5025481653411072E-17</v>
      </c>
      <c r="AX151" s="21">
        <f t="shared" si="114"/>
        <v>1.4606469352509934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-1.0936673788819462E-13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364.67510777943329</v>
      </c>
      <c r="BJ151" s="59">
        <f t="shared" si="146"/>
        <v>352.13878061387169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0.85454617551252754</v>
      </c>
      <c r="BQ151" s="21">
        <f>EXP(-LN(2)/25)*BQ150+(1-EXP(-LN(2)/25))/(LN(2)/25)*Calculateur!BL151*Calculateur!BN151*VLOOKUP('Données projet'!$B$11,Paramètres!$A$1:$I$89,3,0)*0.475*44/12</f>
        <v>0.68356296940710259</v>
      </c>
      <c r="BR151" s="21">
        <f>EXP(-LN(2)/2)*BR150+(1-EXP(-LN(2)/2))/(LN(2)/2)*BL151*BO151*VLOOKUP('Données projet'!$B$11,Paramètres!$A$1:$I$89,3,0)*0.475*44/12</f>
        <v>4.7659023515235011E-17</v>
      </c>
      <c r="BS151" s="22">
        <f t="shared" si="117"/>
        <v>1.53810914491963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-5.3205440053716299E-14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252.98248842635206</v>
      </c>
      <c r="CE151" s="59">
        <f t="shared" si="148"/>
        <v>207.11938580878308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0.30288547842490354</v>
      </c>
      <c r="CL151" s="21">
        <f>EXP(-LN(2)/25)*CL150+(1-EXP(-LN(2)/25))/(LN(2)/25)*Calculateur!CG151*Calculateur!CI151*VLOOKUP('Données projet'!$B$12,Paramètres!$A$1:$I$89,3,0)*0.475*44/12</f>
        <v>0.29806451978644433</v>
      </c>
      <c r="CM151" s="21">
        <f>EXP(-LN(2)/2)*CM150+(1-EXP(-LN(2)/2))/(LN(2)/2)*CG151*CJ151*VLOOKUP('Données projet'!$B$12,Paramètres!$A$1:$I$89,3,0)*0.475*44/12</f>
        <v>1.7056107360316472E-17</v>
      </c>
      <c r="CN151" s="22">
        <f t="shared" si="120"/>
        <v>0.60094999821134787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-5.6843418860808015E-13</v>
      </c>
      <c r="CU151" s="17">
        <f>CT151*VLOOKUP('Données projet'!$B$13,Paramètres!$A$1:$I$89,3,0)*VLOOKUP('Données projet'!$B$13,Paramètres!$A$1:$I$89,5,0)</f>
        <v>-3.177547114319168E-13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356.67698551373468</v>
      </c>
      <c r="CZ151" s="59">
        <f t="shared" si="150"/>
        <v>353.21836615408171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0.44138721377824247</v>
      </c>
      <c r="DG151" s="21">
        <f>EXP(-LN(2)/25)*DG150+(1-EXP(-LN(2)/25))/(LN(2)/25)*Calculateur!DB151*Calculateur!DD151*VLOOKUP('Données projet'!$B$13,Paramètres!$A$1:$I$89,3,0)*0.475*44/12</f>
        <v>1.1448699823366393</v>
      </c>
      <c r="DH151" s="21">
        <f>EXP(-LN(2)/2)*DH150+(1-EXP(-LN(2)/2))/(LN(2)/2)*DB151*DE151*VLOOKUP('Données projet'!$B$13,Paramètres!$A$1:$I$89,3,0)*0.475*44/12</f>
        <v>5.6416830183986316E-17</v>
      </c>
      <c r="DI151" s="22">
        <f t="shared" si="123"/>
        <v>1.5862571961148817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-4.5474735088646412E-13</v>
      </c>
      <c r="DP151" s="17">
        <f>DO151*VLOOKUP('Données projet'!$B$14,Paramètres!$A$1:$I$89,3,0)*VLOOKUP('Données projet'!$B$14,Paramètres!$A$1:$I$89,5,0)</f>
        <v>-2.7193891583010558E-13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247.30892363953825</v>
      </c>
      <c r="DU151" s="59">
        <f t="shared" si="152"/>
        <v>248.38414731596578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0.48754718977813438</v>
      </c>
      <c r="EC151" s="21">
        <f>EXP(-LN(2)/2)*EC150+(1-EXP(-LN(2)/2))/(LN(2)/2)*DW151*DZ151*VLOOKUP('Données projet'!$B$14,Paramètres!$A$1:$I$89,3,0)*0.475*44/12</f>
        <v>4.1163877643015815E-17</v>
      </c>
      <c r="ED151" s="22">
        <f t="shared" si="126"/>
        <v>0.48754718977813444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-4.5474735088646412E-13</v>
      </c>
      <c r="EK151" s="17">
        <f>EJ151*VLOOKUP('Données projet'!$B$15,Paramètres!$A$1:$I$89,3,0)*VLOOKUP('Données projet'!$B$15,Paramètres!$A$1:$I$89,5,0)</f>
        <v>-2.7193891583010558E-13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247.30892363953825</v>
      </c>
      <c r="EP151" s="59">
        <f t="shared" si="154"/>
        <v>248.38414731596578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0.48754718977813438</v>
      </c>
      <c r="EX151" s="21">
        <f>EXP(-LN(2)/2)*EX150+(1-EXP(-LN(2)/2))/(LN(2)/2)*ER151*EU151*VLOOKUP('Données projet'!$B$15,Paramètres!$A$1:$I$89,3,0)*0.475*44/12</f>
        <v>4.1163877643015815E-17</v>
      </c>
      <c r="EY151" s="22">
        <f t="shared" si="129"/>
        <v>0.48754718977813444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6.8212102632969618E-13</v>
      </c>
      <c r="FF151" s="17">
        <f>FE151*VLOOKUP('Données projet'!$B$16,Paramètres!$A$1:$I$89,3,0)*VLOOKUP('Données projet'!$B$16,Paramètres!$A$1:$I$89,5,0)</f>
        <v>3.2810021366458383E-13</v>
      </c>
      <c r="FG151" s="13">
        <f t="shared" si="155"/>
        <v>4.2923528923937213E-12</v>
      </c>
      <c r="FH151" s="20">
        <f t="shared" si="130"/>
        <v>8.0472891597182151E-12</v>
      </c>
      <c r="FI151" s="59">
        <f t="shared" si="131"/>
        <v>293.33333333334139</v>
      </c>
      <c r="FJ151" s="59">
        <f ca="1">AVERAGE(OFFSET($FI$3,0,0,'Données projet'!$E$16+1,1))-AVERAGE(OFFSET($H$3,0,0,'Données projet'!$E$16+1,1))</f>
        <v>322.54393676667081</v>
      </c>
      <c r="FK151" s="59">
        <f t="shared" si="156"/>
        <v>296.73904998640018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0.65108280039049704</v>
      </c>
      <c r="FR151" s="21">
        <f>EXP(-LN(2)/25)*FR150+(1-EXP(-LN(2)/25))/(LN(2)/25)*Calculateur!FM151*Calculateur!FO151*VLOOKUP('Données projet'!$B$16,Paramètres!$A$1:$I$89,3,0)*0.475*44/12</f>
        <v>0.50932196857422585</v>
      </c>
      <c r="FS151" s="21">
        <f>EXP(-LN(2)/2)*FS150+(1-EXP(-LN(2)/2))/(LN(2)/2)*FM151*FP151*VLOOKUP('Données projet'!$B$16,Paramètres!$A$1:$I$89,3,0)*0.475*44/12</f>
        <v>3.6277896360974232E-17</v>
      </c>
      <c r="FT151" s="22">
        <f t="shared" si="132"/>
        <v>1.1604047689647228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293.33333333333974</v>
      </c>
      <c r="S152" s="59">
        <f ca="1">AVERAGE(OFFSET($R$3,0,0,'Données projet'!$E$9+1,1))-AVERAGE(OFFSET($H$3,0,0,'Données projet'!$E$9+1,1))</f>
        <v>401.06118089678654</v>
      </c>
      <c r="T152" s="59">
        <f t="shared" si="142"/>
        <v>399.58193819355591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6.2527760746888816E-13</v>
      </c>
      <c r="AJ152" s="13">
        <f>AI152*VLOOKUP('Données projet'!$B$10,Paramètres!$A$1:$I$89,3,0)*VLOOKUP('Données projet'!$B$10,Paramètres!$A$1:$I$89,5,0)</f>
        <v>3.9017322706058616E-13</v>
      </c>
      <c r="AK152" s="13">
        <f t="shared" si="143"/>
        <v>5.0025007393608908E-12</v>
      </c>
      <c r="AL152" s="20">
        <f t="shared" si="112"/>
        <v>9.3922404915174053E-12</v>
      </c>
      <c r="AM152" s="59">
        <f t="shared" si="113"/>
        <v>293.33333333334269</v>
      </c>
      <c r="AN152" s="59">
        <f ca="1">AVERAGE(OFFSET($AM$3,0,0,'Données projet'!$E$10+1,1))-AVERAGE(OFFSET($H$3,0,0,'Données projet'!$E$10+1,1))</f>
        <v>240.30073883588199</v>
      </c>
      <c r="AO152" s="59">
        <f t="shared" si="144"/>
        <v>263.20351282678843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0.65870391841370179</v>
      </c>
      <c r="AV152" s="21">
        <f>EXP(-LN(2)/25)*AV151+(1-EXP(-LN(2)/25))/(LN(2)/25)*Calculateur!AQ152*Calculateur!AS152*VLOOKUP('Données projet'!$B$10,Paramètres!$A$1:$I$89,3,0)*0.475*44/12</f>
        <v>0.76719897922434299</v>
      </c>
      <c r="AW152" s="21">
        <f>EXP(-LN(2)/2)*AW151+(1-EXP(-LN(2)/2))/(LN(2)/2)*AQ152*AT152*VLOOKUP('Données projet'!$B$10,Paramètres!$A$1:$I$89,3,0)*0.475*44/12</f>
        <v>2.4766755591451978E-17</v>
      </c>
      <c r="AX152" s="21">
        <f t="shared" si="114"/>
        <v>1.4259028976380448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-1.0936673788819462E-13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364.67510777943329</v>
      </c>
      <c r="BJ152" s="59">
        <f t="shared" si="146"/>
        <v>352.13878061387169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0.83778904623242756</v>
      </c>
      <c r="BQ152" s="21">
        <f>EXP(-LN(2)/25)*BQ151+(1-EXP(-LN(2)/25))/(LN(2)/25)*Calculateur!BL152*Calculateur!BN152*VLOOKUP('Données projet'!$B$11,Paramètres!$A$1:$I$89,3,0)*0.475*44/12</f>
        <v>0.66487090406165117</v>
      </c>
      <c r="BR152" s="21">
        <f>EXP(-LN(2)/2)*BR151+(1-EXP(-LN(2)/2))/(LN(2)/2)*BL152*BO152*VLOOKUP('Données projet'!$B$11,Paramètres!$A$1:$I$89,3,0)*0.475*44/12</f>
        <v>3.3700018712351805E-17</v>
      </c>
      <c r="BS152" s="22">
        <f t="shared" si="117"/>
        <v>1.5026599502940787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-5.3205440053716299E-14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252.98248842635206</v>
      </c>
      <c r="CE152" s="59">
        <f t="shared" si="148"/>
        <v>207.11938580878308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0.29694607893489128</v>
      </c>
      <c r="CL152" s="21">
        <f>EXP(-LN(2)/25)*CL151+(1-EXP(-LN(2)/25))/(LN(2)/25)*Calculateur!CG152*Calculateur!CI152*VLOOKUP('Données projet'!$B$12,Paramètres!$A$1:$I$89,3,0)*0.475*44/12</f>
        <v>0.28991392981835212</v>
      </c>
      <c r="CM152" s="21">
        <f>EXP(-LN(2)/2)*CM151+(1-EXP(-LN(2)/2))/(LN(2)/2)*CG152*CJ152*VLOOKUP('Données projet'!$B$12,Paramètres!$A$1:$I$89,3,0)*0.475*44/12</f>
        <v>1.2060489175125562E-17</v>
      </c>
      <c r="CN152" s="22">
        <f t="shared" si="120"/>
        <v>0.5868600087532434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-5.6843418860808015E-13</v>
      </c>
      <c r="CU152" s="17">
        <f>CT152*VLOOKUP('Données projet'!$B$13,Paramètres!$A$1:$I$89,3,0)*VLOOKUP('Données projet'!$B$13,Paramètres!$A$1:$I$89,5,0)</f>
        <v>-3.177547114319168E-13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356.67698551373468</v>
      </c>
      <c r="CZ152" s="59">
        <f t="shared" si="150"/>
        <v>353.21836615408171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0.43273187973566829</v>
      </c>
      <c r="DG152" s="21">
        <f>EXP(-LN(2)/25)*DG151+(1-EXP(-LN(2)/25))/(LN(2)/25)*Calculateur!DB152*Calculateur!DD152*VLOOKUP('Données projet'!$B$13,Paramètres!$A$1:$I$89,3,0)*0.475*44/12</f>
        <v>1.113563452463548</v>
      </c>
      <c r="DH152" s="21">
        <f>EXP(-LN(2)/2)*DH151+(1-EXP(-LN(2)/2))/(LN(2)/2)*DB152*DE152*VLOOKUP('Données projet'!$B$13,Paramètres!$A$1:$I$89,3,0)*0.475*44/12</f>
        <v>3.9892723196146622E-17</v>
      </c>
      <c r="DI152" s="22">
        <f t="shared" si="123"/>
        <v>1.5462953321992163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-4.5474735088646412E-13</v>
      </c>
      <c r="DP152" s="17">
        <f>DO152*VLOOKUP('Données projet'!$B$14,Paramètres!$A$1:$I$89,3,0)*VLOOKUP('Données projet'!$B$14,Paramètres!$A$1:$I$89,5,0)</f>
        <v>-2.7193891583010558E-13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247.30892363953825</v>
      </c>
      <c r="DU152" s="59">
        <f t="shared" si="152"/>
        <v>248.38414731596578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0.47421518623465891</v>
      </c>
      <c r="EC152" s="21">
        <f>EXP(-LN(2)/2)*EC151+(1-EXP(-LN(2)/2))/(LN(2)/2)*DW152*DZ152*VLOOKUP('Données projet'!$B$14,Paramètres!$A$1:$I$89,3,0)*0.475*44/12</f>
        <v>2.9107257021309799E-17</v>
      </c>
      <c r="ED152" s="22">
        <f t="shared" si="126"/>
        <v>0.47421518623465897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-4.5474735088646412E-13</v>
      </c>
      <c r="EK152" s="17">
        <f>EJ152*VLOOKUP('Données projet'!$B$15,Paramètres!$A$1:$I$89,3,0)*VLOOKUP('Données projet'!$B$15,Paramètres!$A$1:$I$89,5,0)</f>
        <v>-2.7193891583010558E-13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247.30892363953825</v>
      </c>
      <c r="EP152" s="59">
        <f t="shared" si="154"/>
        <v>248.38414731596578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0.47421518623465891</v>
      </c>
      <c r="EX152" s="21">
        <f>EXP(-LN(2)/2)*EX151+(1-EXP(-LN(2)/2))/(LN(2)/2)*ER152*EU152*VLOOKUP('Données projet'!$B$15,Paramètres!$A$1:$I$89,3,0)*0.475*44/12</f>
        <v>2.9107257021309799E-17</v>
      </c>
      <c r="EY152" s="22">
        <f t="shared" si="129"/>
        <v>0.47421518623465897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6.8212102632969618E-13</v>
      </c>
      <c r="FF152" s="17">
        <f>FE152*VLOOKUP('Données projet'!$B$16,Paramètres!$A$1:$I$89,3,0)*VLOOKUP('Données projet'!$B$16,Paramètres!$A$1:$I$89,5,0)</f>
        <v>3.2810021366458383E-13</v>
      </c>
      <c r="FG152" s="13">
        <f t="shared" si="155"/>
        <v>4.2923528923937213E-12</v>
      </c>
      <c r="FH152" s="20">
        <f t="shared" si="130"/>
        <v>8.0472891597182151E-12</v>
      </c>
      <c r="FI152" s="59">
        <f t="shared" si="131"/>
        <v>293.33333333334139</v>
      </c>
      <c r="FJ152" s="59">
        <f ca="1">AVERAGE(OFFSET($FI$3,0,0,'Données projet'!$E$16+1,1))-AVERAGE(OFFSET($H$3,0,0,'Données projet'!$E$16+1,1))</f>
        <v>322.54393676667081</v>
      </c>
      <c r="FK152" s="59">
        <f t="shared" si="156"/>
        <v>296.73904998640018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0.63831546379613513</v>
      </c>
      <c r="FR152" s="21">
        <f>EXP(-LN(2)/25)*FR151+(1-EXP(-LN(2)/25))/(LN(2)/25)*Calculateur!FM152*Calculateur!FO152*VLOOKUP('Données projet'!$B$16,Paramètres!$A$1:$I$89,3,0)*0.475*44/12</f>
        <v>0.4953945325594854</v>
      </c>
      <c r="FS152" s="21">
        <f>EXP(-LN(2)/2)*FS151+(1-EXP(-LN(2)/2))/(LN(2)/2)*FM152*FP152*VLOOKUP('Données projet'!$B$16,Paramètres!$A$1:$I$89,3,0)*0.475*44/12</f>
        <v>2.5652346524027655E-17</v>
      </c>
      <c r="FT152" s="22">
        <f t="shared" si="132"/>
        <v>1.1337099963556205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293.33333333333974</v>
      </c>
      <c r="S153" s="59">
        <f ca="1">AVERAGE(OFFSET($R$3,0,0,'Données projet'!$E$9+1,1))-AVERAGE(OFFSET($H$3,0,0,'Données projet'!$E$9+1,1))</f>
        <v>401.06118089678654</v>
      </c>
      <c r="T153" s="59">
        <f t="shared" si="142"/>
        <v>399.58193819355591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6.2527760746888816E-13</v>
      </c>
      <c r="AJ153" s="13">
        <f>AI153*VLOOKUP('Données projet'!$B$10,Paramètres!$A$1:$I$89,3,0)*VLOOKUP('Données projet'!$B$10,Paramètres!$A$1:$I$89,5,0)</f>
        <v>3.9017322706058616E-13</v>
      </c>
      <c r="AK153" s="13">
        <f t="shared" si="143"/>
        <v>5.0025007393608908E-12</v>
      </c>
      <c r="AL153" s="20">
        <f t="shared" si="112"/>
        <v>9.3922404915174053E-12</v>
      </c>
      <c r="AM153" s="59">
        <f t="shared" si="113"/>
        <v>293.33333333334269</v>
      </c>
      <c r="AN153" s="59">
        <f ca="1">AVERAGE(OFFSET($AM$3,0,0,'Données projet'!$E$10+1,1))-AVERAGE(OFFSET($H$3,0,0,'Données projet'!$E$10+1,1))</f>
        <v>240.30073883588199</v>
      </c>
      <c r="AO153" s="59">
        <f t="shared" si="144"/>
        <v>263.20351282678843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0.64578713634332785</v>
      </c>
      <c r="AV153" s="21">
        <f>EXP(-LN(2)/25)*AV152+(1-EXP(-LN(2)/25))/(LN(2)/25)*Calculateur!AQ153*Calculateur!AS153*VLOOKUP('Données projet'!$B$10,Paramètres!$A$1:$I$89,3,0)*0.475*44/12</f>
        <v>0.74621988279221252</v>
      </c>
      <c r="AW153" s="21">
        <f>EXP(-LN(2)/2)*AW152+(1-EXP(-LN(2)/2))/(LN(2)/2)*AQ153*AT153*VLOOKUP('Données projet'!$B$10,Paramètres!$A$1:$I$89,3,0)*0.475*44/12</f>
        <v>1.7512740826705536E-17</v>
      </c>
      <c r="AX153" s="21">
        <f t="shared" si="114"/>
        <v>1.3920070191355403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-1.0936673788819462E-13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364.67510777943329</v>
      </c>
      <c r="BJ153" s="59">
        <f t="shared" si="146"/>
        <v>352.13878061387169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0.82136051403667076</v>
      </c>
      <c r="BQ153" s="21">
        <f>EXP(-LN(2)/25)*BQ152+(1-EXP(-LN(2)/25))/(LN(2)/25)*Calculateur!BL153*Calculateur!BN153*VLOOKUP('Données projet'!$B$11,Paramètres!$A$1:$I$89,3,0)*0.475*44/12</f>
        <v>0.64668997422604402</v>
      </c>
      <c r="BR153" s="21">
        <f>EXP(-LN(2)/2)*BR152+(1-EXP(-LN(2)/2))/(LN(2)/2)*BL153*BO153*VLOOKUP('Données projet'!$B$11,Paramètres!$A$1:$I$89,3,0)*0.475*44/12</f>
        <v>2.3829511757617505E-17</v>
      </c>
      <c r="BS153" s="22">
        <f t="shared" si="117"/>
        <v>1.4680504882627148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-5.3205440053716299E-14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252.98248842635206</v>
      </c>
      <c r="CE153" s="59">
        <f t="shared" si="148"/>
        <v>207.11938580878308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0.29112314744620216</v>
      </c>
      <c r="CL153" s="21">
        <f>EXP(-LN(2)/25)*CL152+(1-EXP(-LN(2)/25))/(LN(2)/25)*Calculateur!CG153*Calculateur!CI153*VLOOKUP('Données projet'!$B$12,Paramètres!$A$1:$I$89,3,0)*0.475*44/12</f>
        <v>0.28198621816155833</v>
      </c>
      <c r="CM153" s="21">
        <f>EXP(-LN(2)/2)*CM152+(1-EXP(-LN(2)/2))/(LN(2)/2)*CG153*CJ153*VLOOKUP('Données projet'!$B$12,Paramètres!$A$1:$I$89,3,0)*0.475*44/12</f>
        <v>8.5280536801582359E-18</v>
      </c>
      <c r="CN153" s="22">
        <f t="shared" si="120"/>
        <v>0.57310936560776049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-5.6843418860808015E-13</v>
      </c>
      <c r="CU153" s="17">
        <f>CT153*VLOOKUP('Données projet'!$B$13,Paramètres!$A$1:$I$89,3,0)*VLOOKUP('Données projet'!$B$13,Paramètres!$A$1:$I$89,5,0)</f>
        <v>-3.177547114319168E-13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356.67698551373468</v>
      </c>
      <c r="CZ153" s="59">
        <f t="shared" si="150"/>
        <v>353.21836615408171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0.4242462715144365</v>
      </c>
      <c r="DG153" s="21">
        <f>EXP(-LN(2)/25)*DG152+(1-EXP(-LN(2)/25))/(LN(2)/25)*Calculateur!DB153*Calculateur!DD153*VLOOKUP('Données projet'!$B$13,Paramètres!$A$1:$I$89,3,0)*0.475*44/12</f>
        <v>1.0831130012961754</v>
      </c>
      <c r="DH153" s="21">
        <f>EXP(-LN(2)/2)*DH152+(1-EXP(-LN(2)/2))/(LN(2)/2)*DB153*DE153*VLOOKUP('Données projet'!$B$13,Paramètres!$A$1:$I$89,3,0)*0.475*44/12</f>
        <v>2.8208415091993158E-17</v>
      </c>
      <c r="DI153" s="22">
        <f t="shared" si="123"/>
        <v>1.507359272810612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-4.5474735088646412E-13</v>
      </c>
      <c r="DP153" s="17">
        <f>DO153*VLOOKUP('Données projet'!$B$14,Paramètres!$A$1:$I$89,3,0)*VLOOKUP('Données projet'!$B$14,Paramètres!$A$1:$I$89,5,0)</f>
        <v>-2.7193891583010558E-13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247.30892363953825</v>
      </c>
      <c r="DU153" s="59">
        <f t="shared" si="152"/>
        <v>248.38414731596578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0.46124774702917937</v>
      </c>
      <c r="EC153" s="21">
        <f>EXP(-LN(2)/2)*EC152+(1-EXP(-LN(2)/2))/(LN(2)/2)*DW153*DZ153*VLOOKUP('Données projet'!$B$14,Paramètres!$A$1:$I$89,3,0)*0.475*44/12</f>
        <v>2.0581938821507907E-17</v>
      </c>
      <c r="ED153" s="22">
        <f t="shared" si="126"/>
        <v>0.46124774702917937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-4.5474735088646412E-13</v>
      </c>
      <c r="EK153" s="17">
        <f>EJ153*VLOOKUP('Données projet'!$B$15,Paramètres!$A$1:$I$89,3,0)*VLOOKUP('Données projet'!$B$15,Paramètres!$A$1:$I$89,5,0)</f>
        <v>-2.7193891583010558E-13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247.30892363953825</v>
      </c>
      <c r="EP153" s="59">
        <f t="shared" si="154"/>
        <v>248.38414731596578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0.46124774702917937</v>
      </c>
      <c r="EX153" s="21">
        <f>EXP(-LN(2)/2)*EX152+(1-EXP(-LN(2)/2))/(LN(2)/2)*ER153*EU153*VLOOKUP('Données projet'!$B$15,Paramètres!$A$1:$I$89,3,0)*0.475*44/12</f>
        <v>2.0581938821507907E-17</v>
      </c>
      <c r="EY153" s="22">
        <f t="shared" si="129"/>
        <v>0.46124774702917937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6.8212102632969618E-13</v>
      </c>
      <c r="FF153" s="17">
        <f>FE153*VLOOKUP('Données projet'!$B$16,Paramètres!$A$1:$I$89,3,0)*VLOOKUP('Données projet'!$B$16,Paramètres!$A$1:$I$89,5,0)</f>
        <v>3.2810021366458383E-13</v>
      </c>
      <c r="FG153" s="13">
        <f t="shared" si="155"/>
        <v>4.2923528923937213E-12</v>
      </c>
      <c r="FH153" s="20">
        <f t="shared" si="130"/>
        <v>8.0472891597182151E-12</v>
      </c>
      <c r="FI153" s="59">
        <f t="shared" si="131"/>
        <v>293.33333333334139</v>
      </c>
      <c r="FJ153" s="59">
        <f ca="1">AVERAGE(OFFSET($FI$3,0,0,'Données projet'!$E$16+1,1))-AVERAGE(OFFSET($H$3,0,0,'Données projet'!$E$16+1,1))</f>
        <v>322.54393676667081</v>
      </c>
      <c r="FK153" s="59">
        <f t="shared" si="156"/>
        <v>296.73904998640018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0.62579848688508233</v>
      </c>
      <c r="FR153" s="21">
        <f>EXP(-LN(2)/25)*FR152+(1-EXP(-LN(2)/25))/(LN(2)/25)*Calculateur!FM153*Calculateur!FO153*VLOOKUP('Données projet'!$B$16,Paramètres!$A$1:$I$89,3,0)*0.475*44/12</f>
        <v>0.48184794301498002</v>
      </c>
      <c r="FS153" s="21">
        <f>EXP(-LN(2)/2)*FS152+(1-EXP(-LN(2)/2))/(LN(2)/2)*FM153*FP153*VLOOKUP('Données projet'!$B$16,Paramètres!$A$1:$I$89,3,0)*0.475*44/12</f>
        <v>1.8138948180487116E-17</v>
      </c>
      <c r="FT153" s="22">
        <f t="shared" si="132"/>
        <v>1.1076464299000623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293.33333333333974</v>
      </c>
      <c r="S154" s="59">
        <f ca="1">AVERAGE(OFFSET($R$3,0,0,'Données projet'!$E$9+1,1))-AVERAGE(OFFSET($H$3,0,0,'Données projet'!$E$9+1,1))</f>
        <v>401.06118089678654</v>
      </c>
      <c r="T154" s="59">
        <f t="shared" si="142"/>
        <v>399.58193819355591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6.2527760746888816E-13</v>
      </c>
      <c r="AJ154" s="13">
        <f>AI154*VLOOKUP('Données projet'!$B$10,Paramètres!$A$1:$I$89,3,0)*VLOOKUP('Données projet'!$B$10,Paramètres!$A$1:$I$89,5,0)</f>
        <v>3.9017322706058616E-13</v>
      </c>
      <c r="AK154" s="13">
        <f t="shared" ref="AK154:AK203" si="164">EXP(-1.0587+0.8836*LN(AJ154)+0.284)</f>
        <v>5.0025007393608908E-12</v>
      </c>
      <c r="AL154" s="20">
        <f t="shared" ref="AL154:AL203" si="165">(AJ154+AK154)*0.475*44/12</f>
        <v>9.3922404915174053E-12</v>
      </c>
      <c r="AM154" s="59">
        <f t="shared" si="113"/>
        <v>293.33333333334269</v>
      </c>
      <c r="AN154" s="59">
        <f ca="1">AVERAGE(OFFSET($AM$3,0,0,'Données projet'!$E$10+1,1))-AVERAGE(OFFSET($H$3,0,0,'Données projet'!$E$10+1,1))</f>
        <v>240.30073883588199</v>
      </c>
      <c r="AO154" s="59">
        <f t="shared" si="144"/>
        <v>263.20351282678843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0.63312364449089487</v>
      </c>
      <c r="AV154" s="21">
        <f>EXP(-LN(2)/25)*AV153+(1-EXP(-LN(2)/25))/(LN(2)/25)*Calculateur!AQ154*Calculateur!AS154*VLOOKUP('Données projet'!$B$10,Paramètres!$A$1:$I$89,3,0)*0.475*44/12</f>
        <v>0.72581446085526136</v>
      </c>
      <c r="AW154" s="21">
        <f>EXP(-LN(2)/2)*AW153+(1-EXP(-LN(2)/2))/(LN(2)/2)*AQ154*AT154*VLOOKUP('Données projet'!$B$10,Paramètres!$A$1:$I$89,3,0)*0.475*44/12</f>
        <v>1.2383377795725989E-17</v>
      </c>
      <c r="AX154" s="21">
        <f t="shared" ref="AX154:AX203" si="166">SUM(AU154:AW154)</f>
        <v>1.3589381053461562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-1.0936673788819462E-13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364.67510777943329</v>
      </c>
      <c r="BJ154" s="59">
        <f t="shared" si="146"/>
        <v>352.13878061387169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0.80525413533685752</v>
      </c>
      <c r="BQ154" s="21">
        <f>EXP(-LN(2)/25)*BQ153+(1-EXP(-LN(2)/25))/(LN(2)/25)*Calculateur!BL154*Calculateur!BN154*VLOOKUP('Données projet'!$B$11,Paramètres!$A$1:$I$89,3,0)*0.475*44/12</f>
        <v>0.62900620287288511</v>
      </c>
      <c r="BR154" s="21">
        <f>EXP(-LN(2)/2)*BR153+(1-EXP(-LN(2)/2))/(LN(2)/2)*BL154*BO154*VLOOKUP('Données projet'!$B$11,Paramètres!$A$1:$I$89,3,0)*0.475*44/12</f>
        <v>1.6850009356175903E-17</v>
      </c>
      <c r="BS154" s="22">
        <f t="shared" ref="BS154:BS203" si="169">SUM(BP154:BR154)</f>
        <v>1.4342603382097425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-5.3205440053716299E-14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252.98248842635206</v>
      </c>
      <c r="CE154" s="59">
        <f t="shared" si="148"/>
        <v>207.11938580878308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0.28541440009236874</v>
      </c>
      <c r="CL154" s="21">
        <f>EXP(-LN(2)/25)*CL153+(1-EXP(-LN(2)/25))/(LN(2)/25)*Calculateur!CG154*Calculateur!CI154*VLOOKUP('Données projet'!$B$12,Paramètres!$A$1:$I$89,3,0)*0.475*44/12</f>
        <v>0.27427529019691982</v>
      </c>
      <c r="CM154" s="21">
        <f>EXP(-LN(2)/2)*CM153+(1-EXP(-LN(2)/2))/(LN(2)/2)*CG154*CJ154*VLOOKUP('Données projet'!$B$12,Paramètres!$A$1:$I$89,3,0)*0.475*44/12</f>
        <v>6.0302445875627812E-18</v>
      </c>
      <c r="CN154" s="22">
        <f t="shared" ref="CN154:CN203" si="172">SUM(CK154:CM154)</f>
        <v>0.5596896902892885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-5.6843418860808015E-13</v>
      </c>
      <c r="CU154" s="17">
        <f>CT154*VLOOKUP('Données projet'!$B$13,Paramètres!$A$1:$I$89,3,0)*VLOOKUP('Données projet'!$B$13,Paramètres!$A$1:$I$89,5,0)</f>
        <v>-3.177547114319168E-13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356.67698551373468</v>
      </c>
      <c r="CZ154" s="59">
        <f t="shared" si="150"/>
        <v>353.21836615408171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0.41592706089471315</v>
      </c>
      <c r="DG154" s="21">
        <f>EXP(-LN(2)/25)*DG153+(1-EXP(-LN(2)/25))/(LN(2)/25)*Calculateur!DB154*Calculateur!DD154*VLOOKUP('Données projet'!$B$13,Paramètres!$A$1:$I$89,3,0)*0.475*44/12</f>
        <v>1.0534952193172942</v>
      </c>
      <c r="DH154" s="21">
        <f>EXP(-LN(2)/2)*DH153+(1-EXP(-LN(2)/2))/(LN(2)/2)*DB154*DE154*VLOOKUP('Données projet'!$B$13,Paramètres!$A$1:$I$89,3,0)*0.475*44/12</f>
        <v>1.9946361598073311E-17</v>
      </c>
      <c r="DI154" s="22">
        <f t="shared" ref="DI154:DI203" si="175">SUM(DF154:DH154)</f>
        <v>1.4694222802120074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-4.5474735088646412E-13</v>
      </c>
      <c r="DP154" s="17">
        <f>DO154*VLOOKUP('Données projet'!$B$14,Paramètres!$A$1:$I$89,3,0)*VLOOKUP('Données projet'!$B$14,Paramètres!$A$1:$I$89,5,0)</f>
        <v>-2.7193891583010558E-13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247.30892363953825</v>
      </c>
      <c r="DU154" s="59">
        <f t="shared" si="152"/>
        <v>248.38414731596578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0.44863490313070165</v>
      </c>
      <c r="EC154" s="21">
        <f>EXP(-LN(2)/2)*EC153+(1-EXP(-LN(2)/2))/(LN(2)/2)*DW154*DZ154*VLOOKUP('Données projet'!$B$14,Paramètres!$A$1:$I$89,3,0)*0.475*44/12</f>
        <v>1.4553628510654899E-17</v>
      </c>
      <c r="ED154" s="22">
        <f t="shared" ref="ED154:ED203" si="178">SUM(EA154:EC154)</f>
        <v>0.44863490313070165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-4.5474735088646412E-13</v>
      </c>
      <c r="EK154" s="17">
        <f>EJ154*VLOOKUP('Données projet'!$B$15,Paramètres!$A$1:$I$89,3,0)*VLOOKUP('Données projet'!$B$15,Paramètres!$A$1:$I$89,5,0)</f>
        <v>-2.7193891583010558E-13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247.30892363953825</v>
      </c>
      <c r="EP154" s="59">
        <f t="shared" si="154"/>
        <v>248.38414731596578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0.44863490313070165</v>
      </c>
      <c r="EX154" s="21">
        <f>EXP(-LN(2)/2)*EX153+(1-EXP(-LN(2)/2))/(LN(2)/2)*ER154*EU154*VLOOKUP('Données projet'!$B$15,Paramètres!$A$1:$I$89,3,0)*0.475*44/12</f>
        <v>1.4553628510654899E-17</v>
      </c>
      <c r="EY154" s="22">
        <f t="shared" ref="EY154:EY203" si="181">SUM(EV154:EX154)</f>
        <v>0.44863490313070165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6.8212102632969618E-13</v>
      </c>
      <c r="FF154" s="17">
        <f>FE154*VLOOKUP('Données projet'!$B$16,Paramètres!$A$1:$I$89,3,0)*VLOOKUP('Données projet'!$B$16,Paramètres!$A$1:$I$89,5,0)</f>
        <v>3.2810021366458383E-13</v>
      </c>
      <c r="FG154" s="13">
        <f t="shared" ref="FG154:FG203" si="182">EXP(-1.0587+0.8836*LN(FF154)+0.284)</f>
        <v>4.2923528923937213E-12</v>
      </c>
      <c r="FH154" s="20">
        <f t="shared" ref="FH154:FH203" si="183">(FF154+FG154)*0.475*44/12</f>
        <v>8.0472891597182151E-12</v>
      </c>
      <c r="FI154" s="59">
        <f t="shared" si="131"/>
        <v>293.33333333334139</v>
      </c>
      <c r="FJ154" s="59">
        <f ca="1">AVERAGE(OFFSET($FI$3,0,0,'Données projet'!$E$16+1,1))-AVERAGE(OFFSET($H$3,0,0,'Données projet'!$E$16+1,1))</f>
        <v>322.54393676667081</v>
      </c>
      <c r="FK154" s="59">
        <f t="shared" si="156"/>
        <v>296.73904998640018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0.61352696025665321</v>
      </c>
      <c r="FR154" s="21">
        <f>EXP(-LN(2)/25)*FR153+(1-EXP(-LN(2)/25))/(LN(2)/25)*Calculateur!FM154*Calculateur!FO154*VLOOKUP('Données projet'!$B$16,Paramètres!$A$1:$I$89,3,0)*0.475*44/12</f>
        <v>0.46867178567395334</v>
      </c>
      <c r="FS154" s="21">
        <f>EXP(-LN(2)/2)*FS153+(1-EXP(-LN(2)/2))/(LN(2)/2)*FM154*FP154*VLOOKUP('Données projet'!$B$16,Paramètres!$A$1:$I$89,3,0)*0.475*44/12</f>
        <v>1.2826173262013828E-17</v>
      </c>
      <c r="FT154" s="22">
        <f t="shared" ref="FT154:FT203" si="184">SUM(FQ154:FS154)</f>
        <v>1.0821987459306066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293.33333333333974</v>
      </c>
      <c r="S155" s="59">
        <f ca="1">AVERAGE(OFFSET($R$3,0,0,'Données projet'!$E$9+1,1))-AVERAGE(OFFSET($H$3,0,0,'Données projet'!$E$9+1,1))</f>
        <v>401.06118089678654</v>
      </c>
      <c r="T155" s="59">
        <f t="shared" si="142"/>
        <v>399.58193819355591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6.2527760746888816E-13</v>
      </c>
      <c r="AJ155" s="13">
        <f>AI155*VLOOKUP('Données projet'!$B$10,Paramètres!$A$1:$I$89,3,0)*VLOOKUP('Données projet'!$B$10,Paramètres!$A$1:$I$89,5,0)</f>
        <v>3.9017322706058616E-13</v>
      </c>
      <c r="AK155" s="13">
        <f t="shared" si="164"/>
        <v>5.0025007393608908E-12</v>
      </c>
      <c r="AL155" s="20">
        <f t="shared" si="165"/>
        <v>9.3922404915174053E-12</v>
      </c>
      <c r="AM155" s="59">
        <f t="shared" si="113"/>
        <v>293.33333333334269</v>
      </c>
      <c r="AN155" s="59">
        <f ca="1">AVERAGE(OFFSET($AM$3,0,0,'Données projet'!$E$10+1,1))-AVERAGE(OFFSET($H$3,0,0,'Données projet'!$E$10+1,1))</f>
        <v>240.30073883588199</v>
      </c>
      <c r="AO155" s="59">
        <f t="shared" si="144"/>
        <v>263.20351282678843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0.62070847598972068</v>
      </c>
      <c r="AV155" s="21">
        <f>EXP(-LN(2)/25)*AV154+(1-EXP(-LN(2)/25))/(LN(2)/25)*Calculateur!AQ155*Calculateur!AS155*VLOOKUP('Données projet'!$B$10,Paramètres!$A$1:$I$89,3,0)*0.475*44/12</f>
        <v>0.70596702625425056</v>
      </c>
      <c r="AW155" s="21">
        <f>EXP(-LN(2)/2)*AW154+(1-EXP(-LN(2)/2))/(LN(2)/2)*AQ155*AT155*VLOOKUP('Données projet'!$B$10,Paramètres!$A$1:$I$89,3,0)*0.475*44/12</f>
        <v>8.7563704133527681E-18</v>
      </c>
      <c r="AX155" s="21">
        <f t="shared" si="166"/>
        <v>1.3266755022439711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-1.0936673788819462E-13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364.67510777943329</v>
      </c>
      <c r="BJ155" s="59">
        <f t="shared" si="146"/>
        <v>352.13878061387169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0.78946359289942658</v>
      </c>
      <c r="BQ155" s="21">
        <f>EXP(-LN(2)/25)*BQ154+(1-EXP(-LN(2)/25))/(LN(2)/25)*Calculateur!BL155*Calculateur!BN155*VLOOKUP('Données projet'!$B$11,Paramètres!$A$1:$I$89,3,0)*0.475*44/12</f>
        <v>0.61180599517732748</v>
      </c>
      <c r="BR155" s="21">
        <f>EXP(-LN(2)/2)*BR154+(1-EXP(-LN(2)/2))/(LN(2)/2)*BL155*BO155*VLOOKUP('Données projet'!$B$11,Paramètres!$A$1:$I$89,3,0)*0.475*44/12</f>
        <v>1.1914755878808753E-17</v>
      </c>
      <c r="BS155" s="22">
        <f t="shared" si="169"/>
        <v>1.4012695880767541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-5.3205440053716299E-14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252.98248842635206</v>
      </c>
      <c r="CE155" s="59">
        <f t="shared" si="148"/>
        <v>207.11938580878308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0.27981759779215193</v>
      </c>
      <c r="CL155" s="21">
        <f>EXP(-LN(2)/25)*CL154+(1-EXP(-LN(2)/25))/(LN(2)/25)*Calculateur!CG155*Calculateur!CI155*VLOOKUP('Données projet'!$B$12,Paramètres!$A$1:$I$89,3,0)*0.475*44/12</f>
        <v>0.26677521796297438</v>
      </c>
      <c r="CM155" s="21">
        <f>EXP(-LN(2)/2)*CM154+(1-EXP(-LN(2)/2))/(LN(2)/2)*CG155*CJ155*VLOOKUP('Données projet'!$B$12,Paramètres!$A$1:$I$89,3,0)*0.475*44/12</f>
        <v>4.264026840079118E-18</v>
      </c>
      <c r="CN155" s="22">
        <f t="shared" si="172"/>
        <v>0.5465928157551263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-5.6843418860808015E-13</v>
      </c>
      <c r="CU155" s="17">
        <f>CT155*VLOOKUP('Données projet'!$B$13,Paramètres!$A$1:$I$89,3,0)*VLOOKUP('Données projet'!$B$13,Paramètres!$A$1:$I$89,5,0)</f>
        <v>-3.177547114319168E-13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356.67698551373468</v>
      </c>
      <c r="CZ155" s="59">
        <f t="shared" si="150"/>
        <v>353.21836615408171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0.40777098492102515</v>
      </c>
      <c r="DG155" s="21">
        <f>EXP(-LN(2)/25)*DG154+(1-EXP(-LN(2)/25))/(LN(2)/25)*Calculateur!DB155*Calculateur!DD155*VLOOKUP('Données projet'!$B$13,Paramètres!$A$1:$I$89,3,0)*0.475*44/12</f>
        <v>1.0246873371441569</v>
      </c>
      <c r="DH155" s="21">
        <f>EXP(-LN(2)/2)*DH154+(1-EXP(-LN(2)/2))/(LN(2)/2)*DB155*DE155*VLOOKUP('Données projet'!$B$13,Paramètres!$A$1:$I$89,3,0)*0.475*44/12</f>
        <v>1.4104207545996579E-17</v>
      </c>
      <c r="DI155" s="22">
        <f t="shared" si="175"/>
        <v>1.4324583220651821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-4.5474735088646412E-13</v>
      </c>
      <c r="DP155" s="17">
        <f>DO155*VLOOKUP('Données projet'!$B$14,Paramètres!$A$1:$I$89,3,0)*VLOOKUP('Données projet'!$B$14,Paramètres!$A$1:$I$89,5,0)</f>
        <v>-2.7193891583010558E-13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247.30892363953825</v>
      </c>
      <c r="DU155" s="59">
        <f t="shared" si="152"/>
        <v>248.38414731596578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0.4363669581119084</v>
      </c>
      <c r="EC155" s="21">
        <f>EXP(-LN(2)/2)*EC154+(1-EXP(-LN(2)/2))/(LN(2)/2)*DW155*DZ155*VLOOKUP('Données projet'!$B$14,Paramètres!$A$1:$I$89,3,0)*0.475*44/12</f>
        <v>1.0290969410753954E-17</v>
      </c>
      <c r="ED155" s="22">
        <f t="shared" si="178"/>
        <v>0.4363669581119084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-4.5474735088646412E-13</v>
      </c>
      <c r="EK155" s="17">
        <f>EJ155*VLOOKUP('Données projet'!$B$15,Paramètres!$A$1:$I$89,3,0)*VLOOKUP('Données projet'!$B$15,Paramètres!$A$1:$I$89,5,0)</f>
        <v>-2.7193891583010558E-13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247.30892363953825</v>
      </c>
      <c r="EP155" s="59">
        <f t="shared" si="154"/>
        <v>248.38414731596578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0.4363669581119084</v>
      </c>
      <c r="EX155" s="21">
        <f>EXP(-LN(2)/2)*EX154+(1-EXP(-LN(2)/2))/(LN(2)/2)*ER155*EU155*VLOOKUP('Données projet'!$B$15,Paramètres!$A$1:$I$89,3,0)*0.475*44/12</f>
        <v>1.0290969410753954E-17</v>
      </c>
      <c r="EY155" s="22">
        <f t="shared" si="181"/>
        <v>0.4363669581119084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6.8212102632969618E-13</v>
      </c>
      <c r="FF155" s="17">
        <f>FE155*VLOOKUP('Données projet'!$B$16,Paramètres!$A$1:$I$89,3,0)*VLOOKUP('Données projet'!$B$16,Paramètres!$A$1:$I$89,5,0)</f>
        <v>3.2810021366458383E-13</v>
      </c>
      <c r="FG155" s="13">
        <f t="shared" si="182"/>
        <v>4.2923528923937213E-12</v>
      </c>
      <c r="FH155" s="20">
        <f t="shared" si="183"/>
        <v>8.0472891597182151E-12</v>
      </c>
      <c r="FI155" s="59">
        <f t="shared" si="131"/>
        <v>293.33333333334139</v>
      </c>
      <c r="FJ155" s="59">
        <f ca="1">AVERAGE(OFFSET($FI$3,0,0,'Données projet'!$E$16+1,1))-AVERAGE(OFFSET($H$3,0,0,'Données projet'!$E$16+1,1))</f>
        <v>322.54393676667081</v>
      </c>
      <c r="FK155" s="59">
        <f t="shared" si="156"/>
        <v>296.73904998640018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0.60149607078051537</v>
      </c>
      <c r="FR155" s="21">
        <f>EXP(-LN(2)/25)*FR154+(1-EXP(-LN(2)/25))/(LN(2)/25)*Calculateur!FM155*Calculateur!FO155*VLOOKUP('Données projet'!$B$16,Paramètres!$A$1:$I$89,3,0)*0.475*44/12</f>
        <v>0.45585593104832106</v>
      </c>
      <c r="FS155" s="21">
        <f>EXP(-LN(2)/2)*FS154+(1-EXP(-LN(2)/2))/(LN(2)/2)*FM155*FP155*VLOOKUP('Données projet'!$B$16,Paramètres!$A$1:$I$89,3,0)*0.475*44/12</f>
        <v>9.069474090243558E-18</v>
      </c>
      <c r="FT155" s="22">
        <f t="shared" si="184"/>
        <v>1.0573520018288365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293.33333333333974</v>
      </c>
      <c r="S156" s="59">
        <f ca="1">AVERAGE(OFFSET($R$3,0,0,'Données projet'!$E$9+1,1))-AVERAGE(OFFSET($H$3,0,0,'Données projet'!$E$9+1,1))</f>
        <v>401.06118089678654</v>
      </c>
      <c r="T156" s="59">
        <f t="shared" si="142"/>
        <v>399.58193819355591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6.2527760746888816E-13</v>
      </c>
      <c r="AJ156" s="13">
        <f>AI156*VLOOKUP('Données projet'!$B$10,Paramètres!$A$1:$I$89,3,0)*VLOOKUP('Données projet'!$B$10,Paramètres!$A$1:$I$89,5,0)</f>
        <v>3.9017322706058616E-13</v>
      </c>
      <c r="AK156" s="13">
        <f t="shared" si="164"/>
        <v>5.0025007393608908E-12</v>
      </c>
      <c r="AL156" s="20">
        <f t="shared" si="165"/>
        <v>9.3922404915174053E-12</v>
      </c>
      <c r="AM156" s="59">
        <f t="shared" si="113"/>
        <v>293.33333333334269</v>
      </c>
      <c r="AN156" s="59">
        <f ca="1">AVERAGE(OFFSET($AM$3,0,0,'Données projet'!$E$10+1,1))-AVERAGE(OFFSET($H$3,0,0,'Données projet'!$E$10+1,1))</f>
        <v>240.30073883588199</v>
      </c>
      <c r="AO156" s="59">
        <f t="shared" si="144"/>
        <v>263.20351282678843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0.60853676137034951</v>
      </c>
      <c r="AV156" s="21">
        <f>EXP(-LN(2)/25)*AV155+(1-EXP(-LN(2)/25))/(LN(2)/25)*Calculateur!AQ156*Calculateur!AS156*VLOOKUP('Données projet'!$B$10,Paramètres!$A$1:$I$89,3,0)*0.475*44/12</f>
        <v>0.68666232079613565</v>
      </c>
      <c r="AW156" s="21">
        <f>EXP(-LN(2)/2)*AW155+(1-EXP(-LN(2)/2))/(LN(2)/2)*AQ156*AT156*VLOOKUP('Données projet'!$B$10,Paramètres!$A$1:$I$89,3,0)*0.475*44/12</f>
        <v>6.1916888978629946E-18</v>
      </c>
      <c r="AX156" s="21">
        <f t="shared" si="166"/>
        <v>1.2951990821664852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-1.0936673788819462E-13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364.67510777943329</v>
      </c>
      <c r="BJ156" s="59">
        <f t="shared" si="146"/>
        <v>352.13878061387169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0.77398269336791381</v>
      </c>
      <c r="BQ156" s="21">
        <f>EXP(-LN(2)/25)*BQ155+(1-EXP(-LN(2)/25))/(LN(2)/25)*Calculateur!BL156*Calculateur!BN156*VLOOKUP('Données projet'!$B$11,Paramètres!$A$1:$I$89,3,0)*0.475*44/12</f>
        <v>0.59507612806572452</v>
      </c>
      <c r="BR156" s="21">
        <f>EXP(-LN(2)/2)*BR155+(1-EXP(-LN(2)/2))/(LN(2)/2)*BL156*BO156*VLOOKUP('Données projet'!$B$11,Paramètres!$A$1:$I$89,3,0)*0.475*44/12</f>
        <v>8.4250046780879513E-18</v>
      </c>
      <c r="BS156" s="22">
        <f t="shared" si="169"/>
        <v>1.3690588214336383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-5.3205440053716299E-14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252.98248842635206</v>
      </c>
      <c r="CE156" s="59">
        <f t="shared" si="148"/>
        <v>207.11938580878308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0.27433054537133006</v>
      </c>
      <c r="CL156" s="21">
        <f>EXP(-LN(2)/25)*CL155+(1-EXP(-LN(2)/25))/(LN(2)/25)*Calculateur!CG156*Calculateur!CI156*VLOOKUP('Données projet'!$B$12,Paramètres!$A$1:$I$89,3,0)*0.475*44/12</f>
        <v>0.25948023559867783</v>
      </c>
      <c r="CM156" s="21">
        <f>EXP(-LN(2)/2)*CM155+(1-EXP(-LN(2)/2))/(LN(2)/2)*CG156*CJ156*VLOOKUP('Données projet'!$B$12,Paramètres!$A$1:$I$89,3,0)*0.475*44/12</f>
        <v>3.0151222937813906E-18</v>
      </c>
      <c r="CN156" s="22">
        <f t="shared" si="172"/>
        <v>0.53381078097000789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-5.6843418860808015E-13</v>
      </c>
      <c r="CU156" s="17">
        <f>CT156*VLOOKUP('Données projet'!$B$13,Paramètres!$A$1:$I$89,3,0)*VLOOKUP('Données projet'!$B$13,Paramètres!$A$1:$I$89,5,0)</f>
        <v>-3.177547114319168E-13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356.67698551373468</v>
      </c>
      <c r="CZ156" s="59">
        <f t="shared" si="150"/>
        <v>353.21836615408171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0.39977484462246599</v>
      </c>
      <c r="DG156" s="21">
        <f>EXP(-LN(2)/25)*DG155+(1-EXP(-LN(2)/25))/(LN(2)/25)*Calculateur!DB156*Calculateur!DD156*VLOOKUP('Données projet'!$B$13,Paramètres!$A$1:$I$89,3,0)*0.475*44/12</f>
        <v>0.9966672080239849</v>
      </c>
      <c r="DH156" s="21">
        <f>EXP(-LN(2)/2)*DH155+(1-EXP(-LN(2)/2))/(LN(2)/2)*DB156*DE156*VLOOKUP('Données projet'!$B$13,Paramètres!$A$1:$I$89,3,0)*0.475*44/12</f>
        <v>9.9731807990366554E-18</v>
      </c>
      <c r="DI156" s="22">
        <f t="shared" si="175"/>
        <v>1.3964420526464509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-4.5474735088646412E-13</v>
      </c>
      <c r="DP156" s="17">
        <f>DO156*VLOOKUP('Données projet'!$B$14,Paramètres!$A$1:$I$89,3,0)*VLOOKUP('Données projet'!$B$14,Paramètres!$A$1:$I$89,5,0)</f>
        <v>-2.7193891583010558E-13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247.30892363953825</v>
      </c>
      <c r="DU156" s="59">
        <f t="shared" si="152"/>
        <v>248.38414731596578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0.42443448069479728</v>
      </c>
      <c r="EC156" s="21">
        <f>EXP(-LN(2)/2)*EC155+(1-EXP(-LN(2)/2))/(LN(2)/2)*DW156*DZ156*VLOOKUP('Données projet'!$B$14,Paramètres!$A$1:$I$89,3,0)*0.475*44/12</f>
        <v>7.2768142553274497E-18</v>
      </c>
      <c r="ED156" s="22">
        <f t="shared" si="178"/>
        <v>0.42443448069479728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-4.5474735088646412E-13</v>
      </c>
      <c r="EK156" s="17">
        <f>EJ156*VLOOKUP('Données projet'!$B$15,Paramètres!$A$1:$I$89,3,0)*VLOOKUP('Données projet'!$B$15,Paramètres!$A$1:$I$89,5,0)</f>
        <v>-2.7193891583010558E-13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247.30892363953825</v>
      </c>
      <c r="EP156" s="59">
        <f t="shared" si="154"/>
        <v>248.38414731596578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0.42443448069479728</v>
      </c>
      <c r="EX156" s="21">
        <f>EXP(-LN(2)/2)*EX155+(1-EXP(-LN(2)/2))/(LN(2)/2)*ER156*EU156*VLOOKUP('Données projet'!$B$15,Paramètres!$A$1:$I$89,3,0)*0.475*44/12</f>
        <v>7.2768142553274497E-18</v>
      </c>
      <c r="EY156" s="22">
        <f t="shared" si="181"/>
        <v>0.42443448069479728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6.8212102632969618E-13</v>
      </c>
      <c r="FF156" s="17">
        <f>FE156*VLOOKUP('Données projet'!$B$16,Paramètres!$A$1:$I$89,3,0)*VLOOKUP('Données projet'!$B$16,Paramètres!$A$1:$I$89,5,0)</f>
        <v>3.2810021366458383E-13</v>
      </c>
      <c r="FG156" s="13">
        <f t="shared" si="182"/>
        <v>4.2923528923937213E-12</v>
      </c>
      <c r="FH156" s="20">
        <f t="shared" si="183"/>
        <v>8.0472891597182151E-12</v>
      </c>
      <c r="FI156" s="59">
        <f t="shared" si="131"/>
        <v>293.33333333334139</v>
      </c>
      <c r="FJ156" s="59">
        <f ca="1">AVERAGE(OFFSET($FI$3,0,0,'Données projet'!$E$16+1,1))-AVERAGE(OFFSET($H$3,0,0,'Données projet'!$E$16+1,1))</f>
        <v>322.54393676667081</v>
      </c>
      <c r="FK156" s="59">
        <f t="shared" si="156"/>
        <v>296.73904998640018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0.58970109970888662</v>
      </c>
      <c r="FR156" s="21">
        <f>EXP(-LN(2)/25)*FR155+(1-EXP(-LN(2)/25))/(LN(2)/25)*Calculateur!FM156*Calculateur!FO156*VLOOKUP('Données projet'!$B$16,Paramètres!$A$1:$I$89,3,0)*0.475*44/12</f>
        <v>0.44339052664138318</v>
      </c>
      <c r="FS156" s="21">
        <f>EXP(-LN(2)/2)*FS155+(1-EXP(-LN(2)/2))/(LN(2)/2)*FM156*FP156*VLOOKUP('Données projet'!$B$16,Paramètres!$A$1:$I$89,3,0)*0.475*44/12</f>
        <v>6.4130866310069138E-18</v>
      </c>
      <c r="FT156" s="22">
        <f t="shared" si="184"/>
        <v>1.0330916263502699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293.33333333333974</v>
      </c>
      <c r="S157" s="59">
        <f ca="1">AVERAGE(OFFSET($R$3,0,0,'Données projet'!$E$9+1,1))-AVERAGE(OFFSET($H$3,0,0,'Données projet'!$E$9+1,1))</f>
        <v>401.06118089678654</v>
      </c>
      <c r="T157" s="59">
        <f t="shared" si="142"/>
        <v>399.58193819355591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6.2527760746888816E-13</v>
      </c>
      <c r="AJ157" s="13">
        <f>AI157*VLOOKUP('Données projet'!$B$10,Paramètres!$A$1:$I$89,3,0)*VLOOKUP('Données projet'!$B$10,Paramètres!$A$1:$I$89,5,0)</f>
        <v>3.9017322706058616E-13</v>
      </c>
      <c r="AK157" s="13">
        <f t="shared" si="164"/>
        <v>5.0025007393608908E-12</v>
      </c>
      <c r="AL157" s="20">
        <f t="shared" si="165"/>
        <v>9.3922404915174053E-12</v>
      </c>
      <c r="AM157" s="59">
        <f t="shared" si="113"/>
        <v>293.33333333334269</v>
      </c>
      <c r="AN157" s="59">
        <f ca="1">AVERAGE(OFFSET($AM$3,0,0,'Données projet'!$E$10+1,1))-AVERAGE(OFFSET($H$3,0,0,'Données projet'!$E$10+1,1))</f>
        <v>240.30073883588199</v>
      </c>
      <c r="AO157" s="59">
        <f t="shared" si="144"/>
        <v>263.20351282678843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0.59660372665065131</v>
      </c>
      <c r="AV157" s="21">
        <f>EXP(-LN(2)/25)*AV156+(1-EXP(-LN(2)/25))/(LN(2)/25)*Calculateur!AQ157*Calculateur!AS157*VLOOKUP('Données projet'!$B$10,Paramètres!$A$1:$I$89,3,0)*0.475*44/12</f>
        <v>0.66788550352396325</v>
      </c>
      <c r="AW157" s="21">
        <f>EXP(-LN(2)/2)*AW156+(1-EXP(-LN(2)/2))/(LN(2)/2)*AQ157*AT157*VLOOKUP('Données projet'!$B$10,Paramètres!$A$1:$I$89,3,0)*0.475*44/12</f>
        <v>4.3781852066763841E-18</v>
      </c>
      <c r="AX157" s="21">
        <f t="shared" si="166"/>
        <v>1.2644892301746147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-1.0936673788819462E-13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364.67510777943329</v>
      </c>
      <c r="BJ157" s="59">
        <f t="shared" si="146"/>
        <v>352.13878061387169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0.75880536483379768</v>
      </c>
      <c r="BQ157" s="21">
        <f>EXP(-LN(2)/25)*BQ156+(1-EXP(-LN(2)/25))/(LN(2)/25)*Calculateur!BL157*Calculateur!BN157*VLOOKUP('Données projet'!$B$11,Paramètres!$A$1:$I$89,3,0)*0.475*44/12</f>
        <v>0.57880374005007373</v>
      </c>
      <c r="BR157" s="21">
        <f>EXP(-LN(2)/2)*BR156+(1-EXP(-LN(2)/2))/(LN(2)/2)*BL157*BO157*VLOOKUP('Données projet'!$B$11,Paramètres!$A$1:$I$89,3,0)*0.475*44/12</f>
        <v>5.9573779394043763E-18</v>
      </c>
      <c r="BS157" s="22">
        <f t="shared" si="169"/>
        <v>1.3376091048838714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-5.3205440053716299E-14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252.98248842635206</v>
      </c>
      <c r="CE157" s="59">
        <f t="shared" si="148"/>
        <v>207.11938580878308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0.26895109070170897</v>
      </c>
      <c r="CL157" s="21">
        <f>EXP(-LN(2)/25)*CL156+(1-EXP(-LN(2)/25))/(LN(2)/25)*Calculateur!CG157*Calculateur!CI157*VLOOKUP('Données projet'!$B$12,Paramètres!$A$1:$I$89,3,0)*0.475*44/12</f>
        <v>0.25238473491075947</v>
      </c>
      <c r="CM157" s="21">
        <f>EXP(-LN(2)/2)*CM156+(1-EXP(-LN(2)/2))/(LN(2)/2)*CG157*CJ157*VLOOKUP('Données projet'!$B$12,Paramètres!$A$1:$I$89,3,0)*0.475*44/12</f>
        <v>2.132013420039559E-18</v>
      </c>
      <c r="CN157" s="22">
        <f t="shared" si="172"/>
        <v>0.5213358256124685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-5.6843418860808015E-13</v>
      </c>
      <c r="CU157" s="17">
        <f>CT157*VLOOKUP('Données projet'!$B$13,Paramètres!$A$1:$I$89,3,0)*VLOOKUP('Données projet'!$B$13,Paramètres!$A$1:$I$89,5,0)</f>
        <v>-3.177547114319168E-13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356.67698551373468</v>
      </c>
      <c r="CZ157" s="59">
        <f t="shared" si="150"/>
        <v>353.21836615408171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0.39193550375799757</v>
      </c>
      <c r="DG157" s="21">
        <f>EXP(-LN(2)/25)*DG156+(1-EXP(-LN(2)/25))/(LN(2)/25)*Calculateur!DB157*Calculateur!DD157*VLOOKUP('Données projet'!$B$13,Paramètres!$A$1:$I$89,3,0)*0.475*44/12</f>
        <v>0.96941329080811844</v>
      </c>
      <c r="DH157" s="21">
        <f>EXP(-LN(2)/2)*DH156+(1-EXP(-LN(2)/2))/(LN(2)/2)*DB157*DE157*VLOOKUP('Données projet'!$B$13,Paramètres!$A$1:$I$89,3,0)*0.475*44/12</f>
        <v>7.0521037729982895E-18</v>
      </c>
      <c r="DI157" s="22">
        <f t="shared" si="175"/>
        <v>1.361348794566116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-4.5474735088646412E-13</v>
      </c>
      <c r="DP157" s="17">
        <f>DO157*VLOOKUP('Données projet'!$B$14,Paramètres!$A$1:$I$89,3,0)*VLOOKUP('Données projet'!$B$14,Paramètres!$A$1:$I$89,5,0)</f>
        <v>-2.7193891583010558E-13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247.30892363953825</v>
      </c>
      <c r="DU157" s="59">
        <f t="shared" si="152"/>
        <v>248.38414731596578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0.41282829750015876</v>
      </c>
      <c r="EC157" s="21">
        <f>EXP(-LN(2)/2)*EC156+(1-EXP(-LN(2)/2))/(LN(2)/2)*DW157*DZ157*VLOOKUP('Données projet'!$B$14,Paramètres!$A$1:$I$89,3,0)*0.475*44/12</f>
        <v>5.1454847053769769E-18</v>
      </c>
      <c r="ED157" s="22">
        <f t="shared" si="178"/>
        <v>0.41282829750015876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-4.5474735088646412E-13</v>
      </c>
      <c r="EK157" s="17">
        <f>EJ157*VLOOKUP('Données projet'!$B$15,Paramètres!$A$1:$I$89,3,0)*VLOOKUP('Données projet'!$B$15,Paramètres!$A$1:$I$89,5,0)</f>
        <v>-2.7193891583010558E-13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247.30892363953825</v>
      </c>
      <c r="EP157" s="59">
        <f t="shared" si="154"/>
        <v>248.38414731596578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0.41282829750015876</v>
      </c>
      <c r="EX157" s="21">
        <f>EXP(-LN(2)/2)*EX156+(1-EXP(-LN(2)/2))/(LN(2)/2)*ER157*EU157*VLOOKUP('Données projet'!$B$15,Paramètres!$A$1:$I$89,3,0)*0.475*44/12</f>
        <v>5.1454847053769769E-18</v>
      </c>
      <c r="EY157" s="22">
        <f t="shared" si="181"/>
        <v>0.41282829750015876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6.8212102632969618E-13</v>
      </c>
      <c r="FF157" s="17">
        <f>FE157*VLOOKUP('Données projet'!$B$16,Paramètres!$A$1:$I$89,3,0)*VLOOKUP('Données projet'!$B$16,Paramètres!$A$1:$I$89,5,0)</f>
        <v>3.2810021366458383E-13</v>
      </c>
      <c r="FG157" s="13">
        <f t="shared" si="182"/>
        <v>4.2923528923937213E-12</v>
      </c>
      <c r="FH157" s="20">
        <f t="shared" si="183"/>
        <v>8.0472891597182151E-12</v>
      </c>
      <c r="FI157" s="59">
        <f t="shared" si="131"/>
        <v>293.33333333334139</v>
      </c>
      <c r="FJ157" s="59">
        <f ca="1">AVERAGE(OFFSET($FI$3,0,0,'Données projet'!$E$16+1,1))-AVERAGE(OFFSET($H$3,0,0,'Données projet'!$E$16+1,1))</f>
        <v>322.54393676667081</v>
      </c>
      <c r="FK157" s="59">
        <f t="shared" si="156"/>
        <v>296.73904998640018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0.57813742082575048</v>
      </c>
      <c r="FR157" s="21">
        <f>EXP(-LN(2)/25)*FR156+(1-EXP(-LN(2)/25))/(LN(2)/25)*Calculateur!FM157*Calculateur!FO157*VLOOKUP('Données projet'!$B$16,Paramètres!$A$1:$I$89,3,0)*0.475*44/12</f>
        <v>0.43126598937348015</v>
      </c>
      <c r="FS157" s="21">
        <f>EXP(-LN(2)/2)*FS156+(1-EXP(-LN(2)/2))/(LN(2)/2)*FM157*FP157*VLOOKUP('Données projet'!$B$16,Paramètres!$A$1:$I$89,3,0)*0.475*44/12</f>
        <v>4.534737045121779E-18</v>
      </c>
      <c r="FT157" s="22">
        <f t="shared" si="184"/>
        <v>1.0094034101992306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293.33333333333974</v>
      </c>
      <c r="S158" s="59">
        <f ca="1">AVERAGE(OFFSET($R$3,0,0,'Données projet'!$E$9+1,1))-AVERAGE(OFFSET($H$3,0,0,'Données projet'!$E$9+1,1))</f>
        <v>401.06118089678654</v>
      </c>
      <c r="T158" s="59">
        <f t="shared" si="142"/>
        <v>399.58193819355591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6.2527760746888816E-13</v>
      </c>
      <c r="AJ158" s="13">
        <f>AI158*VLOOKUP('Données projet'!$B$10,Paramètres!$A$1:$I$89,3,0)*VLOOKUP('Données projet'!$B$10,Paramètres!$A$1:$I$89,5,0)</f>
        <v>3.9017322706058616E-13</v>
      </c>
      <c r="AK158" s="13">
        <f t="shared" si="164"/>
        <v>5.0025007393608908E-12</v>
      </c>
      <c r="AL158" s="20">
        <f t="shared" si="165"/>
        <v>9.3922404915174053E-12</v>
      </c>
      <c r="AM158" s="59">
        <f t="shared" si="113"/>
        <v>293.33333333334269</v>
      </c>
      <c r="AN158" s="59">
        <f ca="1">AVERAGE(OFFSET($AM$3,0,0,'Données projet'!$E$10+1,1))-AVERAGE(OFFSET($H$3,0,0,'Données projet'!$E$10+1,1))</f>
        <v>240.30073883588199</v>
      </c>
      <c r="AO158" s="59">
        <f t="shared" si="144"/>
        <v>263.20351282678843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0.58490469146337387</v>
      </c>
      <c r="AV158" s="21">
        <f>EXP(-LN(2)/25)*AV157+(1-EXP(-LN(2)/25))/(LN(2)/25)*Calculateur!AQ158*Calculateur!AS158*VLOOKUP('Données projet'!$B$10,Paramètres!$A$1:$I$89,3,0)*0.475*44/12</f>
        <v>0.64962213930752832</v>
      </c>
      <c r="AW158" s="21">
        <f>EXP(-LN(2)/2)*AW157+(1-EXP(-LN(2)/2))/(LN(2)/2)*AQ158*AT158*VLOOKUP('Données projet'!$B$10,Paramètres!$A$1:$I$89,3,0)*0.475*44/12</f>
        <v>3.0958444489314973E-18</v>
      </c>
      <c r="AX158" s="21">
        <f t="shared" si="166"/>
        <v>1.2345268307709021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-1.0936673788819462E-13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364.67510777943329</v>
      </c>
      <c r="BJ158" s="59">
        <f t="shared" si="146"/>
        <v>352.13878061387169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0.74392565445497927</v>
      </c>
      <c r="BQ158" s="21">
        <f>EXP(-LN(2)/25)*BQ157+(1-EXP(-LN(2)/25))/(LN(2)/25)*Calculateur!BL158*Calculateur!BN158*VLOOKUP('Données projet'!$B$11,Paramètres!$A$1:$I$89,3,0)*0.475*44/12</f>
        <v>0.56297632134043862</v>
      </c>
      <c r="BR158" s="21">
        <f>EXP(-LN(2)/2)*BR157+(1-EXP(-LN(2)/2))/(LN(2)/2)*BL158*BO158*VLOOKUP('Données projet'!$B$11,Paramètres!$A$1:$I$89,3,0)*0.475*44/12</f>
        <v>4.2125023390439756E-18</v>
      </c>
      <c r="BS158" s="22">
        <f t="shared" si="169"/>
        <v>1.3069019757954179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-5.3205440053716299E-14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252.98248842635206</v>
      </c>
      <c r="CE158" s="59">
        <f t="shared" si="148"/>
        <v>207.11938580878308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0.2636771238570158</v>
      </c>
      <c r="CL158" s="21">
        <f>EXP(-LN(2)/25)*CL157+(1-EXP(-LN(2)/25))/(LN(2)/25)*Calculateur!CG158*Calculateur!CI158*VLOOKUP('Données projet'!$B$12,Paramètres!$A$1:$I$89,3,0)*0.475*44/12</f>
        <v>0.24548326106228838</v>
      </c>
      <c r="CM158" s="21">
        <f>EXP(-LN(2)/2)*CM157+(1-EXP(-LN(2)/2))/(LN(2)/2)*CG158*CJ158*VLOOKUP('Données projet'!$B$12,Paramètres!$A$1:$I$89,3,0)*0.475*44/12</f>
        <v>1.5075611468906953E-18</v>
      </c>
      <c r="CN158" s="22">
        <f t="shared" si="172"/>
        <v>0.50916038491930415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-5.6843418860808015E-13</v>
      </c>
      <c r="CU158" s="17">
        <f>CT158*VLOOKUP('Données projet'!$B$13,Paramètres!$A$1:$I$89,3,0)*VLOOKUP('Données projet'!$B$13,Paramètres!$A$1:$I$89,5,0)</f>
        <v>-3.177547114319168E-13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356.67698551373468</v>
      </c>
      <c r="CZ158" s="59">
        <f t="shared" si="150"/>
        <v>353.21836615408171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0.38424988758635559</v>
      </c>
      <c r="DG158" s="21">
        <f>EXP(-LN(2)/25)*DG157+(1-EXP(-LN(2)/25))/(LN(2)/25)*Calculateur!DB158*Calculateur!DD158*VLOOKUP('Données projet'!$B$13,Paramètres!$A$1:$I$89,3,0)*0.475*44/12</f>
        <v>0.94290463339174113</v>
      </c>
      <c r="DH158" s="21">
        <f>EXP(-LN(2)/2)*DH157+(1-EXP(-LN(2)/2))/(LN(2)/2)*DB158*DE158*VLOOKUP('Données projet'!$B$13,Paramètres!$A$1:$I$89,3,0)*0.475*44/12</f>
        <v>4.9865903995183277E-18</v>
      </c>
      <c r="DI158" s="22">
        <f t="shared" si="175"/>
        <v>1.3271545209780968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-4.5474735088646412E-13</v>
      </c>
      <c r="DP158" s="17">
        <f>DO158*VLOOKUP('Données projet'!$B$14,Paramètres!$A$1:$I$89,3,0)*VLOOKUP('Données projet'!$B$14,Paramètres!$A$1:$I$89,5,0)</f>
        <v>-2.7193891583010558E-13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247.30892363953825</v>
      </c>
      <c r="DU158" s="59">
        <f t="shared" si="152"/>
        <v>248.38414731596578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0.4015394859953203</v>
      </c>
      <c r="EC158" s="21">
        <f>EXP(-LN(2)/2)*EC157+(1-EXP(-LN(2)/2))/(LN(2)/2)*DW158*DZ158*VLOOKUP('Données projet'!$B$14,Paramètres!$A$1:$I$89,3,0)*0.475*44/12</f>
        <v>3.6384071276637248E-18</v>
      </c>
      <c r="ED158" s="22">
        <f t="shared" si="178"/>
        <v>0.4015394859953203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-4.5474735088646412E-13</v>
      </c>
      <c r="EK158" s="17">
        <f>EJ158*VLOOKUP('Données projet'!$B$15,Paramètres!$A$1:$I$89,3,0)*VLOOKUP('Données projet'!$B$15,Paramètres!$A$1:$I$89,5,0)</f>
        <v>-2.7193891583010558E-13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247.30892363953825</v>
      </c>
      <c r="EP158" s="59">
        <f t="shared" si="154"/>
        <v>248.38414731596578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0.4015394859953203</v>
      </c>
      <c r="EX158" s="21">
        <f>EXP(-LN(2)/2)*EX157+(1-EXP(-LN(2)/2))/(LN(2)/2)*ER158*EU158*VLOOKUP('Données projet'!$B$15,Paramètres!$A$1:$I$89,3,0)*0.475*44/12</f>
        <v>3.6384071276637248E-18</v>
      </c>
      <c r="EY158" s="22">
        <f t="shared" si="181"/>
        <v>0.4015394859953203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6.8212102632969618E-13</v>
      </c>
      <c r="FF158" s="17">
        <f>FE158*VLOOKUP('Données projet'!$B$16,Paramètres!$A$1:$I$89,3,0)*VLOOKUP('Données projet'!$B$16,Paramètres!$A$1:$I$89,5,0)</f>
        <v>3.2810021366458383E-13</v>
      </c>
      <c r="FG158" s="13">
        <f t="shared" si="182"/>
        <v>4.2923528923937213E-12</v>
      </c>
      <c r="FH158" s="20">
        <f t="shared" si="183"/>
        <v>8.0472891597182151E-12</v>
      </c>
      <c r="FI158" s="59">
        <f t="shared" si="131"/>
        <v>293.33333333334139</v>
      </c>
      <c r="FJ158" s="59">
        <f ca="1">AVERAGE(OFFSET($FI$3,0,0,'Données projet'!$E$16+1,1))-AVERAGE(OFFSET($H$3,0,0,'Données projet'!$E$16+1,1))</f>
        <v>322.54393676667081</v>
      </c>
      <c r="FK158" s="59">
        <f t="shared" si="156"/>
        <v>296.73904998640018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0.56680049863236504</v>
      </c>
      <c r="FR158" s="21">
        <f>EXP(-LN(2)/25)*FR157+(1-EXP(-LN(2)/25))/(LN(2)/25)*Calculateur!FM158*Calculateur!FO158*VLOOKUP('Données projet'!$B$16,Paramètres!$A$1:$I$89,3,0)*0.475*44/12</f>
        <v>0.41947299821476963</v>
      </c>
      <c r="FS158" s="21">
        <f>EXP(-LN(2)/2)*FS157+(1-EXP(-LN(2)/2))/(LN(2)/2)*FM158*FP158*VLOOKUP('Données projet'!$B$16,Paramètres!$A$1:$I$89,3,0)*0.475*44/12</f>
        <v>3.2065433155034569E-18</v>
      </c>
      <c r="FT158" s="22">
        <f t="shared" si="184"/>
        <v>0.98627349684713472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293.33333333333974</v>
      </c>
      <c r="S159" s="59">
        <f ca="1">AVERAGE(OFFSET($R$3,0,0,'Données projet'!$E$9+1,1))-AVERAGE(OFFSET($H$3,0,0,'Données projet'!$E$9+1,1))</f>
        <v>401.06118089678654</v>
      </c>
      <c r="T159" s="59">
        <f t="shared" si="142"/>
        <v>399.58193819355591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6.2527760746888816E-13</v>
      </c>
      <c r="AJ159" s="13">
        <f>AI159*VLOOKUP('Données projet'!$B$10,Paramètres!$A$1:$I$89,3,0)*VLOOKUP('Données projet'!$B$10,Paramètres!$A$1:$I$89,5,0)</f>
        <v>3.9017322706058616E-13</v>
      </c>
      <c r="AK159" s="13">
        <f t="shared" si="164"/>
        <v>5.0025007393608908E-12</v>
      </c>
      <c r="AL159" s="20">
        <f t="shared" si="165"/>
        <v>9.3922404915174053E-12</v>
      </c>
      <c r="AM159" s="59">
        <f t="shared" si="113"/>
        <v>293.33333333334269</v>
      </c>
      <c r="AN159" s="59">
        <f ca="1">AVERAGE(OFFSET($AM$3,0,0,'Données projet'!$E$10+1,1))-AVERAGE(OFFSET($H$3,0,0,'Données projet'!$E$10+1,1))</f>
        <v>240.30073883588199</v>
      </c>
      <c r="AO159" s="59">
        <f t="shared" si="144"/>
        <v>263.20351282678843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0.57343506722041215</v>
      </c>
      <c r="AV159" s="21">
        <f>EXP(-LN(2)/25)*AV158+(1-EXP(-LN(2)/25))/(LN(2)/25)*Calculateur!AQ159*Calculateur!AS159*VLOOKUP('Données projet'!$B$10,Paramètres!$A$1:$I$89,3,0)*0.475*44/12</f>
        <v>0.63185818774602043</v>
      </c>
      <c r="AW159" s="21">
        <f>EXP(-LN(2)/2)*AW158+(1-EXP(-LN(2)/2))/(LN(2)/2)*AQ159*AT159*VLOOKUP('Données projet'!$B$10,Paramètres!$A$1:$I$89,3,0)*0.475*44/12</f>
        <v>2.189092603338192E-18</v>
      </c>
      <c r="AX159" s="21">
        <f t="shared" si="166"/>
        <v>1.2052932549664326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-1.0936673788819462E-13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364.67510777943329</v>
      </c>
      <c r="BJ159" s="59">
        <f t="shared" si="146"/>
        <v>352.13878061387169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0.72933772612096226</v>
      </c>
      <c r="BQ159" s="21">
        <f>EXP(-LN(2)/25)*BQ158+(1-EXP(-LN(2)/25))/(LN(2)/25)*Calculateur!BL159*Calculateur!BN159*VLOOKUP('Données projet'!$B$11,Paramètres!$A$1:$I$89,3,0)*0.475*44/12</f>
        <v>0.54758170422774632</v>
      </c>
      <c r="BR159" s="21">
        <f>EXP(-LN(2)/2)*BR158+(1-EXP(-LN(2)/2))/(LN(2)/2)*BL159*BO159*VLOOKUP('Données projet'!$B$11,Paramètres!$A$1:$I$89,3,0)*0.475*44/12</f>
        <v>2.9786889697021882E-18</v>
      </c>
      <c r="BS159" s="22">
        <f t="shared" si="169"/>
        <v>1.2769194303487086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-5.3205440053716299E-14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252.98248842635206</v>
      </c>
      <c r="CE159" s="59">
        <f t="shared" si="148"/>
        <v>207.11938580878308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0.2585065762853449</v>
      </c>
      <c r="CL159" s="21">
        <f>EXP(-LN(2)/25)*CL158+(1-EXP(-LN(2)/25))/(LN(2)/25)*Calculateur!CG159*Calculateur!CI159*VLOOKUP('Données projet'!$B$12,Paramètres!$A$1:$I$89,3,0)*0.475*44/12</f>
        <v>0.23877050837913646</v>
      </c>
      <c r="CM159" s="21">
        <f>EXP(-LN(2)/2)*CM158+(1-EXP(-LN(2)/2))/(LN(2)/2)*CG159*CJ159*VLOOKUP('Données projet'!$B$12,Paramètres!$A$1:$I$89,3,0)*0.475*44/12</f>
        <v>1.0660067100197795E-18</v>
      </c>
      <c r="CN159" s="22">
        <f t="shared" si="172"/>
        <v>0.49727708466448139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-5.6843418860808015E-13</v>
      </c>
      <c r="CU159" s="17">
        <f>CT159*VLOOKUP('Données projet'!$B$13,Paramètres!$A$1:$I$89,3,0)*VLOOKUP('Données projet'!$B$13,Paramètres!$A$1:$I$89,5,0)</f>
        <v>-3.177547114319168E-13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356.67698551373468</v>
      </c>
      <c r="CZ159" s="59">
        <f t="shared" si="150"/>
        <v>353.21836615408171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0.37671498166007655</v>
      </c>
      <c r="DG159" s="21">
        <f>EXP(-LN(2)/25)*DG158+(1-EXP(-LN(2)/25))/(LN(2)/25)*Calculateur!DB159*Calculateur!DD159*VLOOKUP('Données projet'!$B$13,Paramètres!$A$1:$I$89,3,0)*0.475*44/12</f>
        <v>0.91712085660644438</v>
      </c>
      <c r="DH159" s="21">
        <f>EXP(-LN(2)/2)*DH158+(1-EXP(-LN(2)/2))/(LN(2)/2)*DB159*DE159*VLOOKUP('Données projet'!$B$13,Paramètres!$A$1:$I$89,3,0)*0.475*44/12</f>
        <v>3.5260518864991448E-18</v>
      </c>
      <c r="DI159" s="22">
        <f t="shared" si="175"/>
        <v>1.2938358382665209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-4.5474735088646412E-13</v>
      </c>
      <c r="DP159" s="17">
        <f>DO159*VLOOKUP('Données projet'!$B$14,Paramètres!$A$1:$I$89,3,0)*VLOOKUP('Données projet'!$B$14,Paramètres!$A$1:$I$89,5,0)</f>
        <v>-2.7193891583010558E-13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247.30892363953825</v>
      </c>
      <c r="DU159" s="59">
        <f t="shared" si="152"/>
        <v>248.38414731596578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0.39055936763473442</v>
      </c>
      <c r="EC159" s="21">
        <f>EXP(-LN(2)/2)*EC158+(1-EXP(-LN(2)/2))/(LN(2)/2)*DW159*DZ159*VLOOKUP('Données projet'!$B$14,Paramètres!$A$1:$I$89,3,0)*0.475*44/12</f>
        <v>2.5727423526884884E-18</v>
      </c>
      <c r="ED159" s="22">
        <f t="shared" si="178"/>
        <v>0.39055936763473442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-4.5474735088646412E-13</v>
      </c>
      <c r="EK159" s="17">
        <f>EJ159*VLOOKUP('Données projet'!$B$15,Paramètres!$A$1:$I$89,3,0)*VLOOKUP('Données projet'!$B$15,Paramètres!$A$1:$I$89,5,0)</f>
        <v>-2.7193891583010558E-13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247.30892363953825</v>
      </c>
      <c r="EP159" s="59">
        <f t="shared" si="154"/>
        <v>248.38414731596578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0.39055936763473442</v>
      </c>
      <c r="EX159" s="21">
        <f>EXP(-LN(2)/2)*EX158+(1-EXP(-LN(2)/2))/(LN(2)/2)*ER159*EU159*VLOOKUP('Données projet'!$B$15,Paramètres!$A$1:$I$89,3,0)*0.475*44/12</f>
        <v>2.5727423526884884E-18</v>
      </c>
      <c r="EY159" s="22">
        <f t="shared" si="181"/>
        <v>0.39055936763473442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6.8212102632969618E-13</v>
      </c>
      <c r="FF159" s="17">
        <f>FE159*VLOOKUP('Données projet'!$B$16,Paramètres!$A$1:$I$89,3,0)*VLOOKUP('Données projet'!$B$16,Paramètres!$A$1:$I$89,5,0)</f>
        <v>3.2810021366458383E-13</v>
      </c>
      <c r="FG159" s="13">
        <f t="shared" si="182"/>
        <v>4.2923528923937213E-12</v>
      </c>
      <c r="FH159" s="20">
        <f t="shared" si="183"/>
        <v>8.0472891597182151E-12</v>
      </c>
      <c r="FI159" s="59">
        <f t="shared" si="131"/>
        <v>293.33333333334139</v>
      </c>
      <c r="FJ159" s="59">
        <f ca="1">AVERAGE(OFFSET($FI$3,0,0,'Données projet'!$E$16+1,1))-AVERAGE(OFFSET($H$3,0,0,'Données projet'!$E$16+1,1))</f>
        <v>322.54393676667081</v>
      </c>
      <c r="FK159" s="59">
        <f t="shared" si="156"/>
        <v>296.73904998640018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0.55568588656835205</v>
      </c>
      <c r="FR159" s="21">
        <f>EXP(-LN(2)/25)*FR158+(1-EXP(-LN(2)/25))/(LN(2)/25)*Calculateur!FM159*Calculateur!FO159*VLOOKUP('Données projet'!$B$16,Paramètres!$A$1:$I$89,3,0)*0.475*44/12</f>
        <v>0.40800248701946051</v>
      </c>
      <c r="FS159" s="21">
        <f>EXP(-LN(2)/2)*FS158+(1-EXP(-LN(2)/2))/(LN(2)/2)*FM159*FP159*VLOOKUP('Données projet'!$B$16,Paramètres!$A$1:$I$89,3,0)*0.475*44/12</f>
        <v>2.2673685225608895E-18</v>
      </c>
      <c r="FT159" s="22">
        <f t="shared" si="184"/>
        <v>0.96368837358781256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293.33333333333974</v>
      </c>
      <c r="S160" s="59">
        <f ca="1">AVERAGE(OFFSET($R$3,0,0,'Données projet'!$E$9+1,1))-AVERAGE(OFFSET($H$3,0,0,'Données projet'!$E$9+1,1))</f>
        <v>401.06118089678654</v>
      </c>
      <c r="T160" s="59">
        <f t="shared" si="142"/>
        <v>399.58193819355591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6.2527760746888816E-13</v>
      </c>
      <c r="AJ160" s="13">
        <f>AI160*VLOOKUP('Données projet'!$B$10,Paramètres!$A$1:$I$89,3,0)*VLOOKUP('Données projet'!$B$10,Paramètres!$A$1:$I$89,5,0)</f>
        <v>3.9017322706058616E-13</v>
      </c>
      <c r="AK160" s="13">
        <f t="shared" si="164"/>
        <v>5.0025007393608908E-12</v>
      </c>
      <c r="AL160" s="20">
        <f t="shared" si="165"/>
        <v>9.3922404915174053E-12</v>
      </c>
      <c r="AM160" s="59">
        <f t="shared" si="113"/>
        <v>293.33333333334269</v>
      </c>
      <c r="AN160" s="59">
        <f ca="1">AVERAGE(OFFSET($AM$3,0,0,'Données projet'!$E$10+1,1))-AVERAGE(OFFSET($H$3,0,0,'Données projet'!$E$10+1,1))</f>
        <v>240.30073883588199</v>
      </c>
      <c r="AO160" s="59">
        <f t="shared" si="144"/>
        <v>263.20351282678843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0.56219035531307482</v>
      </c>
      <c r="AV160" s="21">
        <f>EXP(-LN(2)/25)*AV159+(1-EXP(-LN(2)/25))/(LN(2)/25)*Calculateur!AQ160*Calculateur!AS160*VLOOKUP('Données projet'!$B$10,Paramètres!$A$1:$I$89,3,0)*0.475*44/12</f>
        <v>0.61457999237412753</v>
      </c>
      <c r="AW160" s="21">
        <f>EXP(-LN(2)/2)*AW159+(1-EXP(-LN(2)/2))/(LN(2)/2)*AQ160*AT160*VLOOKUP('Données projet'!$B$10,Paramètres!$A$1:$I$89,3,0)*0.475*44/12</f>
        <v>1.5479222244657486E-18</v>
      </c>
      <c r="AX160" s="21">
        <f t="shared" si="166"/>
        <v>1.1767703476872025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-1.0936673788819462E-13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364.67510777943329</v>
      </c>
      <c r="BJ160" s="59">
        <f t="shared" si="146"/>
        <v>352.13878061387169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0.71503585816381765</v>
      </c>
      <c r="BQ160" s="21">
        <f>EXP(-LN(2)/25)*BQ159+(1-EXP(-LN(2)/25))/(LN(2)/25)*Calculateur!BL160*Calculateur!BN160*VLOOKUP('Données projet'!$B$11,Paramètres!$A$1:$I$89,3,0)*0.475*44/12</f>
        <v>0.53260805372956832</v>
      </c>
      <c r="BR160" s="21">
        <f>EXP(-LN(2)/2)*BR159+(1-EXP(-LN(2)/2))/(LN(2)/2)*BL160*BO160*VLOOKUP('Données projet'!$B$11,Paramètres!$A$1:$I$89,3,0)*0.475*44/12</f>
        <v>2.1062511695219878E-18</v>
      </c>
      <c r="BS160" s="22">
        <f t="shared" si="169"/>
        <v>1.247643911893386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-5.3205440053716299E-14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252.98248842635206</v>
      </c>
      <c r="CE160" s="59">
        <f t="shared" si="148"/>
        <v>207.11938580878308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0.25343741999783187</v>
      </c>
      <c r="CL160" s="21">
        <f>EXP(-LN(2)/25)*CL159+(1-EXP(-LN(2)/25))/(LN(2)/25)*Calculateur!CG160*Calculateur!CI160*VLOOKUP('Données projet'!$B$12,Paramètres!$A$1:$I$89,3,0)*0.475*44/12</f>
        <v>0.23224131627111366</v>
      </c>
      <c r="CM160" s="21">
        <f>EXP(-LN(2)/2)*CM159+(1-EXP(-LN(2)/2))/(LN(2)/2)*CG160*CJ160*VLOOKUP('Données projet'!$B$12,Paramètres!$A$1:$I$89,3,0)*0.475*44/12</f>
        <v>7.5378057344534765E-19</v>
      </c>
      <c r="CN160" s="22">
        <f t="shared" si="172"/>
        <v>0.48567873626894553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-5.6843418860808015E-13</v>
      </c>
      <c r="CU160" s="17">
        <f>CT160*VLOOKUP('Données projet'!$B$13,Paramètres!$A$1:$I$89,3,0)*VLOOKUP('Données projet'!$B$13,Paramètres!$A$1:$I$89,5,0)</f>
        <v>-3.177547114319168E-13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356.67698551373468</v>
      </c>
      <c r="CZ160" s="59">
        <f t="shared" si="150"/>
        <v>353.21836615408171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0.36932783064317304</v>
      </c>
      <c r="DG160" s="21">
        <f>EXP(-LN(2)/25)*DG159+(1-EXP(-LN(2)/25))/(LN(2)/25)*Calculateur!DB160*Calculateur!DD160*VLOOKUP('Données projet'!$B$13,Paramètres!$A$1:$I$89,3,0)*0.475*44/12</f>
        <v>0.89204213855325143</v>
      </c>
      <c r="DH160" s="21">
        <f>EXP(-LN(2)/2)*DH159+(1-EXP(-LN(2)/2))/(LN(2)/2)*DB160*DE160*VLOOKUP('Données projet'!$B$13,Paramètres!$A$1:$I$89,3,0)*0.475*44/12</f>
        <v>2.4932951997591639E-18</v>
      </c>
      <c r="DI160" s="22">
        <f t="shared" si="175"/>
        <v>1.2613699691964244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-4.5474735088646412E-13</v>
      </c>
      <c r="DP160" s="17">
        <f>DO160*VLOOKUP('Données projet'!$B$14,Paramètres!$A$1:$I$89,3,0)*VLOOKUP('Données projet'!$B$14,Paramètres!$A$1:$I$89,5,0)</f>
        <v>-2.7193891583010558E-13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247.30892363953825</v>
      </c>
      <c r="DU160" s="59">
        <f t="shared" si="152"/>
        <v>248.38414731596578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0.37987950118813812</v>
      </c>
      <c r="EC160" s="21">
        <f>EXP(-LN(2)/2)*EC159+(1-EXP(-LN(2)/2))/(LN(2)/2)*DW160*DZ160*VLOOKUP('Données projet'!$B$14,Paramètres!$A$1:$I$89,3,0)*0.475*44/12</f>
        <v>1.8192035638318624E-18</v>
      </c>
      <c r="ED160" s="22">
        <f t="shared" si="178"/>
        <v>0.37987950118813812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-4.5474735088646412E-13</v>
      </c>
      <c r="EK160" s="17">
        <f>EJ160*VLOOKUP('Données projet'!$B$15,Paramètres!$A$1:$I$89,3,0)*VLOOKUP('Données projet'!$B$15,Paramètres!$A$1:$I$89,5,0)</f>
        <v>-2.7193891583010558E-13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247.30892363953825</v>
      </c>
      <c r="EP160" s="59">
        <f t="shared" si="154"/>
        <v>248.38414731596578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0.37987950118813812</v>
      </c>
      <c r="EX160" s="21">
        <f>EXP(-LN(2)/2)*EX159+(1-EXP(-LN(2)/2))/(LN(2)/2)*ER160*EU160*VLOOKUP('Données projet'!$B$15,Paramètres!$A$1:$I$89,3,0)*0.475*44/12</f>
        <v>1.8192035638318624E-18</v>
      </c>
      <c r="EY160" s="22">
        <f t="shared" si="181"/>
        <v>0.37987950118813812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6.8212102632969618E-13</v>
      </c>
      <c r="FF160" s="17">
        <f>FE160*VLOOKUP('Données projet'!$B$16,Paramètres!$A$1:$I$89,3,0)*VLOOKUP('Données projet'!$B$16,Paramètres!$A$1:$I$89,5,0)</f>
        <v>3.2810021366458383E-13</v>
      </c>
      <c r="FG160" s="13">
        <f t="shared" si="182"/>
        <v>4.2923528923937213E-12</v>
      </c>
      <c r="FH160" s="20">
        <f t="shared" si="183"/>
        <v>8.0472891597182151E-12</v>
      </c>
      <c r="FI160" s="59">
        <f t="shared" si="131"/>
        <v>293.33333333334139</v>
      </c>
      <c r="FJ160" s="59">
        <f ca="1">AVERAGE(OFFSET($FI$3,0,0,'Données projet'!$E$16+1,1))-AVERAGE(OFFSET($H$3,0,0,'Données projet'!$E$16+1,1))</f>
        <v>322.54393676667081</v>
      </c>
      <c r="FK160" s="59">
        <f t="shared" si="156"/>
        <v>296.73904998640018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0.54478922526767037</v>
      </c>
      <c r="FR160" s="21">
        <f>EXP(-LN(2)/25)*FR159+(1-EXP(-LN(2)/25))/(LN(2)/25)*Calculateur!FM160*Calculateur!FO160*VLOOKUP('Données projet'!$B$16,Paramètres!$A$1:$I$89,3,0)*0.475*44/12</f>
        <v>0.39684563755599506</v>
      </c>
      <c r="FS160" s="21">
        <f>EXP(-LN(2)/2)*FS159+(1-EXP(-LN(2)/2))/(LN(2)/2)*FM160*FP160*VLOOKUP('Données projet'!$B$16,Paramètres!$A$1:$I$89,3,0)*0.475*44/12</f>
        <v>1.6032716577517285E-18</v>
      </c>
      <c r="FT160" s="22">
        <f t="shared" si="184"/>
        <v>0.94163486282366549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293.33333333333974</v>
      </c>
      <c r="S161" s="59">
        <f ca="1">AVERAGE(OFFSET($R$3,0,0,'Données projet'!$E$9+1,1))-AVERAGE(OFFSET($H$3,0,0,'Données projet'!$E$9+1,1))</f>
        <v>401.06118089678654</v>
      </c>
      <c r="T161" s="59">
        <f t="shared" si="142"/>
        <v>399.58193819355591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6.2527760746888816E-13</v>
      </c>
      <c r="AJ161" s="13">
        <f>AI161*VLOOKUP('Données projet'!$B$10,Paramètres!$A$1:$I$89,3,0)*VLOOKUP('Données projet'!$B$10,Paramètres!$A$1:$I$89,5,0)</f>
        <v>3.9017322706058616E-13</v>
      </c>
      <c r="AK161" s="13">
        <f t="shared" si="164"/>
        <v>5.0025007393608908E-12</v>
      </c>
      <c r="AL161" s="20">
        <f t="shared" si="165"/>
        <v>9.3922404915174053E-12</v>
      </c>
      <c r="AM161" s="59">
        <f t="shared" si="113"/>
        <v>293.33333333334269</v>
      </c>
      <c r="AN161" s="59">
        <f ca="1">AVERAGE(OFFSET($AM$3,0,0,'Données projet'!$E$10+1,1))-AVERAGE(OFFSET($H$3,0,0,'Données projet'!$E$10+1,1))</f>
        <v>240.30073883588199</v>
      </c>
      <c r="AO161" s="59">
        <f t="shared" si="144"/>
        <v>263.20351282678843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0.55116614534764341</v>
      </c>
      <c r="AV161" s="21">
        <f>EXP(-LN(2)/25)*AV160+(1-EXP(-LN(2)/25))/(LN(2)/25)*Calculateur!AQ161*Calculateur!AS161*VLOOKUP('Données projet'!$B$10,Paramètres!$A$1:$I$89,3,0)*0.475*44/12</f>
        <v>0.59777427016329987</v>
      </c>
      <c r="AW161" s="21">
        <f>EXP(-LN(2)/2)*AW160+(1-EXP(-LN(2)/2))/(LN(2)/2)*AQ161*AT161*VLOOKUP('Données projet'!$B$10,Paramètres!$A$1:$I$89,3,0)*0.475*44/12</f>
        <v>1.094546301669096E-18</v>
      </c>
      <c r="AX161" s="21">
        <f t="shared" si="166"/>
        <v>1.1489404155109433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-1.0936673788819462E-13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364.67510777943329</v>
      </c>
      <c r="BJ161" s="59">
        <f t="shared" si="146"/>
        <v>352.13878061387169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0.70101444111403455</v>
      </c>
      <c r="BQ161" s="21">
        <f>EXP(-LN(2)/25)*BQ160+(1-EXP(-LN(2)/25))/(LN(2)/25)*Calculateur!BL161*Calculateur!BN161*VLOOKUP('Données projet'!$B$11,Paramètres!$A$1:$I$89,3,0)*0.475*44/12</f>
        <v>0.51804385849169299</v>
      </c>
      <c r="BR161" s="21">
        <f>EXP(-LN(2)/2)*BR160+(1-EXP(-LN(2)/2))/(LN(2)/2)*BL161*BO161*VLOOKUP('Données projet'!$B$11,Paramètres!$A$1:$I$89,3,0)*0.475*44/12</f>
        <v>1.4893444848510941E-18</v>
      </c>
      <c r="BS161" s="22">
        <f t="shared" si="169"/>
        <v>1.2190582996057275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-5.3205440053716299E-14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252.98248842635206</v>
      </c>
      <c r="CE161" s="59">
        <f t="shared" si="148"/>
        <v>207.11938580878308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0.24846766677323692</v>
      </c>
      <c r="CL161" s="21">
        <f>EXP(-LN(2)/25)*CL160+(1-EXP(-LN(2)/25))/(LN(2)/25)*Calculateur!CG161*Calculateur!CI161*VLOOKUP('Données projet'!$B$12,Paramètres!$A$1:$I$89,3,0)*0.475*44/12</f>
        <v>0.22589066526464002</v>
      </c>
      <c r="CM161" s="21">
        <f>EXP(-LN(2)/2)*CM160+(1-EXP(-LN(2)/2))/(LN(2)/2)*CG161*CJ161*VLOOKUP('Données projet'!$B$12,Paramètres!$A$1:$I$89,3,0)*0.475*44/12</f>
        <v>5.3300335500988974E-19</v>
      </c>
      <c r="CN161" s="22">
        <f t="shared" si="172"/>
        <v>0.47435833203787692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-5.6843418860808015E-13</v>
      </c>
      <c r="CU161" s="17">
        <f>CT161*VLOOKUP('Données projet'!$B$13,Paramètres!$A$1:$I$89,3,0)*VLOOKUP('Données projet'!$B$13,Paramètres!$A$1:$I$89,5,0)</f>
        <v>-3.177547114319168E-13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356.67698551373468</v>
      </c>
      <c r="CZ161" s="59">
        <f t="shared" si="150"/>
        <v>353.21836615408171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0.36208553715199376</v>
      </c>
      <c r="DG161" s="21">
        <f>EXP(-LN(2)/25)*DG160+(1-EXP(-LN(2)/25))/(LN(2)/25)*Calculateur!DB161*Calculateur!DD161*VLOOKUP('Données projet'!$B$13,Paramètres!$A$1:$I$89,3,0)*0.475*44/12</f>
        <v>0.86764919936405549</v>
      </c>
      <c r="DH161" s="21">
        <f>EXP(-LN(2)/2)*DH160+(1-EXP(-LN(2)/2))/(LN(2)/2)*DB161*DE161*VLOOKUP('Données projet'!$B$13,Paramètres!$A$1:$I$89,3,0)*0.475*44/12</f>
        <v>1.7630259432495724E-18</v>
      </c>
      <c r="DI161" s="22">
        <f t="shared" si="175"/>
        <v>1.2297347365160491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-4.5474735088646412E-13</v>
      </c>
      <c r="DP161" s="17">
        <f>DO161*VLOOKUP('Données projet'!$B$14,Paramètres!$A$1:$I$89,3,0)*VLOOKUP('Données projet'!$B$14,Paramètres!$A$1:$I$89,5,0)</f>
        <v>-2.7193891583010558E-13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247.30892363953825</v>
      </c>
      <c r="DU161" s="59">
        <f t="shared" si="152"/>
        <v>248.38414731596578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0.36949167625115376</v>
      </c>
      <c r="EC161" s="21">
        <f>EXP(-LN(2)/2)*EC160+(1-EXP(-LN(2)/2))/(LN(2)/2)*DW161*DZ161*VLOOKUP('Données projet'!$B$14,Paramètres!$A$1:$I$89,3,0)*0.475*44/12</f>
        <v>1.2863711763442442E-18</v>
      </c>
      <c r="ED161" s="22">
        <f t="shared" si="178"/>
        <v>0.36949167625115376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-4.5474735088646412E-13</v>
      </c>
      <c r="EK161" s="17">
        <f>EJ161*VLOOKUP('Données projet'!$B$15,Paramètres!$A$1:$I$89,3,0)*VLOOKUP('Données projet'!$B$15,Paramètres!$A$1:$I$89,5,0)</f>
        <v>-2.7193891583010558E-13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247.30892363953825</v>
      </c>
      <c r="EP161" s="59">
        <f t="shared" si="154"/>
        <v>248.38414731596578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0.36949167625115376</v>
      </c>
      <c r="EX161" s="21">
        <f>EXP(-LN(2)/2)*EX160+(1-EXP(-LN(2)/2))/(LN(2)/2)*ER161*EU161*VLOOKUP('Données projet'!$B$15,Paramètres!$A$1:$I$89,3,0)*0.475*44/12</f>
        <v>1.2863711763442442E-18</v>
      </c>
      <c r="EY161" s="22">
        <f t="shared" si="181"/>
        <v>0.36949167625115376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6.8212102632969618E-13</v>
      </c>
      <c r="FF161" s="17">
        <f>FE161*VLOOKUP('Données projet'!$B$16,Paramètres!$A$1:$I$89,3,0)*VLOOKUP('Données projet'!$B$16,Paramètres!$A$1:$I$89,5,0)</f>
        <v>3.2810021366458383E-13</v>
      </c>
      <c r="FG161" s="13">
        <f t="shared" si="182"/>
        <v>4.2923528923937213E-12</v>
      </c>
      <c r="FH161" s="20">
        <f t="shared" si="183"/>
        <v>8.0472891597182151E-12</v>
      </c>
      <c r="FI161" s="59">
        <f t="shared" si="131"/>
        <v>293.33333333334139</v>
      </c>
      <c r="FJ161" s="59">
        <f ca="1">AVERAGE(OFFSET($FI$3,0,0,'Données projet'!$E$16+1,1))-AVERAGE(OFFSET($H$3,0,0,'Données projet'!$E$16+1,1))</f>
        <v>322.54393676667081</v>
      </c>
      <c r="FK161" s="59">
        <f t="shared" si="156"/>
        <v>296.73904998640018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0.53410624084878799</v>
      </c>
      <c r="FR161" s="21">
        <f>EXP(-LN(2)/25)*FR160+(1-EXP(-LN(2)/25))/(LN(2)/25)*Calculateur!FM161*Calculateur!FO161*VLOOKUP('Données projet'!$B$16,Paramètres!$A$1:$I$89,3,0)*0.475*44/12</f>
        <v>0.38599387272782132</v>
      </c>
      <c r="FS161" s="21">
        <f>EXP(-LN(2)/2)*FS160+(1-EXP(-LN(2)/2))/(LN(2)/2)*FM161*FP161*VLOOKUP('Données projet'!$B$16,Paramètres!$A$1:$I$89,3,0)*0.475*44/12</f>
        <v>1.1336842612804448E-18</v>
      </c>
      <c r="FT161" s="22">
        <f t="shared" si="184"/>
        <v>0.92010011357660937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293.33333333333974</v>
      </c>
      <c r="S162" s="59">
        <f ca="1">AVERAGE(OFFSET($R$3,0,0,'Données projet'!$E$9+1,1))-AVERAGE(OFFSET($H$3,0,0,'Données projet'!$E$9+1,1))</f>
        <v>401.06118089678654</v>
      </c>
      <c r="T162" s="59">
        <f t="shared" si="142"/>
        <v>399.58193819355591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6.2527760746888816E-13</v>
      </c>
      <c r="AJ162" s="13">
        <f>AI162*VLOOKUP('Données projet'!$B$10,Paramètres!$A$1:$I$89,3,0)*VLOOKUP('Données projet'!$B$10,Paramètres!$A$1:$I$89,5,0)</f>
        <v>3.9017322706058616E-13</v>
      </c>
      <c r="AK162" s="13">
        <f t="shared" si="164"/>
        <v>5.0025007393608908E-12</v>
      </c>
      <c r="AL162" s="20">
        <f t="shared" si="165"/>
        <v>9.3922404915174053E-12</v>
      </c>
      <c r="AM162" s="59">
        <f t="shared" si="113"/>
        <v>293.33333333334269</v>
      </c>
      <c r="AN162" s="59">
        <f ca="1">AVERAGE(OFFSET($AM$3,0,0,'Données projet'!$E$10+1,1))-AVERAGE(OFFSET($H$3,0,0,'Données projet'!$E$10+1,1))</f>
        <v>240.30073883588199</v>
      </c>
      <c r="AO162" s="59">
        <f t="shared" si="144"/>
        <v>263.20351282678843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0.54035811341552997</v>
      </c>
      <c r="AV162" s="21">
        <f>EXP(-LN(2)/25)*AV161+(1-EXP(-LN(2)/25))/(LN(2)/25)*Calculateur!AQ162*Calculateur!AS162*VLOOKUP('Données projet'!$B$10,Paramètres!$A$1:$I$89,3,0)*0.475*44/12</f>
        <v>0.58142810131010181</v>
      </c>
      <c r="AW162" s="21">
        <f>EXP(-LN(2)/2)*AW161+(1-EXP(-LN(2)/2))/(LN(2)/2)*AQ162*AT162*VLOOKUP('Données projet'!$B$10,Paramètres!$A$1:$I$89,3,0)*0.475*44/12</f>
        <v>7.7396111223287432E-19</v>
      </c>
      <c r="AX162" s="21">
        <f t="shared" si="166"/>
        <v>1.1217862147256317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-1.0936673788819462E-13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364.67510777943329</v>
      </c>
      <c r="BJ162" s="59">
        <f t="shared" si="146"/>
        <v>352.13878061387169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0.68726797550037777</v>
      </c>
      <c r="BQ162" s="21">
        <f>EXP(-LN(2)/25)*BQ161+(1-EXP(-LN(2)/25))/(LN(2)/25)*Calculateur!BL162*Calculateur!BN162*VLOOKUP('Données projet'!$B$11,Paramètres!$A$1:$I$89,3,0)*0.475*44/12</f>
        <v>0.50387792193849512</v>
      </c>
      <c r="BR162" s="21">
        <f>EXP(-LN(2)/2)*BR161+(1-EXP(-LN(2)/2))/(LN(2)/2)*BL162*BO162*VLOOKUP('Données projet'!$B$11,Paramètres!$A$1:$I$89,3,0)*0.475*44/12</f>
        <v>1.0531255847609939E-18</v>
      </c>
      <c r="BS162" s="22">
        <f t="shared" si="169"/>
        <v>1.1911458974388729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-5.3205440053716299E-14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252.98248842635206</v>
      </c>
      <c r="CE162" s="59">
        <f t="shared" si="148"/>
        <v>207.11938580878308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0.24359536737812612</v>
      </c>
      <c r="CL162" s="21">
        <f>EXP(-LN(2)/25)*CL161+(1-EXP(-LN(2)/25))/(LN(2)/25)*Calculateur!CG162*Calculateur!CI162*VLOOKUP('Données projet'!$B$12,Paramètres!$A$1:$I$89,3,0)*0.475*44/12</f>
        <v>0.21971367314390464</v>
      </c>
      <c r="CM162" s="21">
        <f>EXP(-LN(2)/2)*CM161+(1-EXP(-LN(2)/2))/(LN(2)/2)*CG162*CJ162*VLOOKUP('Données projet'!$B$12,Paramètres!$A$1:$I$89,3,0)*0.475*44/12</f>
        <v>3.7689028672267382E-19</v>
      </c>
      <c r="CN162" s="22">
        <f t="shared" si="172"/>
        <v>0.46330904052203076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-5.6843418860808015E-13</v>
      </c>
      <c r="CU162" s="17">
        <f>CT162*VLOOKUP('Données projet'!$B$13,Paramètres!$A$1:$I$89,3,0)*VLOOKUP('Données projet'!$B$13,Paramètres!$A$1:$I$89,5,0)</f>
        <v>-3.177547114319168E-13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356.67698551373468</v>
      </c>
      <c r="CZ162" s="59">
        <f t="shared" si="150"/>
        <v>353.21836615408171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0.35498526061881369</v>
      </c>
      <c r="DG162" s="21">
        <f>EXP(-LN(2)/25)*DG161+(1-EXP(-LN(2)/25))/(LN(2)/25)*Calculateur!DB162*Calculateur!DD162*VLOOKUP('Données projet'!$B$13,Paramètres!$A$1:$I$89,3,0)*0.475*44/12</f>
        <v>0.843923286379757</v>
      </c>
      <c r="DH162" s="21">
        <f>EXP(-LN(2)/2)*DH161+(1-EXP(-LN(2)/2))/(LN(2)/2)*DB162*DE162*VLOOKUP('Données projet'!$B$13,Paramètres!$A$1:$I$89,3,0)*0.475*44/12</f>
        <v>1.2466475998795819E-18</v>
      </c>
      <c r="DI162" s="22">
        <f t="shared" si="175"/>
        <v>1.1989085469985707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-4.5474735088646412E-13</v>
      </c>
      <c r="DP162" s="17">
        <f>DO162*VLOOKUP('Données projet'!$B$14,Paramètres!$A$1:$I$89,3,0)*VLOOKUP('Données projet'!$B$14,Paramètres!$A$1:$I$89,5,0)</f>
        <v>-2.7193891583010558E-13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247.30892363953825</v>
      </c>
      <c r="DU162" s="59">
        <f t="shared" si="152"/>
        <v>248.38414731596578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0.35938790693334316</v>
      </c>
      <c r="EC162" s="21">
        <f>EXP(-LN(2)/2)*EC161+(1-EXP(-LN(2)/2))/(LN(2)/2)*DW162*DZ162*VLOOKUP('Données projet'!$B$14,Paramètres!$A$1:$I$89,3,0)*0.475*44/12</f>
        <v>9.0960178191593121E-19</v>
      </c>
      <c r="ED162" s="22">
        <f t="shared" si="178"/>
        <v>0.35938790693334316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-4.5474735088646412E-13</v>
      </c>
      <c r="EK162" s="17">
        <f>EJ162*VLOOKUP('Données projet'!$B$15,Paramètres!$A$1:$I$89,3,0)*VLOOKUP('Données projet'!$B$15,Paramètres!$A$1:$I$89,5,0)</f>
        <v>-2.7193891583010558E-13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247.30892363953825</v>
      </c>
      <c r="EP162" s="59">
        <f t="shared" si="154"/>
        <v>248.38414731596578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0.35938790693334316</v>
      </c>
      <c r="EX162" s="21">
        <f>EXP(-LN(2)/2)*EX161+(1-EXP(-LN(2)/2))/(LN(2)/2)*ER162*EU162*VLOOKUP('Données projet'!$B$15,Paramètres!$A$1:$I$89,3,0)*0.475*44/12</f>
        <v>9.0960178191593121E-19</v>
      </c>
      <c r="EY162" s="22">
        <f t="shared" si="181"/>
        <v>0.35938790693334316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6.8212102632969618E-13</v>
      </c>
      <c r="FF162" s="17">
        <f>FE162*VLOOKUP('Données projet'!$B$16,Paramètres!$A$1:$I$89,3,0)*VLOOKUP('Données projet'!$B$16,Paramètres!$A$1:$I$89,5,0)</f>
        <v>3.2810021366458383E-13</v>
      </c>
      <c r="FG162" s="13">
        <f t="shared" si="182"/>
        <v>4.2923528923937213E-12</v>
      </c>
      <c r="FH162" s="20">
        <f t="shared" si="183"/>
        <v>8.0472891597182151E-12</v>
      </c>
      <c r="FI162" s="59">
        <f t="shared" si="131"/>
        <v>293.33333333334139</v>
      </c>
      <c r="FJ162" s="59">
        <f ca="1">AVERAGE(OFFSET($FI$3,0,0,'Données projet'!$E$16+1,1))-AVERAGE(OFFSET($H$3,0,0,'Données projet'!$E$16+1,1))</f>
        <v>322.54393676667081</v>
      </c>
      <c r="FK162" s="59">
        <f t="shared" si="156"/>
        <v>296.73904998640018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0.52363274323838283</v>
      </c>
      <c r="FR162" s="21">
        <f>EXP(-LN(2)/25)*FR161+(1-EXP(-LN(2)/25))/(LN(2)/25)*Calculateur!FM162*Calculateur!FO162*VLOOKUP('Données projet'!$B$16,Paramètres!$A$1:$I$89,3,0)*0.475*44/12</f>
        <v>0.37543884997954347</v>
      </c>
      <c r="FS162" s="21">
        <f>EXP(-LN(2)/2)*FS161+(1-EXP(-LN(2)/2))/(LN(2)/2)*FM162*FP162*VLOOKUP('Données projet'!$B$16,Paramètres!$A$1:$I$89,3,0)*0.475*44/12</f>
        <v>8.0163582887586423E-19</v>
      </c>
      <c r="FT162" s="22">
        <f t="shared" si="184"/>
        <v>0.89907159321792629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293.33333333333974</v>
      </c>
      <c r="S163" s="59">
        <f ca="1">AVERAGE(OFFSET($R$3,0,0,'Données projet'!$E$9+1,1))-AVERAGE(OFFSET($H$3,0,0,'Données projet'!$E$9+1,1))</f>
        <v>401.06118089678654</v>
      </c>
      <c r="T163" s="59">
        <f t="shared" si="142"/>
        <v>399.58193819355591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6.2527760746888816E-13</v>
      </c>
      <c r="AJ163" s="13">
        <f>AI163*VLOOKUP('Données projet'!$B$10,Paramètres!$A$1:$I$89,3,0)*VLOOKUP('Données projet'!$B$10,Paramètres!$A$1:$I$89,5,0)</f>
        <v>3.9017322706058616E-13</v>
      </c>
      <c r="AK163" s="13">
        <f t="shared" si="164"/>
        <v>5.0025007393608908E-12</v>
      </c>
      <c r="AL163" s="20">
        <f t="shared" si="165"/>
        <v>9.3922404915174053E-12</v>
      </c>
      <c r="AM163" s="59">
        <f t="shared" si="113"/>
        <v>293.33333333334269</v>
      </c>
      <c r="AN163" s="59">
        <f ca="1">AVERAGE(OFFSET($AM$3,0,0,'Données projet'!$E$10+1,1))-AVERAGE(OFFSET($H$3,0,0,'Données projet'!$E$10+1,1))</f>
        <v>240.30073883588199</v>
      </c>
      <c r="AO163" s="59">
        <f t="shared" si="144"/>
        <v>263.20351282678843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0.52976202039735676</v>
      </c>
      <c r="AV163" s="21">
        <f>EXP(-LN(2)/25)*AV162+(1-EXP(-LN(2)/25))/(LN(2)/25)*Calculateur!AQ163*Calculateur!AS163*VLOOKUP('Données projet'!$B$10,Paramètres!$A$1:$I$89,3,0)*0.475*44/12</f>
        <v>0.56552891930380211</v>
      </c>
      <c r="AW163" s="21">
        <f>EXP(-LN(2)/2)*AW162+(1-EXP(-LN(2)/2))/(LN(2)/2)*AQ163*AT163*VLOOKUP('Données projet'!$B$10,Paramètres!$A$1:$I$89,3,0)*0.475*44/12</f>
        <v>5.4727315083454801E-19</v>
      </c>
      <c r="AX163" s="21">
        <f t="shared" si="166"/>
        <v>1.095290939701159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-1.0936673788819462E-13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364.67510777943329</v>
      </c>
      <c r="BJ163" s="59">
        <f t="shared" si="146"/>
        <v>352.13878061387169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0.6737910696928886</v>
      </c>
      <c r="BQ163" s="21">
        <f>EXP(-LN(2)/25)*BQ162+(1-EXP(-LN(2)/25))/(LN(2)/25)*Calculateur!BL163*Calculateur!BN163*VLOOKUP('Données projet'!$B$11,Paramètres!$A$1:$I$89,3,0)*0.475*44/12</f>
        <v>0.49009935366529866</v>
      </c>
      <c r="BR163" s="21">
        <f>EXP(-LN(2)/2)*BR162+(1-EXP(-LN(2)/2))/(LN(2)/2)*BL163*BO163*VLOOKUP('Données projet'!$B$11,Paramètres!$A$1:$I$89,3,0)*0.475*44/12</f>
        <v>7.4467224242554704E-19</v>
      </c>
      <c r="BS163" s="22">
        <f t="shared" si="169"/>
        <v>1.1638904233581873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-5.3205440053716299E-14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252.98248842635206</v>
      </c>
      <c r="CE163" s="59">
        <f t="shared" si="148"/>
        <v>207.11938580878308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0.23881861080234426</v>
      </c>
      <c r="CL163" s="21">
        <f>EXP(-LN(2)/25)*CL162+(1-EXP(-LN(2)/25))/(LN(2)/25)*Calculateur!CG163*Calculateur!CI163*VLOOKUP('Données projet'!$B$12,Paramètres!$A$1:$I$89,3,0)*0.475*44/12</f>
        <v>0.21370559119754465</v>
      </c>
      <c r="CM163" s="21">
        <f>EXP(-LN(2)/2)*CM162+(1-EXP(-LN(2)/2))/(LN(2)/2)*CG163*CJ163*VLOOKUP('Données projet'!$B$12,Paramètres!$A$1:$I$89,3,0)*0.475*44/12</f>
        <v>2.6650167750494487E-19</v>
      </c>
      <c r="CN163" s="22">
        <f t="shared" si="172"/>
        <v>0.45252420199988891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-5.6843418860808015E-13</v>
      </c>
      <c r="CU163" s="17">
        <f>CT163*VLOOKUP('Données projet'!$B$13,Paramètres!$A$1:$I$89,3,0)*VLOOKUP('Données projet'!$B$13,Paramètres!$A$1:$I$89,5,0)</f>
        <v>-3.177547114319168E-13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356.67698551373468</v>
      </c>
      <c r="CZ163" s="59">
        <f t="shared" si="150"/>
        <v>353.21836615408171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0.34802421617770818</v>
      </c>
      <c r="DG163" s="21">
        <f>EXP(-LN(2)/25)*DG162+(1-EXP(-LN(2)/25))/(LN(2)/25)*Calculateur!DB163*Calculateur!DD163*VLOOKUP('Données projet'!$B$13,Paramètres!$A$1:$I$89,3,0)*0.475*44/12</f>
        <v>0.82084615973370567</v>
      </c>
      <c r="DH163" s="21">
        <f>EXP(-LN(2)/2)*DH162+(1-EXP(-LN(2)/2))/(LN(2)/2)*DB163*DE163*VLOOKUP('Données projet'!$B$13,Paramètres!$A$1:$I$89,3,0)*0.475*44/12</f>
        <v>8.8151297162478619E-19</v>
      </c>
      <c r="DI163" s="22">
        <f t="shared" si="175"/>
        <v>1.1688703759114139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-4.5474735088646412E-13</v>
      </c>
      <c r="DP163" s="17">
        <f>DO163*VLOOKUP('Données projet'!$B$14,Paramètres!$A$1:$I$89,3,0)*VLOOKUP('Données projet'!$B$14,Paramètres!$A$1:$I$89,5,0)</f>
        <v>-2.7193891583010558E-13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247.30892363953825</v>
      </c>
      <c r="DU163" s="59">
        <f t="shared" si="152"/>
        <v>248.38414731596578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0.34956042571886226</v>
      </c>
      <c r="EC163" s="21">
        <f>EXP(-LN(2)/2)*EC162+(1-EXP(-LN(2)/2))/(LN(2)/2)*DW163*DZ163*VLOOKUP('Données projet'!$B$14,Paramètres!$A$1:$I$89,3,0)*0.475*44/12</f>
        <v>6.4318558817212211E-19</v>
      </c>
      <c r="ED163" s="22">
        <f t="shared" si="178"/>
        <v>0.34956042571886226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-4.5474735088646412E-13</v>
      </c>
      <c r="EK163" s="17">
        <f>EJ163*VLOOKUP('Données projet'!$B$15,Paramètres!$A$1:$I$89,3,0)*VLOOKUP('Données projet'!$B$15,Paramètres!$A$1:$I$89,5,0)</f>
        <v>-2.7193891583010558E-13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247.30892363953825</v>
      </c>
      <c r="EP163" s="59">
        <f t="shared" si="154"/>
        <v>248.38414731596578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0.34956042571886226</v>
      </c>
      <c r="EX163" s="21">
        <f>EXP(-LN(2)/2)*EX162+(1-EXP(-LN(2)/2))/(LN(2)/2)*ER163*EU163*VLOOKUP('Données projet'!$B$15,Paramètres!$A$1:$I$89,3,0)*0.475*44/12</f>
        <v>6.4318558817212211E-19</v>
      </c>
      <c r="EY163" s="22">
        <f t="shared" si="181"/>
        <v>0.34956042571886226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6.8212102632969618E-13</v>
      </c>
      <c r="FF163" s="17">
        <f>FE163*VLOOKUP('Données projet'!$B$16,Paramètres!$A$1:$I$89,3,0)*VLOOKUP('Données projet'!$B$16,Paramètres!$A$1:$I$89,5,0)</f>
        <v>3.2810021366458383E-13</v>
      </c>
      <c r="FG163" s="13">
        <f t="shared" si="182"/>
        <v>4.2923528923937213E-12</v>
      </c>
      <c r="FH163" s="20">
        <f t="shared" si="183"/>
        <v>8.0472891597182151E-12</v>
      </c>
      <c r="FI163" s="59">
        <f t="shared" si="131"/>
        <v>293.33333333334139</v>
      </c>
      <c r="FJ163" s="59">
        <f ca="1">AVERAGE(OFFSET($FI$3,0,0,'Données projet'!$E$16+1,1))-AVERAGE(OFFSET($H$3,0,0,'Données projet'!$E$16+1,1))</f>
        <v>322.54393676667081</v>
      </c>
      <c r="FK163" s="59">
        <f t="shared" si="156"/>
        <v>296.73904998640018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0.51336462452791487</v>
      </c>
      <c r="FR163" s="21">
        <f>EXP(-LN(2)/25)*FR162+(1-EXP(-LN(2)/25))/(LN(2)/25)*Calculateur!FM163*Calculateur!FO163*VLOOKUP('Données projet'!$B$16,Paramètres!$A$1:$I$89,3,0)*0.475*44/12</f>
        <v>0.36517245488338179</v>
      </c>
      <c r="FS163" s="21">
        <f>EXP(-LN(2)/2)*FS162+(1-EXP(-LN(2)/2))/(LN(2)/2)*FM163*FP163*VLOOKUP('Données projet'!$B$16,Paramètres!$A$1:$I$89,3,0)*0.475*44/12</f>
        <v>5.6684213064022238E-19</v>
      </c>
      <c r="FT163" s="22">
        <f t="shared" si="184"/>
        <v>0.87853707941129666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293.33333333333974</v>
      </c>
      <c r="S164" s="59">
        <f ca="1">AVERAGE(OFFSET($R$3,0,0,'Données projet'!$E$9+1,1))-AVERAGE(OFFSET($H$3,0,0,'Données projet'!$E$9+1,1))</f>
        <v>401.06118089678654</v>
      </c>
      <c r="T164" s="59">
        <f t="shared" si="142"/>
        <v>399.58193819355591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6.2527760746888816E-13</v>
      </c>
      <c r="AJ164" s="13">
        <f>AI164*VLOOKUP('Données projet'!$B$10,Paramètres!$A$1:$I$89,3,0)*VLOOKUP('Données projet'!$B$10,Paramètres!$A$1:$I$89,5,0)</f>
        <v>3.9017322706058616E-13</v>
      </c>
      <c r="AK164" s="13">
        <f t="shared" si="164"/>
        <v>5.0025007393608908E-12</v>
      </c>
      <c r="AL164" s="20">
        <f t="shared" si="165"/>
        <v>9.3922404915174053E-12</v>
      </c>
      <c r="AM164" s="59">
        <f t="shared" si="113"/>
        <v>293.33333333334269</v>
      </c>
      <c r="AN164" s="59">
        <f ca="1">AVERAGE(OFFSET($AM$3,0,0,'Données projet'!$E$10+1,1))-AVERAGE(OFFSET($H$3,0,0,'Données projet'!$E$10+1,1))</f>
        <v>240.30073883588199</v>
      </c>
      <c r="AO164" s="59">
        <f t="shared" si="144"/>
        <v>263.20351282678843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0.51937371030029134</v>
      </c>
      <c r="AV164" s="21">
        <f>EXP(-LN(2)/25)*AV163+(1-EXP(-LN(2)/25))/(LN(2)/25)*Calculateur!AQ164*Calculateur!AS164*VLOOKUP('Données projet'!$B$10,Paramètres!$A$1:$I$89,3,0)*0.475*44/12</f>
        <v>0.55006450126556627</v>
      </c>
      <c r="AW164" s="21">
        <f>EXP(-LN(2)/2)*AW163+(1-EXP(-LN(2)/2))/(LN(2)/2)*AQ164*AT164*VLOOKUP('Données projet'!$B$10,Paramètres!$A$1:$I$89,3,0)*0.475*44/12</f>
        <v>3.8698055611643716E-19</v>
      </c>
      <c r="AX164" s="21">
        <f t="shared" si="166"/>
        <v>1.0694382115658576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-1.0936673788819462E-13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364.67510777943329</v>
      </c>
      <c r="BJ164" s="59">
        <f t="shared" si="146"/>
        <v>352.13878061387169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0.66057843778818348</v>
      </c>
      <c r="BQ164" s="21">
        <f>EXP(-LN(2)/25)*BQ163+(1-EXP(-LN(2)/25))/(LN(2)/25)*Calculateur!BL164*Calculateur!BN164*VLOOKUP('Données projet'!$B$11,Paramètres!$A$1:$I$89,3,0)*0.475*44/12</f>
        <v>0.47669756106611622</v>
      </c>
      <c r="BR164" s="21">
        <f>EXP(-LN(2)/2)*BR163+(1-EXP(-LN(2)/2))/(LN(2)/2)*BL164*BO164*VLOOKUP('Données projet'!$B$11,Paramètres!$A$1:$I$89,3,0)*0.475*44/12</f>
        <v>5.2656279238049695E-19</v>
      </c>
      <c r="BS164" s="22">
        <f t="shared" si="169"/>
        <v>1.1372759988542998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-5.3205440053716299E-14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252.98248842635206</v>
      </c>
      <c r="CE164" s="59">
        <f t="shared" si="148"/>
        <v>207.11938580878308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0.23413552350947966</v>
      </c>
      <c r="CL164" s="21">
        <f>EXP(-LN(2)/25)*CL163+(1-EXP(-LN(2)/25))/(LN(2)/25)*Calculateur!CG164*Calculateur!CI164*VLOOKUP('Données projet'!$B$12,Paramètres!$A$1:$I$89,3,0)*0.475*44/12</f>
        <v>0.20786180056795917</v>
      </c>
      <c r="CM164" s="21">
        <f>EXP(-LN(2)/2)*CM163+(1-EXP(-LN(2)/2))/(LN(2)/2)*CG164*CJ164*VLOOKUP('Données projet'!$B$12,Paramètres!$A$1:$I$89,3,0)*0.475*44/12</f>
        <v>1.8844514336133691E-19</v>
      </c>
      <c r="CN164" s="22">
        <f t="shared" si="172"/>
        <v>0.44199732407743886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-5.6843418860808015E-13</v>
      </c>
      <c r="CU164" s="17">
        <f>CT164*VLOOKUP('Données projet'!$B$13,Paramètres!$A$1:$I$89,3,0)*VLOOKUP('Données projet'!$B$13,Paramètres!$A$1:$I$89,5,0)</f>
        <v>-3.177547114319168E-13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356.67698551373468</v>
      </c>
      <c r="CZ164" s="59">
        <f t="shared" si="150"/>
        <v>353.21836615408171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0.34119967357227488</v>
      </c>
      <c r="DG164" s="21">
        <f>EXP(-LN(2)/25)*DG163+(1-EXP(-LN(2)/25))/(LN(2)/25)*Calculateur!DB164*Calculateur!DD164*VLOOKUP('Données projet'!$B$13,Paramètres!$A$1:$I$89,3,0)*0.475*44/12</f>
        <v>0.79840007832936399</v>
      </c>
      <c r="DH164" s="21">
        <f>EXP(-LN(2)/2)*DH163+(1-EXP(-LN(2)/2))/(LN(2)/2)*DB164*DE164*VLOOKUP('Données projet'!$B$13,Paramètres!$A$1:$I$89,3,0)*0.475*44/12</f>
        <v>6.2332379993979096E-19</v>
      </c>
      <c r="DI164" s="22">
        <f t="shared" si="175"/>
        <v>1.1395997519016388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-4.5474735088646412E-13</v>
      </c>
      <c r="DP164" s="17">
        <f>DO164*VLOOKUP('Données projet'!$B$14,Paramètres!$A$1:$I$89,3,0)*VLOOKUP('Données projet'!$B$14,Paramètres!$A$1:$I$89,5,0)</f>
        <v>-2.7193891583010558E-13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247.30892363953825</v>
      </c>
      <c r="DU164" s="59">
        <f t="shared" si="152"/>
        <v>248.38414731596578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0.3400016774949961</v>
      </c>
      <c r="EC164" s="21">
        <f>EXP(-LN(2)/2)*EC163+(1-EXP(-LN(2)/2))/(LN(2)/2)*DW164*DZ164*VLOOKUP('Données projet'!$B$14,Paramètres!$A$1:$I$89,3,0)*0.475*44/12</f>
        <v>4.548008909579656E-19</v>
      </c>
      <c r="ED164" s="22">
        <f t="shared" si="178"/>
        <v>0.3400016774949961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-4.5474735088646412E-13</v>
      </c>
      <c r="EK164" s="17">
        <f>EJ164*VLOOKUP('Données projet'!$B$15,Paramètres!$A$1:$I$89,3,0)*VLOOKUP('Données projet'!$B$15,Paramètres!$A$1:$I$89,5,0)</f>
        <v>-2.7193891583010558E-13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247.30892363953825</v>
      </c>
      <c r="EP164" s="59">
        <f t="shared" si="154"/>
        <v>248.38414731596578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0.3400016774949961</v>
      </c>
      <c r="EX164" s="21">
        <f>EXP(-LN(2)/2)*EX163+(1-EXP(-LN(2)/2))/(LN(2)/2)*ER164*EU164*VLOOKUP('Données projet'!$B$15,Paramètres!$A$1:$I$89,3,0)*0.475*44/12</f>
        <v>4.548008909579656E-19</v>
      </c>
      <c r="EY164" s="22">
        <f t="shared" si="181"/>
        <v>0.3400016774949961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6.8212102632969618E-13</v>
      </c>
      <c r="FF164" s="17">
        <f>FE164*VLOOKUP('Données projet'!$B$16,Paramètres!$A$1:$I$89,3,0)*VLOOKUP('Données projet'!$B$16,Paramètres!$A$1:$I$89,5,0)</f>
        <v>3.2810021366458383E-13</v>
      </c>
      <c r="FG164" s="13">
        <f t="shared" si="182"/>
        <v>4.2923528923937213E-12</v>
      </c>
      <c r="FH164" s="20">
        <f t="shared" si="183"/>
        <v>8.0472891597182151E-12</v>
      </c>
      <c r="FI164" s="59">
        <f t="shared" si="131"/>
        <v>293.33333333334139</v>
      </c>
      <c r="FJ164" s="59">
        <f ca="1">AVERAGE(OFFSET($FI$3,0,0,'Données projet'!$E$16+1,1))-AVERAGE(OFFSET($H$3,0,0,'Données projet'!$E$16+1,1))</f>
        <v>322.54393676667081</v>
      </c>
      <c r="FK164" s="59">
        <f t="shared" si="156"/>
        <v>296.73904998640018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0.50329785736242527</v>
      </c>
      <c r="FR164" s="21">
        <f>EXP(-LN(2)/25)*FR163+(1-EXP(-LN(2)/25))/(LN(2)/25)*Calculateur!FM164*Calculateur!FO164*VLOOKUP('Données projet'!$B$16,Paramètres!$A$1:$I$89,3,0)*0.475*44/12</f>
        <v>0.3551867949010109</v>
      </c>
      <c r="FS164" s="21">
        <f>EXP(-LN(2)/2)*FS163+(1-EXP(-LN(2)/2))/(LN(2)/2)*FM164*FP164*VLOOKUP('Données projet'!$B$16,Paramètres!$A$1:$I$89,3,0)*0.475*44/12</f>
        <v>4.0081791443793211E-19</v>
      </c>
      <c r="FT164" s="22">
        <f t="shared" si="184"/>
        <v>0.85848465226343618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293.33333333333974</v>
      </c>
      <c r="S165" s="59">
        <f ca="1">AVERAGE(OFFSET($R$3,0,0,'Données projet'!$E$9+1,1))-AVERAGE(OFFSET($H$3,0,0,'Données projet'!$E$9+1,1))</f>
        <v>401.06118089678654</v>
      </c>
      <c r="T165" s="59">
        <f t="shared" si="142"/>
        <v>399.58193819355591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6.2527760746888816E-13</v>
      </c>
      <c r="AJ165" s="13">
        <f>AI165*VLOOKUP('Données projet'!$B$10,Paramètres!$A$1:$I$89,3,0)*VLOOKUP('Données projet'!$B$10,Paramètres!$A$1:$I$89,5,0)</f>
        <v>3.9017322706058616E-13</v>
      </c>
      <c r="AK165" s="13">
        <f t="shared" si="164"/>
        <v>5.0025007393608908E-12</v>
      </c>
      <c r="AL165" s="20">
        <f t="shared" si="165"/>
        <v>9.3922404915174053E-12</v>
      </c>
      <c r="AM165" s="59">
        <f t="shared" si="113"/>
        <v>293.33333333334269</v>
      </c>
      <c r="AN165" s="59">
        <f ca="1">AVERAGE(OFFSET($AM$3,0,0,'Données projet'!$E$10+1,1))-AVERAGE(OFFSET($H$3,0,0,'Données projet'!$E$10+1,1))</f>
        <v>240.30073883588199</v>
      </c>
      <c r="AO165" s="59">
        <f t="shared" si="144"/>
        <v>263.20351282678843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0.50918910862798583</v>
      </c>
      <c r="AV165" s="21">
        <f>EXP(-LN(2)/25)*AV164+(1-EXP(-LN(2)/25))/(LN(2)/25)*Calculateur!AQ165*Calculateur!AS165*VLOOKUP('Données projet'!$B$10,Paramètres!$A$1:$I$89,3,0)*0.475*44/12</f>
        <v>0.53502295855182447</v>
      </c>
      <c r="AW165" s="21">
        <f>EXP(-LN(2)/2)*AW164+(1-EXP(-LN(2)/2))/(LN(2)/2)*AQ165*AT165*VLOOKUP('Données projet'!$B$10,Paramètres!$A$1:$I$89,3,0)*0.475*44/12</f>
        <v>2.73636575417274E-19</v>
      </c>
      <c r="AX165" s="21">
        <f t="shared" si="166"/>
        <v>1.0442120671798103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-1.0936673788819462E-13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364.67510777943329</v>
      </c>
      <c r="BJ165" s="59">
        <f t="shared" si="146"/>
        <v>352.13878061387169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0.64762489753621988</v>
      </c>
      <c r="BQ165" s="21">
        <f>EXP(-LN(2)/25)*BQ164+(1-EXP(-LN(2)/25))/(LN(2)/25)*Calculateur!BL165*Calculateur!BN165*VLOOKUP('Données projet'!$B$11,Paramètres!$A$1:$I$89,3,0)*0.475*44/12</f>
        <v>0.46366224119032806</v>
      </c>
      <c r="BR165" s="21">
        <f>EXP(-LN(2)/2)*BR164+(1-EXP(-LN(2)/2))/(LN(2)/2)*BL165*BO165*VLOOKUP('Données projet'!$B$11,Paramètres!$A$1:$I$89,3,0)*0.475*44/12</f>
        <v>3.7233612121277352E-19</v>
      </c>
      <c r="BS165" s="22">
        <f t="shared" si="169"/>
        <v>1.1112871387265479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-5.3205440053716299E-14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252.98248842635206</v>
      </c>
      <c r="CE165" s="59">
        <f t="shared" si="148"/>
        <v>207.11938580878308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0.22954426870202693</v>
      </c>
      <c r="CL165" s="21">
        <f>EXP(-LN(2)/25)*CL164+(1-EXP(-LN(2)/25))/(LN(2)/25)*Calculateur!CG165*Calculateur!CI165*VLOOKUP('Données projet'!$B$12,Paramètres!$A$1:$I$89,3,0)*0.475*44/12</f>
        <v>0.20217780870045129</v>
      </c>
      <c r="CM165" s="21">
        <f>EXP(-LN(2)/2)*CM164+(1-EXP(-LN(2)/2))/(LN(2)/2)*CG165*CJ165*VLOOKUP('Données projet'!$B$12,Paramètres!$A$1:$I$89,3,0)*0.475*44/12</f>
        <v>1.3325083875247244E-19</v>
      </c>
      <c r="CN165" s="22">
        <f t="shared" si="172"/>
        <v>0.43172207740247825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-5.6843418860808015E-13</v>
      </c>
      <c r="CU165" s="17">
        <f>CT165*VLOOKUP('Données projet'!$B$13,Paramètres!$A$1:$I$89,3,0)*VLOOKUP('Données projet'!$B$13,Paramètres!$A$1:$I$89,5,0)</f>
        <v>-3.177547114319168E-13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356.67698551373468</v>
      </c>
      <c r="CZ165" s="59">
        <f t="shared" si="150"/>
        <v>353.21836615408171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0.33450895608477416</v>
      </c>
      <c r="DG165" s="21">
        <f>EXP(-LN(2)/25)*DG164+(1-EXP(-LN(2)/25))/(LN(2)/25)*Calculateur!DB165*Calculateur!DD165*VLOOKUP('Données projet'!$B$13,Paramètres!$A$1:$I$89,3,0)*0.475*44/12</f>
        <v>0.7765677862014122</v>
      </c>
      <c r="DH165" s="21">
        <f>EXP(-LN(2)/2)*DH164+(1-EXP(-LN(2)/2))/(LN(2)/2)*DB165*DE165*VLOOKUP('Données projet'!$B$13,Paramètres!$A$1:$I$89,3,0)*0.475*44/12</f>
        <v>4.407564858123931E-19</v>
      </c>
      <c r="DI165" s="22">
        <f t="shared" si="175"/>
        <v>1.1110767422861865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-2.7193891583010558E-13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247.30892363953825</v>
      </c>
      <c r="DU165" s="59">
        <f t="shared" si="152"/>
        <v>248.38414731596578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0.33070431374398429</v>
      </c>
      <c r="EC165" s="21">
        <f>EXP(-LN(2)/2)*EC164+(1-EXP(-LN(2)/2))/(LN(2)/2)*DW165*DZ165*VLOOKUP('Données projet'!$B$14,Paramètres!$A$1:$I$89,3,0)*0.475*44/12</f>
        <v>3.2159279408606105E-19</v>
      </c>
      <c r="ED165" s="22">
        <f t="shared" si="178"/>
        <v>0.33070431374398429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-4.5474735088646412E-13</v>
      </c>
      <c r="EK165" s="17">
        <f>EJ165*VLOOKUP('Données projet'!$B$15,Paramètres!$A$1:$I$89,3,0)*VLOOKUP('Données projet'!$B$15,Paramètres!$A$1:$I$89,5,0)</f>
        <v>-2.7193891583010558E-13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247.30892363953825</v>
      </c>
      <c r="EP165" s="59">
        <f t="shared" si="154"/>
        <v>248.38414731596578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0.33070431374398429</v>
      </c>
      <c r="EX165" s="21">
        <f>EXP(-LN(2)/2)*EX164+(1-EXP(-LN(2)/2))/(LN(2)/2)*ER165*EU165*VLOOKUP('Données projet'!$B$15,Paramètres!$A$1:$I$89,3,0)*0.475*44/12</f>
        <v>3.2159279408606105E-19</v>
      </c>
      <c r="EY165" s="22">
        <f t="shared" si="181"/>
        <v>0.33070431374398429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6.8212102632969618E-13</v>
      </c>
      <c r="FF165" s="17">
        <f>FE165*VLOOKUP('Données projet'!$B$16,Paramètres!$A$1:$I$89,3,0)*VLOOKUP('Données projet'!$B$16,Paramètres!$A$1:$I$89,5,0)</f>
        <v>3.2810021366458383E-13</v>
      </c>
      <c r="FG165" s="13">
        <f t="shared" si="182"/>
        <v>4.2923528923937213E-12</v>
      </c>
      <c r="FH165" s="20">
        <f t="shared" si="183"/>
        <v>8.0472891597182151E-12</v>
      </c>
      <c r="FI165" s="59">
        <f t="shared" si="131"/>
        <v>293.33333333334139</v>
      </c>
      <c r="FJ165" s="59">
        <f ca="1">AVERAGE(OFFSET($FI$3,0,0,'Données projet'!$E$16+1,1))-AVERAGE(OFFSET($H$3,0,0,'Données projet'!$E$16+1,1))</f>
        <v>322.54393676667081</v>
      </c>
      <c r="FK165" s="59">
        <f t="shared" si="156"/>
        <v>296.73904998640018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0.4934284933609292</v>
      </c>
      <c r="FR165" s="21">
        <f>EXP(-LN(2)/25)*FR164+(1-EXP(-LN(2)/25))/(LN(2)/25)*Calculateur!FM165*Calculateur!FO165*VLOOKUP('Données projet'!$B$16,Paramètres!$A$1:$I$89,3,0)*0.475*44/12</f>
        <v>0.345474193315981</v>
      </c>
      <c r="FS165" s="21">
        <f>EXP(-LN(2)/2)*FS164+(1-EXP(-LN(2)/2))/(LN(2)/2)*FM165*FP165*VLOOKUP('Données projet'!$B$16,Paramètres!$A$1:$I$89,3,0)*0.475*44/12</f>
        <v>2.8342106532011119E-19</v>
      </c>
      <c r="FT165" s="22">
        <f t="shared" si="184"/>
        <v>0.83890268667691026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293.33333333333974</v>
      </c>
      <c r="S166" s="59">
        <f ca="1">AVERAGE(OFFSET($R$3,0,0,'Données projet'!$E$9+1,1))-AVERAGE(OFFSET($H$3,0,0,'Données projet'!$E$9+1,1))</f>
        <v>401.06118089678654</v>
      </c>
      <c r="T166" s="59">
        <f t="shared" si="142"/>
        <v>399.58193819355591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6.2527760746888816E-13</v>
      </c>
      <c r="AJ166" s="13">
        <f>AI166*VLOOKUP('Données projet'!$B$10,Paramètres!$A$1:$I$89,3,0)*VLOOKUP('Données projet'!$B$10,Paramètres!$A$1:$I$89,5,0)</f>
        <v>3.9017322706058616E-13</v>
      </c>
      <c r="AK166" s="13">
        <f t="shared" si="164"/>
        <v>5.0025007393608908E-12</v>
      </c>
      <c r="AL166" s="20">
        <f t="shared" si="165"/>
        <v>9.3922404915174053E-12</v>
      </c>
      <c r="AM166" s="59">
        <f t="shared" si="113"/>
        <v>293.33333333334269</v>
      </c>
      <c r="AN166" s="59">
        <f ca="1">AVERAGE(OFFSET($AM$3,0,0,'Données projet'!$E$10+1,1))-AVERAGE(OFFSET($H$3,0,0,'Données projet'!$E$10+1,1))</f>
        <v>240.30073883588199</v>
      </c>
      <c r="AO166" s="59">
        <f t="shared" si="144"/>
        <v>263.20351282678843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0.49920422078248061</v>
      </c>
      <c r="AV166" s="21">
        <f>EXP(-LN(2)/25)*AV165+(1-EXP(-LN(2)/25))/(LN(2)/25)*Calculateur!AQ166*Calculateur!AS166*VLOOKUP('Données projet'!$B$10,Paramètres!$A$1:$I$89,3,0)*0.475*44/12</f>
        <v>0.52039272761459021</v>
      </c>
      <c r="AW166" s="21">
        <f>EXP(-LN(2)/2)*AW165+(1-EXP(-LN(2)/2))/(LN(2)/2)*AQ166*AT166*VLOOKUP('Données projet'!$B$10,Paramètres!$A$1:$I$89,3,0)*0.475*44/12</f>
        <v>1.9349027805821858E-19</v>
      </c>
      <c r="AX166" s="21">
        <f t="shared" si="166"/>
        <v>1.0195969483970708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-1.0936673788819462E-13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364.67510777943329</v>
      </c>
      <c r="BJ166" s="59">
        <f t="shared" si="146"/>
        <v>352.13878061387169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0.63492536830771784</v>
      </c>
      <c r="BQ166" s="21">
        <f>EXP(-LN(2)/25)*BQ165+(1-EXP(-LN(2)/25))/(LN(2)/25)*Calculateur!BL166*Calculateur!BN166*VLOOKUP('Données projet'!$B$11,Paramètres!$A$1:$I$89,3,0)*0.475*44/12</f>
        <v>0.45098337282204098</v>
      </c>
      <c r="BR166" s="21">
        <f>EXP(-LN(2)/2)*BR165+(1-EXP(-LN(2)/2))/(LN(2)/2)*BL166*BO166*VLOOKUP('Données projet'!$B$11,Paramètres!$A$1:$I$89,3,0)*0.475*44/12</f>
        <v>2.6328139619024848E-19</v>
      </c>
      <c r="BS166" s="22">
        <f t="shared" si="169"/>
        <v>1.0859087411297588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-5.3205440053716299E-14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252.98248842635206</v>
      </c>
      <c r="CE166" s="59">
        <f t="shared" si="148"/>
        <v>207.11938580878308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0.22504304560095945</v>
      </c>
      <c r="CL166" s="21">
        <f>EXP(-LN(2)/25)*CL165+(1-EXP(-LN(2)/25))/(LN(2)/25)*Calculateur!CG166*Calculateur!CI166*VLOOKUP('Données projet'!$B$12,Paramètres!$A$1:$I$89,3,0)*0.475*44/12</f>
        <v>0.19664924588946858</v>
      </c>
      <c r="CM166" s="21">
        <f>EXP(-LN(2)/2)*CM165+(1-EXP(-LN(2)/2))/(LN(2)/2)*CG166*CJ166*VLOOKUP('Données projet'!$B$12,Paramètres!$A$1:$I$89,3,0)*0.475*44/12</f>
        <v>9.4222571680668456E-20</v>
      </c>
      <c r="CN166" s="22">
        <f t="shared" si="172"/>
        <v>0.42169229149042803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-5.6843418860808015E-13</v>
      </c>
      <c r="CU166" s="17">
        <f>CT166*VLOOKUP('Données projet'!$B$13,Paramètres!$A$1:$I$89,3,0)*VLOOKUP('Données projet'!$B$13,Paramètres!$A$1:$I$89,5,0)</f>
        <v>-3.177547114319168E-13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356.67698551373468</v>
      </c>
      <c r="CZ166" s="59">
        <f t="shared" si="150"/>
        <v>353.21836615408171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0.32794943948626865</v>
      </c>
      <c r="DG166" s="21">
        <f>EXP(-LN(2)/25)*DG165+(1-EXP(-LN(2)/25))/(LN(2)/25)*Calculateur!DB166*Calculateur!DD166*VLOOKUP('Données projet'!$B$13,Paramètres!$A$1:$I$89,3,0)*0.475*44/12</f>
        <v>0.75533249924980961</v>
      </c>
      <c r="DH166" s="21">
        <f>EXP(-LN(2)/2)*DH165+(1-EXP(-LN(2)/2))/(LN(2)/2)*DB166*DE166*VLOOKUP('Données projet'!$B$13,Paramètres!$A$1:$I$89,3,0)*0.475*44/12</f>
        <v>3.1166189996989548E-19</v>
      </c>
      <c r="DI166" s="22">
        <f t="shared" si="175"/>
        <v>1.0832819387360781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-2.7193891583010558E-13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247.30892363953825</v>
      </c>
      <c r="DU166" s="59">
        <f t="shared" si="152"/>
        <v>248.38414731596578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0.32166118689367101</v>
      </c>
      <c r="EC166" s="21">
        <f>EXP(-LN(2)/2)*EC165+(1-EXP(-LN(2)/2))/(LN(2)/2)*DW166*DZ166*VLOOKUP('Données projet'!$B$14,Paramètres!$A$1:$I$89,3,0)*0.475*44/12</f>
        <v>2.274004454789828E-19</v>
      </c>
      <c r="ED166" s="22">
        <f t="shared" si="178"/>
        <v>0.32166118689367101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-4.5474735088646412E-13</v>
      </c>
      <c r="EK166" s="17">
        <f>EJ166*VLOOKUP('Données projet'!$B$15,Paramètres!$A$1:$I$89,3,0)*VLOOKUP('Données projet'!$B$15,Paramètres!$A$1:$I$89,5,0)</f>
        <v>-2.7193891583010558E-13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247.30892363953825</v>
      </c>
      <c r="EP166" s="59">
        <f t="shared" si="154"/>
        <v>248.38414731596578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0.32166118689367101</v>
      </c>
      <c r="EX166" s="21">
        <f>EXP(-LN(2)/2)*EX165+(1-EXP(-LN(2)/2))/(LN(2)/2)*ER166*EU166*VLOOKUP('Données projet'!$B$15,Paramètres!$A$1:$I$89,3,0)*0.475*44/12</f>
        <v>2.274004454789828E-19</v>
      </c>
      <c r="EY166" s="22">
        <f t="shared" si="181"/>
        <v>0.32166118689367101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6.8212102632969618E-13</v>
      </c>
      <c r="FF166" s="17">
        <f>FE166*VLOOKUP('Données projet'!$B$16,Paramètres!$A$1:$I$89,3,0)*VLOOKUP('Données projet'!$B$16,Paramètres!$A$1:$I$89,5,0)</f>
        <v>3.2810021366458383E-13</v>
      </c>
      <c r="FG166" s="13">
        <f t="shared" si="182"/>
        <v>4.2923528923937213E-12</v>
      </c>
      <c r="FH166" s="20">
        <f t="shared" si="183"/>
        <v>8.0472891597182151E-12</v>
      </c>
      <c r="FI166" s="59">
        <f t="shared" si="131"/>
        <v>293.33333333334139</v>
      </c>
      <c r="FJ166" s="59">
        <f ca="1">AVERAGE(OFFSET($FI$3,0,0,'Données projet'!$E$16+1,1))-AVERAGE(OFFSET($H$3,0,0,'Données projet'!$E$16+1,1))</f>
        <v>322.54393676667081</v>
      </c>
      <c r="FK166" s="59">
        <f t="shared" si="156"/>
        <v>296.73904998640018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0.48375266156778485</v>
      </c>
      <c r="FR166" s="21">
        <f>EXP(-LN(2)/25)*FR165+(1-EXP(-LN(2)/25))/(LN(2)/25)*Calculateur!FM166*Calculateur!FO166*VLOOKUP('Données projet'!$B$16,Paramètres!$A$1:$I$89,3,0)*0.475*44/12</f>
        <v>0.33602718333205728</v>
      </c>
      <c r="FS166" s="21">
        <f>EXP(-LN(2)/2)*FS165+(1-EXP(-LN(2)/2))/(LN(2)/2)*FM166*FP166*VLOOKUP('Données projet'!$B$16,Paramètres!$A$1:$I$89,3,0)*0.475*44/12</f>
        <v>2.0040895721896606E-19</v>
      </c>
      <c r="FT166" s="22">
        <f t="shared" si="184"/>
        <v>0.81977984489984213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293.33333333333974</v>
      </c>
      <c r="S167" s="59">
        <f ca="1">AVERAGE(OFFSET($R$3,0,0,'Données projet'!$E$9+1,1))-AVERAGE(OFFSET($H$3,0,0,'Données projet'!$E$9+1,1))</f>
        <v>401.06118089678654</v>
      </c>
      <c r="T167" s="59">
        <f t="shared" si="142"/>
        <v>399.58193819355591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6.2527760746888816E-13</v>
      </c>
      <c r="AJ167" s="13">
        <f>AI167*VLOOKUP('Données projet'!$B$10,Paramètres!$A$1:$I$89,3,0)*VLOOKUP('Données projet'!$B$10,Paramètres!$A$1:$I$89,5,0)</f>
        <v>3.9017322706058616E-13</v>
      </c>
      <c r="AK167" s="13">
        <f t="shared" si="164"/>
        <v>5.0025007393608908E-12</v>
      </c>
      <c r="AL167" s="20">
        <f t="shared" si="165"/>
        <v>9.3922404915174053E-12</v>
      </c>
      <c r="AM167" s="59">
        <f t="shared" si="113"/>
        <v>293.33333333334269</v>
      </c>
      <c r="AN167" s="59">
        <f ca="1">AVERAGE(OFFSET($AM$3,0,0,'Données projet'!$E$10+1,1))-AVERAGE(OFFSET($H$3,0,0,'Données projet'!$E$10+1,1))</f>
        <v>240.30073883588199</v>
      </c>
      <c r="AO167" s="59">
        <f t="shared" si="144"/>
        <v>263.20351282678843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0.48941513049744551</v>
      </c>
      <c r="AV167" s="21">
        <f>EXP(-LN(2)/25)*AV166+(1-EXP(-LN(2)/25))/(LN(2)/25)*Calculateur!AQ167*Calculateur!AS167*VLOOKUP('Données projet'!$B$10,Paramètres!$A$1:$I$89,3,0)*0.475*44/12</f>
        <v>0.5061625611117051</v>
      </c>
      <c r="AW167" s="21">
        <f>EXP(-LN(2)/2)*AW166+(1-EXP(-LN(2)/2))/(LN(2)/2)*AQ167*AT167*VLOOKUP('Données projet'!$B$10,Paramètres!$A$1:$I$89,3,0)*0.475*44/12</f>
        <v>1.36818287708637E-19</v>
      </c>
      <c r="AX167" s="21">
        <f t="shared" si="166"/>
        <v>0.99557769160915055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-1.0936673788819462E-13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364.67510777943329</v>
      </c>
      <c r="BJ167" s="59">
        <f t="shared" si="146"/>
        <v>352.13878061387169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0.62247486910143879</v>
      </c>
      <c r="BQ167" s="21">
        <f>EXP(-LN(2)/25)*BQ166+(1-EXP(-LN(2)/25))/(LN(2)/25)*Calculateur!BL167*Calculateur!BN167*VLOOKUP('Données projet'!$B$11,Paramètres!$A$1:$I$89,3,0)*0.475*44/12</f>
        <v>0.43865120877603742</v>
      </c>
      <c r="BR167" s="21">
        <f>EXP(-LN(2)/2)*BR166+(1-EXP(-LN(2)/2))/(LN(2)/2)*BL167*BO167*VLOOKUP('Données projet'!$B$11,Paramètres!$A$1:$I$89,3,0)*0.475*44/12</f>
        <v>1.8616806060638676E-19</v>
      </c>
      <c r="BS167" s="22">
        <f t="shared" si="169"/>
        <v>1.0611260778774763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-5.3205440053716299E-14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252.98248842635206</v>
      </c>
      <c r="CE167" s="59">
        <f t="shared" si="148"/>
        <v>207.11938580878308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0.22063008873942888</v>
      </c>
      <c r="CL167" s="21">
        <f>EXP(-LN(2)/25)*CL166+(1-EXP(-LN(2)/25))/(LN(2)/25)*Calculateur!CG167*Calculateur!CI167*VLOOKUP('Données projet'!$B$12,Paramètres!$A$1:$I$89,3,0)*0.475*44/12</f>
        <v>0.19127186191928666</v>
      </c>
      <c r="CM167" s="21">
        <f>EXP(-LN(2)/2)*CM166+(1-EXP(-LN(2)/2))/(LN(2)/2)*CG167*CJ167*VLOOKUP('Données projet'!$B$12,Paramètres!$A$1:$I$89,3,0)*0.475*44/12</f>
        <v>6.6625419376236218E-20</v>
      </c>
      <c r="CN167" s="22">
        <f t="shared" si="172"/>
        <v>0.41190195065871554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-5.6843418860808015E-13</v>
      </c>
      <c r="CU167" s="17">
        <f>CT167*VLOOKUP('Données projet'!$B$13,Paramètres!$A$1:$I$89,3,0)*VLOOKUP('Données projet'!$B$13,Paramètres!$A$1:$I$89,5,0)</f>
        <v>-3.177547114319168E-13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356.67698551373468</v>
      </c>
      <c r="CZ167" s="59">
        <f t="shared" si="150"/>
        <v>353.21836615408171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0.32151855100734972</v>
      </c>
      <c r="DG167" s="21">
        <f>EXP(-LN(2)/25)*DG166+(1-EXP(-LN(2)/25))/(LN(2)/25)*Calculateur!DB167*Calculateur!DD167*VLOOKUP('Données projet'!$B$13,Paramètres!$A$1:$I$89,3,0)*0.475*44/12</f>
        <v>0.73467789233661374</v>
      </c>
      <c r="DH167" s="21">
        <f>EXP(-LN(2)/2)*DH166+(1-EXP(-LN(2)/2))/(LN(2)/2)*DB167*DE167*VLOOKUP('Données projet'!$B$13,Paramètres!$A$1:$I$89,3,0)*0.475*44/12</f>
        <v>2.2037824290619655E-19</v>
      </c>
      <c r="DI167" s="22">
        <f t="shared" si="175"/>
        <v>1.0561964433439635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-2.7193891583010558E-13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247.30892363953825</v>
      </c>
      <c r="DU167" s="59">
        <f t="shared" si="152"/>
        <v>248.38414731596578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0.31286534482263695</v>
      </c>
      <c r="EC167" s="21">
        <f>EXP(-LN(2)/2)*EC166+(1-EXP(-LN(2)/2))/(LN(2)/2)*DW167*DZ167*VLOOKUP('Données projet'!$B$14,Paramètres!$A$1:$I$89,3,0)*0.475*44/12</f>
        <v>1.6079639704303053E-19</v>
      </c>
      <c r="ED167" s="22">
        <f t="shared" si="178"/>
        <v>0.31286534482263695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-4.5474735088646412E-13</v>
      </c>
      <c r="EK167" s="17">
        <f>EJ167*VLOOKUP('Données projet'!$B$15,Paramètres!$A$1:$I$89,3,0)*VLOOKUP('Données projet'!$B$15,Paramètres!$A$1:$I$89,5,0)</f>
        <v>-2.7193891583010558E-13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247.30892363953825</v>
      </c>
      <c r="EP167" s="59">
        <f t="shared" si="154"/>
        <v>248.38414731596578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0.31286534482263695</v>
      </c>
      <c r="EX167" s="21">
        <f>EXP(-LN(2)/2)*EX166+(1-EXP(-LN(2)/2))/(LN(2)/2)*ER167*EU167*VLOOKUP('Données projet'!$B$15,Paramètres!$A$1:$I$89,3,0)*0.475*44/12</f>
        <v>1.6079639704303053E-19</v>
      </c>
      <c r="EY167" s="22">
        <f t="shared" si="181"/>
        <v>0.31286534482263695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6.8212102632969618E-13</v>
      </c>
      <c r="FF167" s="17">
        <f>FE167*VLOOKUP('Données projet'!$B$16,Paramètres!$A$1:$I$89,3,0)*VLOOKUP('Données projet'!$B$16,Paramètres!$A$1:$I$89,5,0)</f>
        <v>3.2810021366458383E-13</v>
      </c>
      <c r="FG167" s="13">
        <f t="shared" si="182"/>
        <v>4.2923528923937213E-12</v>
      </c>
      <c r="FH167" s="20">
        <f t="shared" si="183"/>
        <v>8.0472891597182151E-12</v>
      </c>
      <c r="FI167" s="59">
        <f t="shared" si="131"/>
        <v>293.33333333334139</v>
      </c>
      <c r="FJ167" s="59">
        <f ca="1">AVERAGE(OFFSET($FI$3,0,0,'Données projet'!$E$16+1,1))-AVERAGE(OFFSET($H$3,0,0,'Données projet'!$E$16+1,1))</f>
        <v>322.54393676667081</v>
      </c>
      <c r="FK167" s="59">
        <f t="shared" si="156"/>
        <v>296.73904998640018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0.47426656693442937</v>
      </c>
      <c r="FR167" s="21">
        <f>EXP(-LN(2)/25)*FR166+(1-EXP(-LN(2)/25))/(LN(2)/25)*Calculateur!FM167*Calculateur!FO167*VLOOKUP('Données projet'!$B$16,Paramètres!$A$1:$I$89,3,0)*0.475*44/12</f>
        <v>0.32683850233294059</v>
      </c>
      <c r="FS167" s="21">
        <f>EXP(-LN(2)/2)*FS166+(1-EXP(-LN(2)/2))/(LN(2)/2)*FM167*FP167*VLOOKUP('Données projet'!$B$16,Paramètres!$A$1:$I$89,3,0)*0.475*44/12</f>
        <v>1.4171053266005559E-19</v>
      </c>
      <c r="FT167" s="22">
        <f t="shared" si="184"/>
        <v>0.80110506926737002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293.33333333333974</v>
      </c>
      <c r="S168" s="59">
        <f ca="1">AVERAGE(OFFSET($R$3,0,0,'Données projet'!$E$9+1,1))-AVERAGE(OFFSET($H$3,0,0,'Données projet'!$E$9+1,1))</f>
        <v>401.06118089678654</v>
      </c>
      <c r="T168" s="59">
        <f t="shared" si="142"/>
        <v>399.58193819355591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6.2527760746888816E-13</v>
      </c>
      <c r="AJ168" s="13">
        <f>AI168*VLOOKUP('Données projet'!$B$10,Paramètres!$A$1:$I$89,3,0)*VLOOKUP('Données projet'!$B$10,Paramètres!$A$1:$I$89,5,0)</f>
        <v>3.9017322706058616E-13</v>
      </c>
      <c r="AK168" s="13">
        <f t="shared" si="164"/>
        <v>5.0025007393608908E-12</v>
      </c>
      <c r="AL168" s="20">
        <f t="shared" si="165"/>
        <v>9.3922404915174053E-12</v>
      </c>
      <c r="AM168" s="59">
        <f t="shared" si="113"/>
        <v>293.33333333334269</v>
      </c>
      <c r="AN168" s="59">
        <f ca="1">AVERAGE(OFFSET($AM$3,0,0,'Données projet'!$E$10+1,1))-AVERAGE(OFFSET($H$3,0,0,'Données projet'!$E$10+1,1))</f>
        <v>240.30073883588199</v>
      </c>
      <c r="AO168" s="59">
        <f t="shared" si="144"/>
        <v>263.20351282678843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0.47981799830214444</v>
      </c>
      <c r="AV168" s="21">
        <f>EXP(-LN(2)/25)*AV167+(1-EXP(-LN(2)/25))/(LN(2)/25)*Calculateur!AQ168*Calculateur!AS168*VLOOKUP('Données projet'!$B$10,Paramètres!$A$1:$I$89,3,0)*0.475*44/12</f>
        <v>0.49232151926017331</v>
      </c>
      <c r="AW168" s="21">
        <f>EXP(-LN(2)/2)*AW167+(1-EXP(-LN(2)/2))/(LN(2)/2)*AQ168*AT168*VLOOKUP('Données projet'!$B$10,Paramètres!$A$1:$I$89,3,0)*0.475*44/12</f>
        <v>9.674513902910929E-20</v>
      </c>
      <c r="AX168" s="21">
        <f t="shared" si="166"/>
        <v>0.97213951756231776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-1.0936673788819462E-13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364.67510777943329</v>
      </c>
      <c r="BJ168" s="59">
        <f t="shared" si="146"/>
        <v>352.13878061387169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0.61026851659054027</v>
      </c>
      <c r="BQ168" s="21">
        <f>EXP(-LN(2)/25)*BQ167+(1-EXP(-LN(2)/25))/(LN(2)/25)*Calculateur!BL168*Calculateur!BN168*VLOOKUP('Données projet'!$B$11,Paramètres!$A$1:$I$89,3,0)*0.475*44/12</f>
        <v>0.42665626840439214</v>
      </c>
      <c r="BR168" s="21">
        <f>EXP(-LN(2)/2)*BR167+(1-EXP(-LN(2)/2))/(LN(2)/2)*BL168*BO168*VLOOKUP('Données projet'!$B$11,Paramètres!$A$1:$I$89,3,0)*0.475*44/12</f>
        <v>1.3164069809512424E-19</v>
      </c>
      <c r="BS168" s="22">
        <f t="shared" si="169"/>
        <v>1.0369247849949323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-5.3205440053716299E-14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252.98248842635206</v>
      </c>
      <c r="CE168" s="59">
        <f t="shared" si="148"/>
        <v>207.11938580878308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0.21630366727031503</v>
      </c>
      <c r="CL168" s="21">
        <f>EXP(-LN(2)/25)*CL167+(1-EXP(-LN(2)/25))/(LN(2)/25)*Calculateur!CG168*Calculateur!CI168*VLOOKUP('Données projet'!$B$12,Paramètres!$A$1:$I$89,3,0)*0.475*44/12</f>
        <v>0.1860415227965537</v>
      </c>
      <c r="CM168" s="21">
        <f>EXP(-LN(2)/2)*CM167+(1-EXP(-LN(2)/2))/(LN(2)/2)*CG168*CJ168*VLOOKUP('Données projet'!$B$12,Paramètres!$A$1:$I$89,3,0)*0.475*44/12</f>
        <v>4.7111285840334228E-20</v>
      </c>
      <c r="CN168" s="22">
        <f t="shared" si="172"/>
        <v>0.40234519006686875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-5.6843418860808015E-13</v>
      </c>
      <c r="CU168" s="17">
        <f>CT168*VLOOKUP('Données projet'!$B$13,Paramètres!$A$1:$I$89,3,0)*VLOOKUP('Données projet'!$B$13,Paramètres!$A$1:$I$89,5,0)</f>
        <v>-3.177547114319168E-13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356.67698551373468</v>
      </c>
      <c r="CZ168" s="59">
        <f t="shared" si="150"/>
        <v>353.21836615408171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0.31521376832904774</v>
      </c>
      <c r="DG168" s="21">
        <f>EXP(-LN(2)/25)*DG167+(1-EXP(-LN(2)/25))/(LN(2)/25)*Calculateur!DB168*Calculateur!DD168*VLOOKUP('Données projet'!$B$13,Paramètres!$A$1:$I$89,3,0)*0.475*44/12</f>
        <v>0.71458808673563778</v>
      </c>
      <c r="DH168" s="21">
        <f>EXP(-LN(2)/2)*DH167+(1-EXP(-LN(2)/2))/(LN(2)/2)*DB168*DE168*VLOOKUP('Données projet'!$B$13,Paramètres!$A$1:$I$89,3,0)*0.475*44/12</f>
        <v>1.5583094998494774E-19</v>
      </c>
      <c r="DI168" s="22">
        <f t="shared" si="175"/>
        <v>1.0298018550646855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-2.7193891583010558E-13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247.30892363953825</v>
      </c>
      <c r="DU168" s="59">
        <f t="shared" si="152"/>
        <v>248.38414731596578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0.3043100255155885</v>
      </c>
      <c r="EC168" s="21">
        <f>EXP(-LN(2)/2)*EC167+(1-EXP(-LN(2)/2))/(LN(2)/2)*DW168*DZ168*VLOOKUP('Données projet'!$B$14,Paramètres!$A$1:$I$89,3,0)*0.475*44/12</f>
        <v>1.137002227394914E-19</v>
      </c>
      <c r="ED168" s="22">
        <f t="shared" si="178"/>
        <v>0.3043100255155885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-4.5474735088646412E-13</v>
      </c>
      <c r="EK168" s="17">
        <f>EJ168*VLOOKUP('Données projet'!$B$15,Paramètres!$A$1:$I$89,3,0)*VLOOKUP('Données projet'!$B$15,Paramètres!$A$1:$I$89,5,0)</f>
        <v>-2.7193891583010558E-13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247.30892363953825</v>
      </c>
      <c r="EP168" s="59">
        <f t="shared" si="154"/>
        <v>248.38414731596578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0.3043100255155885</v>
      </c>
      <c r="EX168" s="21">
        <f>EXP(-LN(2)/2)*EX167+(1-EXP(-LN(2)/2))/(LN(2)/2)*ER168*EU168*VLOOKUP('Données projet'!$B$15,Paramètres!$A$1:$I$89,3,0)*0.475*44/12</f>
        <v>1.137002227394914E-19</v>
      </c>
      <c r="EY168" s="22">
        <f t="shared" si="181"/>
        <v>0.3043100255155885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6.8212102632969618E-13</v>
      </c>
      <c r="FF168" s="17">
        <f>FE168*VLOOKUP('Données projet'!$B$16,Paramètres!$A$1:$I$89,3,0)*VLOOKUP('Données projet'!$B$16,Paramètres!$A$1:$I$89,5,0)</f>
        <v>3.2810021366458383E-13</v>
      </c>
      <c r="FG168" s="13">
        <f t="shared" si="182"/>
        <v>4.2923528923937213E-12</v>
      </c>
      <c r="FH168" s="20">
        <f t="shared" si="183"/>
        <v>8.0472891597182151E-12</v>
      </c>
      <c r="FI168" s="59">
        <f t="shared" si="131"/>
        <v>293.33333333334139</v>
      </c>
      <c r="FJ168" s="59">
        <f ca="1">AVERAGE(OFFSET($FI$3,0,0,'Données projet'!$E$16+1,1))-AVERAGE(OFFSET($H$3,0,0,'Données projet'!$E$16+1,1))</f>
        <v>322.54393676667081</v>
      </c>
      <c r="FK168" s="59">
        <f t="shared" si="156"/>
        <v>296.73904998640018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0.46496648883088759</v>
      </c>
      <c r="FR168" s="21">
        <f>EXP(-LN(2)/25)*FR167+(1-EXP(-LN(2)/25))/(LN(2)/25)*Calculateur!FM168*Calculateur!FO168*VLOOKUP('Données projet'!$B$16,Paramètres!$A$1:$I$89,3,0)*0.475*44/12</f>
        <v>0.31790108629895647</v>
      </c>
      <c r="FS168" s="21">
        <f>EXP(-LN(2)/2)*FS167+(1-EXP(-LN(2)/2))/(LN(2)/2)*FM168*FP168*VLOOKUP('Données projet'!$B$16,Paramètres!$A$1:$I$89,3,0)*0.475*44/12</f>
        <v>1.0020447860948303E-19</v>
      </c>
      <c r="FT168" s="22">
        <f t="shared" si="184"/>
        <v>0.78286757512984406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293.33333333333974</v>
      </c>
      <c r="S169" s="59">
        <f ca="1">AVERAGE(OFFSET($R$3,0,0,'Données projet'!$E$9+1,1))-AVERAGE(OFFSET($H$3,0,0,'Données projet'!$E$9+1,1))</f>
        <v>401.06118089678654</v>
      </c>
      <c r="T169" s="59">
        <f t="shared" si="142"/>
        <v>399.58193819355591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6.2527760746888816E-13</v>
      </c>
      <c r="AJ169" s="13">
        <f>AI169*VLOOKUP('Données projet'!$B$10,Paramètres!$A$1:$I$89,3,0)*VLOOKUP('Données projet'!$B$10,Paramètres!$A$1:$I$89,5,0)</f>
        <v>3.9017322706058616E-13</v>
      </c>
      <c r="AK169" s="13">
        <f t="shared" si="164"/>
        <v>5.0025007393608908E-12</v>
      </c>
      <c r="AL169" s="20">
        <f t="shared" si="165"/>
        <v>9.3922404915174053E-12</v>
      </c>
      <c r="AM169" s="59">
        <f t="shared" si="113"/>
        <v>293.33333333334269</v>
      </c>
      <c r="AN169" s="59">
        <f ca="1">AVERAGE(OFFSET($AM$3,0,0,'Données projet'!$E$10+1,1))-AVERAGE(OFFSET($H$3,0,0,'Données projet'!$E$10+1,1))</f>
        <v>240.30073883588199</v>
      </c>
      <c r="AO169" s="59">
        <f t="shared" si="144"/>
        <v>263.20351282678843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0.47040906001552057</v>
      </c>
      <c r="AV169" s="21">
        <f>EXP(-LN(2)/25)*AV168+(1-EXP(-LN(2)/25))/(LN(2)/25)*Calculateur!AQ169*Calculateur!AS169*VLOOKUP('Données projet'!$B$10,Paramètres!$A$1:$I$89,3,0)*0.475*44/12</f>
        <v>0.47885896142594037</v>
      </c>
      <c r="AW169" s="21">
        <f>EXP(-LN(2)/2)*AW168+(1-EXP(-LN(2)/2))/(LN(2)/2)*AQ169*AT169*VLOOKUP('Données projet'!$B$10,Paramètres!$A$1:$I$89,3,0)*0.475*44/12</f>
        <v>6.8409143854318501E-20</v>
      </c>
      <c r="AX169" s="21">
        <f t="shared" si="166"/>
        <v>0.94926802144146094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-1.0936673788819462E-13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364.67510777943329</v>
      </c>
      <c r="BJ169" s="59">
        <f t="shared" si="146"/>
        <v>352.13878061387169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0.5983015232072405</v>
      </c>
      <c r="BQ169" s="21">
        <f>EXP(-LN(2)/25)*BQ168+(1-EXP(-LN(2)/25))/(LN(2)/25)*Calculateur!BL169*Calculateur!BN169*VLOOKUP('Données projet'!$B$11,Paramètres!$A$1:$I$89,3,0)*0.475*44/12</f>
        <v>0.41498933030799601</v>
      </c>
      <c r="BR169" s="21">
        <f>EXP(-LN(2)/2)*BR168+(1-EXP(-LN(2)/2))/(LN(2)/2)*BL169*BO169*VLOOKUP('Données projet'!$B$11,Paramètres!$A$1:$I$89,3,0)*0.475*44/12</f>
        <v>9.308403030319338E-20</v>
      </c>
      <c r="BS169" s="22">
        <f t="shared" si="169"/>
        <v>1.0132908535152365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-5.3205440053716299E-14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252.98248842635206</v>
      </c>
      <c r="CE169" s="59">
        <f t="shared" si="148"/>
        <v>207.11938580878308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0.21206208428735396</v>
      </c>
      <c r="CL169" s="21">
        <f>EXP(-LN(2)/25)*CL168+(1-EXP(-LN(2)/25))/(LN(2)/25)*Calculateur!CG169*Calculateur!CI169*VLOOKUP('Données projet'!$B$12,Paramètres!$A$1:$I$89,3,0)*0.475*44/12</f>
        <v>0.18095420757218345</v>
      </c>
      <c r="CM169" s="21">
        <f>EXP(-LN(2)/2)*CM168+(1-EXP(-LN(2)/2))/(LN(2)/2)*CG169*CJ169*VLOOKUP('Données projet'!$B$12,Paramètres!$A$1:$I$89,3,0)*0.475*44/12</f>
        <v>3.3312709688118109E-20</v>
      </c>
      <c r="CN169" s="22">
        <f t="shared" si="172"/>
        <v>0.3930162918595374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-5.6843418860808015E-13</v>
      </c>
      <c r="CU169" s="17">
        <f>CT169*VLOOKUP('Données projet'!$B$13,Paramètres!$A$1:$I$89,3,0)*VLOOKUP('Données projet'!$B$13,Paramètres!$A$1:$I$89,5,0)</f>
        <v>-3.177547114319168E-13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356.67698551373468</v>
      </c>
      <c r="CZ169" s="59">
        <f t="shared" si="150"/>
        <v>353.21836615408171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0.30903261859352954</v>
      </c>
      <c r="DG169" s="21">
        <f>EXP(-LN(2)/25)*DG168+(1-EXP(-LN(2)/25))/(LN(2)/25)*Calculateur!DB169*Calculateur!DD169*VLOOKUP('Données projet'!$B$13,Paramètres!$A$1:$I$89,3,0)*0.475*44/12</f>
        <v>0.69504763792529745</v>
      </c>
      <c r="DH169" s="21">
        <f>EXP(-LN(2)/2)*DH168+(1-EXP(-LN(2)/2))/(LN(2)/2)*DB169*DE169*VLOOKUP('Données projet'!$B$13,Paramètres!$A$1:$I$89,3,0)*0.475*44/12</f>
        <v>1.1018912145309827E-19</v>
      </c>
      <c r="DI169" s="22">
        <f t="shared" si="175"/>
        <v>1.0040802565188269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-2.7193891583010558E-13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247.30892363953825</v>
      </c>
      <c r="DU169" s="59">
        <f t="shared" si="152"/>
        <v>248.38414731596578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0.29598865186489598</v>
      </c>
      <c r="EC169" s="21">
        <f>EXP(-LN(2)/2)*EC168+(1-EXP(-LN(2)/2))/(LN(2)/2)*DW169*DZ169*VLOOKUP('Données projet'!$B$14,Paramètres!$A$1:$I$89,3,0)*0.475*44/12</f>
        <v>8.0398198521515263E-20</v>
      </c>
      <c r="ED169" s="22">
        <f t="shared" si="178"/>
        <v>0.29598865186489598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-4.5474735088646412E-13</v>
      </c>
      <c r="EK169" s="17">
        <f>EJ169*VLOOKUP('Données projet'!$B$15,Paramètres!$A$1:$I$89,3,0)*VLOOKUP('Données projet'!$B$15,Paramètres!$A$1:$I$89,5,0)</f>
        <v>-2.7193891583010558E-13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247.30892363953825</v>
      </c>
      <c r="EP169" s="59">
        <f t="shared" si="154"/>
        <v>248.38414731596578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0.29598865186489598</v>
      </c>
      <c r="EX169" s="21">
        <f>EXP(-LN(2)/2)*EX168+(1-EXP(-LN(2)/2))/(LN(2)/2)*ER169*EU169*VLOOKUP('Données projet'!$B$15,Paramètres!$A$1:$I$89,3,0)*0.475*44/12</f>
        <v>8.0398198521515263E-20</v>
      </c>
      <c r="EY169" s="22">
        <f t="shared" si="181"/>
        <v>0.29598865186489598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6.8212102632969618E-13</v>
      </c>
      <c r="FF169" s="17">
        <f>FE169*VLOOKUP('Données projet'!$B$16,Paramètres!$A$1:$I$89,3,0)*VLOOKUP('Données projet'!$B$16,Paramètres!$A$1:$I$89,5,0)</f>
        <v>3.2810021366458383E-13</v>
      </c>
      <c r="FG169" s="13">
        <f t="shared" si="182"/>
        <v>4.2923528923937213E-12</v>
      </c>
      <c r="FH169" s="20">
        <f t="shared" si="183"/>
        <v>8.0472891597182151E-12</v>
      </c>
      <c r="FI169" s="59">
        <f t="shared" si="131"/>
        <v>293.33333333334139</v>
      </c>
      <c r="FJ169" s="59">
        <f ca="1">AVERAGE(OFFSET($FI$3,0,0,'Données projet'!$E$16+1,1))-AVERAGE(OFFSET($H$3,0,0,'Données projet'!$E$16+1,1))</f>
        <v>322.54393676667081</v>
      </c>
      <c r="FK169" s="59">
        <f t="shared" si="156"/>
        <v>296.73904998640018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0.45584877958646874</v>
      </c>
      <c r="FR169" s="21">
        <f>EXP(-LN(2)/25)*FR168+(1-EXP(-LN(2)/25))/(LN(2)/25)*Calculateur!FM169*Calculateur!FO169*VLOOKUP('Données projet'!$B$16,Paramètres!$A$1:$I$89,3,0)*0.475*44/12</f>
        <v>0.30920806437641996</v>
      </c>
      <c r="FS169" s="21">
        <f>EXP(-LN(2)/2)*FS168+(1-EXP(-LN(2)/2))/(LN(2)/2)*FM169*FP169*VLOOKUP('Données projet'!$B$16,Paramètres!$A$1:$I$89,3,0)*0.475*44/12</f>
        <v>7.0855266330027797E-20</v>
      </c>
      <c r="FT169" s="22">
        <f t="shared" si="184"/>
        <v>0.76505684396288864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293.33333333333974</v>
      </c>
      <c r="S170" s="59">
        <f ca="1">AVERAGE(OFFSET($R$3,0,0,'Données projet'!$E$9+1,1))-AVERAGE(OFFSET($H$3,0,0,'Données projet'!$E$9+1,1))</f>
        <v>401.06118089678654</v>
      </c>
      <c r="T170" s="59">
        <f t="shared" si="142"/>
        <v>399.58193819355591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6.2527760746888816E-13</v>
      </c>
      <c r="AJ170" s="13">
        <f>AI170*VLOOKUP('Données projet'!$B$10,Paramètres!$A$1:$I$89,3,0)*VLOOKUP('Données projet'!$B$10,Paramètres!$A$1:$I$89,5,0)</f>
        <v>3.9017322706058616E-13</v>
      </c>
      <c r="AK170" s="13">
        <f t="shared" si="164"/>
        <v>5.0025007393608908E-12</v>
      </c>
      <c r="AL170" s="20">
        <f t="shared" si="165"/>
        <v>9.3922404915174053E-12</v>
      </c>
      <c r="AM170" s="59">
        <f t="shared" si="113"/>
        <v>293.33333333334269</v>
      </c>
      <c r="AN170" s="59">
        <f ca="1">AVERAGE(OFFSET($AM$3,0,0,'Données projet'!$E$10+1,1))-AVERAGE(OFFSET($H$3,0,0,'Données projet'!$E$10+1,1))</f>
        <v>240.30073883588199</v>
      </c>
      <c r="AO170" s="59">
        <f t="shared" si="144"/>
        <v>263.20351282678843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0.46118462526981169</v>
      </c>
      <c r="AV170" s="21">
        <f>EXP(-LN(2)/25)*AV169+(1-EXP(-LN(2)/25))/(LN(2)/25)*Calculateur!AQ170*Calculateur!AS170*VLOOKUP('Données projet'!$B$10,Paramètres!$A$1:$I$89,3,0)*0.475*44/12</f>
        <v>0.46576453794364969</v>
      </c>
      <c r="AW170" s="21">
        <f>EXP(-LN(2)/2)*AW169+(1-EXP(-LN(2)/2))/(LN(2)/2)*AQ170*AT170*VLOOKUP('Données projet'!$B$10,Paramètres!$A$1:$I$89,3,0)*0.475*44/12</f>
        <v>4.8372569514554645E-20</v>
      </c>
      <c r="AX170" s="21">
        <f t="shared" si="166"/>
        <v>0.92694916321346144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-1.0936673788819462E-13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364.67510777943329</v>
      </c>
      <c r="BJ170" s="59">
        <f t="shared" si="146"/>
        <v>352.13878061387169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0.58656919526504203</v>
      </c>
      <c r="BQ170" s="21">
        <f>EXP(-LN(2)/25)*BQ169+(1-EXP(-LN(2)/25))/(LN(2)/25)*Calculateur!BL170*Calculateur!BN170*VLOOKUP('Données projet'!$B$11,Paramètres!$A$1:$I$89,3,0)*0.475*44/12</f>
        <v>0.40364142524738345</v>
      </c>
      <c r="BR170" s="21">
        <f>EXP(-LN(2)/2)*BR169+(1-EXP(-LN(2)/2))/(LN(2)/2)*BL170*BO170*VLOOKUP('Données projet'!$B$11,Paramètres!$A$1:$I$89,3,0)*0.475*44/12</f>
        <v>6.5820349047562119E-20</v>
      </c>
      <c r="BS170" s="22">
        <f t="shared" si="169"/>
        <v>0.99021062051242548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-5.3205440053716299E-14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252.98248842635206</v>
      </c>
      <c r="CE170" s="59">
        <f t="shared" si="148"/>
        <v>207.11938580878308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0.20790367615957858</v>
      </c>
      <c r="CL170" s="21">
        <f>EXP(-LN(2)/25)*CL169+(1-EXP(-LN(2)/25))/(LN(2)/25)*Calculateur!CG170*Calculateur!CI170*VLOOKUP('Données projet'!$B$12,Paramètres!$A$1:$I$89,3,0)*0.475*44/12</f>
        <v>0.17600600525015389</v>
      </c>
      <c r="CM170" s="21">
        <f>EXP(-LN(2)/2)*CM169+(1-EXP(-LN(2)/2))/(LN(2)/2)*CG170*CJ170*VLOOKUP('Données projet'!$B$12,Paramètres!$A$1:$I$89,3,0)*0.475*44/12</f>
        <v>2.3555642920167114E-20</v>
      </c>
      <c r="CN170" s="22">
        <f t="shared" si="172"/>
        <v>0.38390968140973247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-5.6843418860808015E-13</v>
      </c>
      <c r="CU170" s="17">
        <f>CT170*VLOOKUP('Données projet'!$B$13,Paramètres!$A$1:$I$89,3,0)*VLOOKUP('Données projet'!$B$13,Paramètres!$A$1:$I$89,5,0)</f>
        <v>-3.177547114319168E-13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356.67698551373468</v>
      </c>
      <c r="CZ170" s="59">
        <f t="shared" si="150"/>
        <v>353.21836615408171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0.30297267743419581</v>
      </c>
      <c r="DG170" s="21">
        <f>EXP(-LN(2)/25)*DG169+(1-EXP(-LN(2)/25))/(LN(2)/25)*Calculateur!DB170*Calculateur!DD170*VLOOKUP('Données projet'!$B$13,Paramètres!$A$1:$I$89,3,0)*0.475*44/12</f>
        <v>0.67604152371526349</v>
      </c>
      <c r="DH170" s="21">
        <f>EXP(-LN(2)/2)*DH169+(1-EXP(-LN(2)/2))/(LN(2)/2)*DB170*DE170*VLOOKUP('Données projet'!$B$13,Paramètres!$A$1:$I$89,3,0)*0.475*44/12</f>
        <v>7.791547499247387E-20</v>
      </c>
      <c r="DI170" s="22">
        <f t="shared" si="175"/>
        <v>0.97901420114945936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-2.7193891583010558E-13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247.30892363953825</v>
      </c>
      <c r="DU170" s="59">
        <f t="shared" si="152"/>
        <v>248.38414731596578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0.28789482661428367</v>
      </c>
      <c r="EC170" s="21">
        <f>EXP(-LN(2)/2)*EC169+(1-EXP(-LN(2)/2))/(LN(2)/2)*DW170*DZ170*VLOOKUP('Données projet'!$B$14,Paramètres!$A$1:$I$89,3,0)*0.475*44/12</f>
        <v>5.6850111369745701E-20</v>
      </c>
      <c r="ED170" s="22">
        <f t="shared" si="178"/>
        <v>0.28789482661428367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-4.5474735088646412E-13</v>
      </c>
      <c r="EK170" s="17">
        <f>EJ170*VLOOKUP('Données projet'!$B$15,Paramètres!$A$1:$I$89,3,0)*VLOOKUP('Données projet'!$B$15,Paramètres!$A$1:$I$89,5,0)</f>
        <v>-2.7193891583010558E-13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247.30892363953825</v>
      </c>
      <c r="EP170" s="59">
        <f t="shared" si="154"/>
        <v>248.38414731596578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0.28789482661428367</v>
      </c>
      <c r="EX170" s="21">
        <f>EXP(-LN(2)/2)*EX169+(1-EXP(-LN(2)/2))/(LN(2)/2)*ER170*EU170*VLOOKUP('Données projet'!$B$15,Paramètres!$A$1:$I$89,3,0)*0.475*44/12</f>
        <v>5.6850111369745701E-20</v>
      </c>
      <c r="EY170" s="22">
        <f t="shared" si="181"/>
        <v>0.28789482661428367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6.8212102632969618E-13</v>
      </c>
      <c r="FF170" s="17">
        <f>FE170*VLOOKUP('Données projet'!$B$16,Paramètres!$A$1:$I$89,3,0)*VLOOKUP('Données projet'!$B$16,Paramètres!$A$1:$I$89,5,0)</f>
        <v>3.2810021366458383E-13</v>
      </c>
      <c r="FG170" s="13">
        <f t="shared" si="182"/>
        <v>4.2923528923937213E-12</v>
      </c>
      <c r="FH170" s="20">
        <f t="shared" si="183"/>
        <v>8.0472891597182151E-12</v>
      </c>
      <c r="FI170" s="59">
        <f t="shared" si="131"/>
        <v>293.33333333334139</v>
      </c>
      <c r="FJ170" s="59">
        <f ca="1">AVERAGE(OFFSET($FI$3,0,0,'Données projet'!$E$16+1,1))-AVERAGE(OFFSET($H$3,0,0,'Données projet'!$E$16+1,1))</f>
        <v>322.54393676667081</v>
      </c>
      <c r="FK170" s="59">
        <f t="shared" si="156"/>
        <v>296.73904998640018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0.44690986305907943</v>
      </c>
      <c r="FR170" s="21">
        <f>EXP(-LN(2)/25)*FR169+(1-EXP(-LN(2)/25))/(LN(2)/25)*Calculateur!FM170*Calculateur!FO170*VLOOKUP('Données projet'!$B$16,Paramètres!$A$1:$I$89,3,0)*0.475*44/12</f>
        <v>0.30075275359550135</v>
      </c>
      <c r="FS170" s="21">
        <f>EXP(-LN(2)/2)*FS169+(1-EXP(-LN(2)/2))/(LN(2)/2)*FM170*FP170*VLOOKUP('Données projet'!$B$16,Paramètres!$A$1:$I$89,3,0)*0.475*44/12</f>
        <v>5.0102239304741514E-20</v>
      </c>
      <c r="FT170" s="22">
        <f t="shared" si="184"/>
        <v>0.74766261665458078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293.33333333333974</v>
      </c>
      <c r="S171" s="59">
        <f ca="1">AVERAGE(OFFSET($R$3,0,0,'Données projet'!$E$9+1,1))-AVERAGE(OFFSET($H$3,0,0,'Données projet'!$E$9+1,1))</f>
        <v>401.06118089678654</v>
      </c>
      <c r="T171" s="59">
        <f t="shared" si="142"/>
        <v>399.58193819355591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6.2527760746888816E-13</v>
      </c>
      <c r="AJ171" s="13">
        <f>AI171*VLOOKUP('Données projet'!$B$10,Paramètres!$A$1:$I$89,3,0)*VLOOKUP('Données projet'!$B$10,Paramètres!$A$1:$I$89,5,0)</f>
        <v>3.9017322706058616E-13</v>
      </c>
      <c r="AK171" s="13">
        <f t="shared" si="164"/>
        <v>5.0025007393608908E-12</v>
      </c>
      <c r="AL171" s="20">
        <f t="shared" si="165"/>
        <v>9.3922404915174053E-12</v>
      </c>
      <c r="AM171" s="59">
        <f t="shared" si="113"/>
        <v>293.33333333334269</v>
      </c>
      <c r="AN171" s="59">
        <f ca="1">AVERAGE(OFFSET($AM$3,0,0,'Données projet'!$E$10+1,1))-AVERAGE(OFFSET($H$3,0,0,'Données projet'!$E$10+1,1))</f>
        <v>240.30073883588199</v>
      </c>
      <c r="AO171" s="59">
        <f t="shared" si="144"/>
        <v>263.20351282678843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0.45214107606311654</v>
      </c>
      <c r="AV171" s="21">
        <f>EXP(-LN(2)/25)*AV170+(1-EXP(-LN(2)/25))/(LN(2)/25)*Calculateur!AQ171*Calculateur!AS171*VLOOKUP('Données projet'!$B$10,Paramètres!$A$1:$I$89,3,0)*0.475*44/12</f>
        <v>0.45302818216008806</v>
      </c>
      <c r="AW171" s="21">
        <f>EXP(-LN(2)/2)*AW170+(1-EXP(-LN(2)/2))/(LN(2)/2)*AQ171*AT171*VLOOKUP('Données projet'!$B$10,Paramètres!$A$1:$I$89,3,0)*0.475*44/12</f>
        <v>3.420457192715925E-20</v>
      </c>
      <c r="AX171" s="21">
        <f t="shared" si="166"/>
        <v>0.9051692582232046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-1.0936673788819462E-13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364.67510777943329</v>
      </c>
      <c r="BJ171" s="59">
        <f t="shared" si="146"/>
        <v>352.13878061387169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0.57506693111777663</v>
      </c>
      <c r="BQ171" s="21">
        <f>EXP(-LN(2)/25)*BQ170+(1-EXP(-LN(2)/25))/(LN(2)/25)*Calculateur!BL171*Calculateur!BN171*VLOOKUP('Données projet'!$B$11,Paramètres!$A$1:$I$89,3,0)*0.475*44/12</f>
        <v>0.39260382924741372</v>
      </c>
      <c r="BR171" s="21">
        <f>EXP(-LN(2)/2)*BR170+(1-EXP(-LN(2)/2))/(LN(2)/2)*BL171*BO171*VLOOKUP('Données projet'!$B$11,Paramètres!$A$1:$I$89,3,0)*0.475*44/12</f>
        <v>4.654201515159669E-20</v>
      </c>
      <c r="BS171" s="22">
        <f t="shared" si="169"/>
        <v>0.9676707603651904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-5.3205440053716299E-14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252.98248842635206</v>
      </c>
      <c r="CE171" s="59">
        <f t="shared" si="148"/>
        <v>207.11938580878308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0.20382681187881038</v>
      </c>
      <c r="CL171" s="21">
        <f>EXP(-LN(2)/25)*CL170+(1-EXP(-LN(2)/25))/(LN(2)/25)*Calculateur!CG171*Calculateur!CI171*VLOOKUP('Données projet'!$B$12,Paramètres!$A$1:$I$89,3,0)*0.475*44/12</f>
        <v>0.17119311178083488</v>
      </c>
      <c r="CM171" s="21">
        <f>EXP(-LN(2)/2)*CM170+(1-EXP(-LN(2)/2))/(LN(2)/2)*CG171*CJ171*VLOOKUP('Données projet'!$B$12,Paramètres!$A$1:$I$89,3,0)*0.475*44/12</f>
        <v>1.6656354844059055E-20</v>
      </c>
      <c r="CN171" s="22">
        <f t="shared" si="172"/>
        <v>0.37501992365964526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-5.6843418860808015E-13</v>
      </c>
      <c r="CU171" s="17">
        <f>CT171*VLOOKUP('Données projet'!$B$13,Paramètres!$A$1:$I$89,3,0)*VLOOKUP('Données projet'!$B$13,Paramètres!$A$1:$I$89,5,0)</f>
        <v>-3.177547114319168E-13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356.67698551373468</v>
      </c>
      <c r="CZ171" s="59">
        <f t="shared" si="150"/>
        <v>353.21836615408171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0.29703156802479747</v>
      </c>
      <c r="DG171" s="21">
        <f>EXP(-LN(2)/25)*DG170+(1-EXP(-LN(2)/25))/(LN(2)/25)*Calculateur!DB171*Calculateur!DD171*VLOOKUP('Données projet'!$B$13,Paramètres!$A$1:$I$89,3,0)*0.475*44/12</f>
        <v>0.65755513269779098</v>
      </c>
      <c r="DH171" s="21">
        <f>EXP(-LN(2)/2)*DH170+(1-EXP(-LN(2)/2))/(LN(2)/2)*DB171*DE171*VLOOKUP('Données projet'!$B$13,Paramètres!$A$1:$I$89,3,0)*0.475*44/12</f>
        <v>5.5094560726549137E-20</v>
      </c>
      <c r="DI171" s="22">
        <f t="shared" si="175"/>
        <v>0.95458670072258844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-2.7193891583010558E-13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247.30892363953825</v>
      </c>
      <c r="DU171" s="59">
        <f t="shared" si="152"/>
        <v>248.38414731596578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0.28002232744078515</v>
      </c>
      <c r="EC171" s="21">
        <f>EXP(-LN(2)/2)*EC170+(1-EXP(-LN(2)/2))/(LN(2)/2)*DW171*DZ171*VLOOKUP('Données projet'!$B$14,Paramètres!$A$1:$I$89,3,0)*0.475*44/12</f>
        <v>4.0199099260757632E-20</v>
      </c>
      <c r="ED171" s="22">
        <f t="shared" si="178"/>
        <v>0.28002232744078515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-4.5474735088646412E-13</v>
      </c>
      <c r="EK171" s="17">
        <f>EJ171*VLOOKUP('Données projet'!$B$15,Paramètres!$A$1:$I$89,3,0)*VLOOKUP('Données projet'!$B$15,Paramètres!$A$1:$I$89,5,0)</f>
        <v>-2.7193891583010558E-13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247.30892363953825</v>
      </c>
      <c r="EP171" s="59">
        <f t="shared" si="154"/>
        <v>248.38414731596578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0.28002232744078515</v>
      </c>
      <c r="EX171" s="21">
        <f>EXP(-LN(2)/2)*EX170+(1-EXP(-LN(2)/2))/(LN(2)/2)*ER171*EU171*VLOOKUP('Données projet'!$B$15,Paramètres!$A$1:$I$89,3,0)*0.475*44/12</f>
        <v>4.0199099260757632E-20</v>
      </c>
      <c r="EY171" s="22">
        <f t="shared" si="181"/>
        <v>0.28002232744078515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6.8212102632969618E-13</v>
      </c>
      <c r="FF171" s="17">
        <f>FE171*VLOOKUP('Données projet'!$B$16,Paramètres!$A$1:$I$89,3,0)*VLOOKUP('Données projet'!$B$16,Paramètres!$A$1:$I$89,5,0)</f>
        <v>3.2810021366458383E-13</v>
      </c>
      <c r="FG171" s="13">
        <f t="shared" si="182"/>
        <v>4.2923528923937213E-12</v>
      </c>
      <c r="FH171" s="20">
        <f t="shared" si="183"/>
        <v>8.0472891597182151E-12</v>
      </c>
      <c r="FI171" s="59">
        <f t="shared" si="131"/>
        <v>293.33333333334139</v>
      </c>
      <c r="FJ171" s="59">
        <f ca="1">AVERAGE(OFFSET($FI$3,0,0,'Données projet'!$E$16+1,1))-AVERAGE(OFFSET($H$3,0,0,'Données projet'!$E$16+1,1))</f>
        <v>322.54393676667081</v>
      </c>
      <c r="FK171" s="59">
        <f t="shared" si="156"/>
        <v>296.73904998640018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0.4381462332325915</v>
      </c>
      <c r="FR171" s="21">
        <f>EXP(-LN(2)/25)*FR170+(1-EXP(-LN(2)/25))/(LN(2)/25)*Calculateur!FM171*Calculateur!FO171*VLOOKUP('Données projet'!$B$16,Paramètres!$A$1:$I$89,3,0)*0.475*44/12</f>
        <v>0.29252865373253245</v>
      </c>
      <c r="FS171" s="21">
        <f>EXP(-LN(2)/2)*FS170+(1-EXP(-LN(2)/2))/(LN(2)/2)*FM171*FP171*VLOOKUP('Données projet'!$B$16,Paramètres!$A$1:$I$89,3,0)*0.475*44/12</f>
        <v>3.5427633165013898E-20</v>
      </c>
      <c r="FT171" s="22">
        <f t="shared" si="184"/>
        <v>0.73067488696512395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293.33333333333974</v>
      </c>
      <c r="S172" s="59">
        <f ca="1">AVERAGE(OFFSET($R$3,0,0,'Données projet'!$E$9+1,1))-AVERAGE(OFFSET($H$3,0,0,'Données projet'!$E$9+1,1))</f>
        <v>401.06118089678654</v>
      </c>
      <c r="T172" s="59">
        <f t="shared" si="142"/>
        <v>399.58193819355591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6.2527760746888816E-13</v>
      </c>
      <c r="AJ172" s="13">
        <f>AI172*VLOOKUP('Données projet'!$B$10,Paramètres!$A$1:$I$89,3,0)*VLOOKUP('Données projet'!$B$10,Paramètres!$A$1:$I$89,5,0)</f>
        <v>3.9017322706058616E-13</v>
      </c>
      <c r="AK172" s="13">
        <f t="shared" si="164"/>
        <v>5.0025007393608908E-12</v>
      </c>
      <c r="AL172" s="20">
        <f t="shared" si="165"/>
        <v>9.3922404915174053E-12</v>
      </c>
      <c r="AM172" s="59">
        <f t="shared" si="113"/>
        <v>293.33333333334269</v>
      </c>
      <c r="AN172" s="59">
        <f ca="1">AVERAGE(OFFSET($AM$3,0,0,'Données projet'!$E$10+1,1))-AVERAGE(OFFSET($H$3,0,0,'Données projet'!$E$10+1,1))</f>
        <v>240.30073883588199</v>
      </c>
      <c r="AO172" s="59">
        <f t="shared" si="144"/>
        <v>263.20351282678843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0.44327486534034433</v>
      </c>
      <c r="AV172" s="21">
        <f>EXP(-LN(2)/25)*AV171+(1-EXP(-LN(2)/25))/(LN(2)/25)*Calculateur!AQ172*Calculateur!AS172*VLOOKUP('Données projet'!$B$10,Paramètres!$A$1:$I$89,3,0)*0.475*44/12</f>
        <v>0.44064010269520376</v>
      </c>
      <c r="AW172" s="21">
        <f>EXP(-LN(2)/2)*AW171+(1-EXP(-LN(2)/2))/(LN(2)/2)*AQ172*AT172*VLOOKUP('Données projet'!$B$10,Paramètres!$A$1:$I$89,3,0)*0.475*44/12</f>
        <v>2.4186284757277323E-20</v>
      </c>
      <c r="AX172" s="21">
        <f t="shared" si="166"/>
        <v>0.88391496803554803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-1.0936673788819462E-13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364.67510777943329</v>
      </c>
      <c r="BJ172" s="59">
        <f t="shared" si="146"/>
        <v>352.13878061387169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0.56379021935475071</v>
      </c>
      <c r="BQ172" s="21">
        <f>EXP(-LN(2)/25)*BQ171+(1-EXP(-LN(2)/25))/(LN(2)/25)*Calculateur!BL172*Calculateur!BN172*VLOOKUP('Données projet'!$B$11,Paramètres!$A$1:$I$89,3,0)*0.475*44/12</f>
        <v>0.38186805689050513</v>
      </c>
      <c r="BR172" s="21">
        <f>EXP(-LN(2)/2)*BR171+(1-EXP(-LN(2)/2))/(LN(2)/2)*BL172*BO172*VLOOKUP('Données projet'!$B$11,Paramètres!$A$1:$I$89,3,0)*0.475*44/12</f>
        <v>3.291017452378106E-20</v>
      </c>
      <c r="BS172" s="22">
        <f t="shared" si="169"/>
        <v>0.94565827624525589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-5.3205440053716299E-14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252.98248842635206</v>
      </c>
      <c r="CE172" s="59">
        <f t="shared" si="148"/>
        <v>207.11938580878308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0.19982989241994636</v>
      </c>
      <c r="CL172" s="21">
        <f>EXP(-LN(2)/25)*CL171+(1-EXP(-LN(2)/25))/(LN(2)/25)*Calculateur!CG172*Calculateur!CI172*VLOOKUP('Données projet'!$B$12,Paramètres!$A$1:$I$89,3,0)*0.475*44/12</f>
        <v>0.16651182713653348</v>
      </c>
      <c r="CM172" s="21">
        <f>EXP(-LN(2)/2)*CM171+(1-EXP(-LN(2)/2))/(LN(2)/2)*CG172*CJ172*VLOOKUP('Données projet'!$B$12,Paramètres!$A$1:$I$89,3,0)*0.475*44/12</f>
        <v>1.1777821460083557E-20</v>
      </c>
      <c r="CN172" s="22">
        <f t="shared" si="172"/>
        <v>0.36634171955647987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-5.6843418860808015E-13</v>
      </c>
      <c r="CU172" s="17">
        <f>CT172*VLOOKUP('Données projet'!$B$13,Paramètres!$A$1:$I$89,3,0)*VLOOKUP('Données projet'!$B$13,Paramètres!$A$1:$I$89,5,0)</f>
        <v>-3.177547114319168E-13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356.67698551373468</v>
      </c>
      <c r="CZ172" s="59">
        <f t="shared" si="150"/>
        <v>353.21836615408171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0.29120696014719849</v>
      </c>
      <c r="DG172" s="21">
        <f>EXP(-LN(2)/25)*DG171+(1-EXP(-LN(2)/25))/(LN(2)/25)*Calculateur!DB172*Calculateur!DD172*VLOOKUP('Données projet'!$B$13,Paramètres!$A$1:$I$89,3,0)*0.475*44/12</f>
        <v>0.63957425301484827</v>
      </c>
      <c r="DH172" s="21">
        <f>EXP(-LN(2)/2)*DH171+(1-EXP(-LN(2)/2))/(LN(2)/2)*DB172*DE172*VLOOKUP('Données projet'!$B$13,Paramètres!$A$1:$I$89,3,0)*0.475*44/12</f>
        <v>3.8957737496236935E-20</v>
      </c>
      <c r="DI172" s="22">
        <f t="shared" si="175"/>
        <v>0.93078121316204676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-2.7193891583010558E-13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247.30892363953825</v>
      </c>
      <c r="DU172" s="59">
        <f t="shared" si="152"/>
        <v>248.38414731596578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0.27236510217118265</v>
      </c>
      <c r="EC172" s="21">
        <f>EXP(-LN(2)/2)*EC171+(1-EXP(-LN(2)/2))/(LN(2)/2)*DW172*DZ172*VLOOKUP('Données projet'!$B$14,Paramètres!$A$1:$I$89,3,0)*0.475*44/12</f>
        <v>2.842505568487285E-20</v>
      </c>
      <c r="ED172" s="22">
        <f t="shared" si="178"/>
        <v>0.27236510217118265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-4.5474735088646412E-13</v>
      </c>
      <c r="EK172" s="17">
        <f>EJ172*VLOOKUP('Données projet'!$B$15,Paramètres!$A$1:$I$89,3,0)*VLOOKUP('Données projet'!$B$15,Paramètres!$A$1:$I$89,5,0)</f>
        <v>-2.7193891583010558E-13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247.30892363953825</v>
      </c>
      <c r="EP172" s="59">
        <f t="shared" si="154"/>
        <v>248.38414731596578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0.27236510217118265</v>
      </c>
      <c r="EX172" s="21">
        <f>EXP(-LN(2)/2)*EX171+(1-EXP(-LN(2)/2))/(LN(2)/2)*ER172*EU172*VLOOKUP('Données projet'!$B$15,Paramètres!$A$1:$I$89,3,0)*0.475*44/12</f>
        <v>2.842505568487285E-20</v>
      </c>
      <c r="EY172" s="22">
        <f t="shared" si="181"/>
        <v>0.27236510217118265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6.8212102632969618E-13</v>
      </c>
      <c r="FF172" s="17">
        <f>FE172*VLOOKUP('Données projet'!$B$16,Paramètres!$A$1:$I$89,3,0)*VLOOKUP('Données projet'!$B$16,Paramètres!$A$1:$I$89,5,0)</f>
        <v>3.2810021366458383E-13</v>
      </c>
      <c r="FG172" s="13">
        <f t="shared" si="182"/>
        <v>4.2923528923937213E-12</v>
      </c>
      <c r="FH172" s="20">
        <f t="shared" si="183"/>
        <v>8.0472891597182151E-12</v>
      </c>
      <c r="FI172" s="59">
        <f t="shared" si="131"/>
        <v>293.33333333334139</v>
      </c>
      <c r="FJ172" s="59">
        <f ca="1">AVERAGE(OFFSET($FI$3,0,0,'Données projet'!$E$16+1,1))-AVERAGE(OFFSET($H$3,0,0,'Données projet'!$E$16+1,1))</f>
        <v>322.54393676667081</v>
      </c>
      <c r="FK172" s="59">
        <f t="shared" si="156"/>
        <v>296.73904998640018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0.42955445284171462</v>
      </c>
      <c r="FR172" s="21">
        <f>EXP(-LN(2)/25)*FR171+(1-EXP(-LN(2)/25))/(LN(2)/25)*Calculateur!FM172*Calculateur!FO172*VLOOKUP('Données projet'!$B$16,Paramètres!$A$1:$I$89,3,0)*0.475*44/12</f>
        <v>0.28452944231280303</v>
      </c>
      <c r="FS172" s="21">
        <f>EXP(-LN(2)/2)*FS171+(1-EXP(-LN(2)/2))/(LN(2)/2)*FM172*FP172*VLOOKUP('Données projet'!$B$16,Paramètres!$A$1:$I$89,3,0)*0.475*44/12</f>
        <v>2.5051119652370757E-20</v>
      </c>
      <c r="FT172" s="22">
        <f t="shared" si="184"/>
        <v>0.71408389515451764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293.33333333333974</v>
      </c>
      <c r="S173" s="59">
        <f ca="1">AVERAGE(OFFSET($R$3,0,0,'Données projet'!$E$9+1,1))-AVERAGE(OFFSET($H$3,0,0,'Données projet'!$E$9+1,1))</f>
        <v>401.06118089678654</v>
      </c>
      <c r="T173" s="59">
        <f t="shared" si="142"/>
        <v>399.58193819355591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6.2527760746888816E-13</v>
      </c>
      <c r="AJ173" s="13">
        <f>AI173*VLOOKUP('Données projet'!$B$10,Paramètres!$A$1:$I$89,3,0)*VLOOKUP('Données projet'!$B$10,Paramètres!$A$1:$I$89,5,0)</f>
        <v>3.9017322706058616E-13</v>
      </c>
      <c r="AK173" s="13">
        <f t="shared" si="164"/>
        <v>5.0025007393608908E-12</v>
      </c>
      <c r="AL173" s="20">
        <f t="shared" si="165"/>
        <v>9.3922404915174053E-12</v>
      </c>
      <c r="AM173" s="59">
        <f t="shared" si="113"/>
        <v>293.33333333334269</v>
      </c>
      <c r="AN173" s="59">
        <f ca="1">AVERAGE(OFFSET($AM$3,0,0,'Données projet'!$E$10+1,1))-AVERAGE(OFFSET($H$3,0,0,'Données projet'!$E$10+1,1))</f>
        <v>240.30073883588199</v>
      </c>
      <c r="AO173" s="59">
        <f t="shared" si="144"/>
        <v>263.20351282678843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0.43458251560199113</v>
      </c>
      <c r="AV173" s="21">
        <f>EXP(-LN(2)/25)*AV172+(1-EXP(-LN(2)/25))/(LN(2)/25)*Calculateur!AQ173*Calculateur!AS173*VLOOKUP('Données projet'!$B$10,Paramètres!$A$1:$I$89,3,0)*0.475*44/12</f>
        <v>0.42859077591474753</v>
      </c>
      <c r="AW173" s="21">
        <f>EXP(-LN(2)/2)*AW172+(1-EXP(-LN(2)/2))/(LN(2)/2)*AQ173*AT173*VLOOKUP('Données projet'!$B$10,Paramètres!$A$1:$I$89,3,0)*0.475*44/12</f>
        <v>1.7102285963579625E-20</v>
      </c>
      <c r="AX173" s="21">
        <f t="shared" si="166"/>
        <v>0.86317329151673872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-1.0936673788819462E-13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364.67510777943329</v>
      </c>
      <c r="BJ173" s="59">
        <f t="shared" si="146"/>
        <v>352.13878061387169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0.55273463703128267</v>
      </c>
      <c r="BQ173" s="21">
        <f>EXP(-LN(2)/25)*BQ172+(1-EXP(-LN(2)/25))/(LN(2)/25)*Calculateur!BL173*Calculateur!BN173*VLOOKUP('Données projet'!$B$11,Paramètres!$A$1:$I$89,3,0)*0.475*44/12</f>
        <v>0.3714258547932659</v>
      </c>
      <c r="BR173" s="21">
        <f>EXP(-LN(2)/2)*BR172+(1-EXP(-LN(2)/2))/(LN(2)/2)*BL173*BO173*VLOOKUP('Données projet'!$B$11,Paramètres!$A$1:$I$89,3,0)*0.475*44/12</f>
        <v>2.3271007575798345E-20</v>
      </c>
      <c r="BS173" s="22">
        <f t="shared" si="169"/>
        <v>0.92416049182454851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-5.3205440053716299E-14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252.98248842635206</v>
      </c>
      <c r="CE173" s="59">
        <f t="shared" si="148"/>
        <v>207.11938580878308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0.19591135011379052</v>
      </c>
      <c r="CL173" s="21">
        <f>EXP(-LN(2)/25)*CL172+(1-EXP(-LN(2)/25))/(LN(2)/25)*Calculateur!CG173*Calculateur!CI173*VLOOKUP('Données projet'!$B$12,Paramètres!$A$1:$I$89,3,0)*0.475*44/12</f>
        <v>0.16195855246700855</v>
      </c>
      <c r="CM173" s="21">
        <f>EXP(-LN(2)/2)*CM172+(1-EXP(-LN(2)/2))/(LN(2)/2)*CG173*CJ173*VLOOKUP('Données projet'!$B$12,Paramètres!$A$1:$I$89,3,0)*0.475*44/12</f>
        <v>8.3281774220295273E-21</v>
      </c>
      <c r="CN173" s="22">
        <f t="shared" si="172"/>
        <v>0.35786990258079909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-5.6843418860808015E-13</v>
      </c>
      <c r="CU173" s="17">
        <f>CT173*VLOOKUP('Données projet'!$B$13,Paramètres!$A$1:$I$89,3,0)*VLOOKUP('Données projet'!$B$13,Paramètres!$A$1:$I$89,5,0)</f>
        <v>-3.177547114319168E-13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356.67698551373468</v>
      </c>
      <c r="CZ173" s="59">
        <f t="shared" si="150"/>
        <v>353.21836615408171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0.28549656927741923</v>
      </c>
      <c r="DG173" s="21">
        <f>EXP(-LN(2)/25)*DG172+(1-EXP(-LN(2)/25))/(LN(2)/25)*Calculateur!DB173*Calculateur!DD173*VLOOKUP('Données projet'!$B$13,Paramètres!$A$1:$I$89,3,0)*0.475*44/12</f>
        <v>0.62208506143240905</v>
      </c>
      <c r="DH173" s="21">
        <f>EXP(-LN(2)/2)*DH172+(1-EXP(-LN(2)/2))/(LN(2)/2)*DB173*DE173*VLOOKUP('Données projet'!$B$13,Paramètres!$A$1:$I$89,3,0)*0.475*44/12</f>
        <v>2.7547280363274569E-20</v>
      </c>
      <c r="DI173" s="22">
        <f t="shared" si="175"/>
        <v>0.90758163070982834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-2.7193891583010558E-13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247.30892363953825</v>
      </c>
      <c r="DU173" s="59">
        <f t="shared" si="152"/>
        <v>248.38414731596578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0.26491726412925343</v>
      </c>
      <c r="EC173" s="21">
        <f>EXP(-LN(2)/2)*EC172+(1-EXP(-LN(2)/2))/(LN(2)/2)*DW173*DZ173*VLOOKUP('Données projet'!$B$14,Paramètres!$A$1:$I$89,3,0)*0.475*44/12</f>
        <v>2.0099549630378816E-20</v>
      </c>
      <c r="ED173" s="22">
        <f t="shared" si="178"/>
        <v>0.26491726412925343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-4.5474735088646412E-13</v>
      </c>
      <c r="EK173" s="17">
        <f>EJ173*VLOOKUP('Données projet'!$B$15,Paramètres!$A$1:$I$89,3,0)*VLOOKUP('Données projet'!$B$15,Paramètres!$A$1:$I$89,5,0)</f>
        <v>-2.7193891583010558E-13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247.30892363953825</v>
      </c>
      <c r="EP173" s="59">
        <f t="shared" si="154"/>
        <v>248.38414731596578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0.26491726412925343</v>
      </c>
      <c r="EX173" s="21">
        <f>EXP(-LN(2)/2)*EX172+(1-EXP(-LN(2)/2))/(LN(2)/2)*ER173*EU173*VLOOKUP('Données projet'!$B$15,Paramètres!$A$1:$I$89,3,0)*0.475*44/12</f>
        <v>2.0099549630378816E-20</v>
      </c>
      <c r="EY173" s="22">
        <f t="shared" si="181"/>
        <v>0.26491726412925343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6.8212102632969618E-13</v>
      </c>
      <c r="FF173" s="17">
        <f>FE173*VLOOKUP('Données projet'!$B$16,Paramètres!$A$1:$I$89,3,0)*VLOOKUP('Données projet'!$B$16,Paramètres!$A$1:$I$89,5,0)</f>
        <v>3.2810021366458383E-13</v>
      </c>
      <c r="FG173" s="13">
        <f t="shared" si="182"/>
        <v>4.2923528923937213E-12</v>
      </c>
      <c r="FH173" s="20">
        <f t="shared" si="183"/>
        <v>8.0472891597182151E-12</v>
      </c>
      <c r="FI173" s="59">
        <f t="shared" si="131"/>
        <v>293.33333333334139</v>
      </c>
      <c r="FJ173" s="59">
        <f ca="1">AVERAGE(OFFSET($FI$3,0,0,'Données projet'!$E$16+1,1))-AVERAGE(OFFSET($H$3,0,0,'Données projet'!$E$16+1,1))</f>
        <v>322.54393676667081</v>
      </c>
      <c r="FK173" s="59">
        <f t="shared" si="156"/>
        <v>296.73904998640018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0.42113115202383422</v>
      </c>
      <c r="FR173" s="21">
        <f>EXP(-LN(2)/25)*FR172+(1-EXP(-LN(2)/25))/(LN(2)/25)*Calculateur!FM173*Calculateur!FO173*VLOOKUP('Données projet'!$B$16,Paramètres!$A$1:$I$89,3,0)*0.475*44/12</f>
        <v>0.27674896975000635</v>
      </c>
      <c r="FS173" s="21">
        <f>EXP(-LN(2)/2)*FS172+(1-EXP(-LN(2)/2))/(LN(2)/2)*FM173*FP173*VLOOKUP('Données projet'!$B$16,Paramètres!$A$1:$I$89,3,0)*0.475*44/12</f>
        <v>1.7713816582506949E-20</v>
      </c>
      <c r="FT173" s="22">
        <f t="shared" si="184"/>
        <v>0.69788012177384062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293.33333333333974</v>
      </c>
      <c r="S174" s="59">
        <f ca="1">AVERAGE(OFFSET($R$3,0,0,'Données projet'!$E$9+1,1))-AVERAGE(OFFSET($H$3,0,0,'Données projet'!$E$9+1,1))</f>
        <v>401.06118089678654</v>
      </c>
      <c r="T174" s="59">
        <f t="shared" si="142"/>
        <v>399.58193819355591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6.2527760746888816E-13</v>
      </c>
      <c r="AJ174" s="13">
        <f>AI174*VLOOKUP('Données projet'!$B$10,Paramètres!$A$1:$I$89,3,0)*VLOOKUP('Données projet'!$B$10,Paramètres!$A$1:$I$89,5,0)</f>
        <v>3.9017322706058616E-13</v>
      </c>
      <c r="AK174" s="13">
        <f t="shared" si="164"/>
        <v>5.0025007393608908E-12</v>
      </c>
      <c r="AL174" s="20">
        <f t="shared" si="165"/>
        <v>9.3922404915174053E-12</v>
      </c>
      <c r="AM174" s="59">
        <f t="shared" si="113"/>
        <v>293.33333333334269</v>
      </c>
      <c r="AN174" s="59">
        <f ca="1">AVERAGE(OFFSET($AM$3,0,0,'Données projet'!$E$10+1,1))-AVERAGE(OFFSET($H$3,0,0,'Données projet'!$E$10+1,1))</f>
        <v>240.30073883588199</v>
      </c>
      <c r="AO174" s="59">
        <f t="shared" si="144"/>
        <v>263.20351282678843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0.4260606175401972</v>
      </c>
      <c r="AV174" s="21">
        <f>EXP(-LN(2)/25)*AV173+(1-EXP(-LN(2)/25))/(LN(2)/25)*Calculateur!AQ174*Calculateur!AS174*VLOOKUP('Données projet'!$B$10,Paramètres!$A$1:$I$89,3,0)*0.475*44/12</f>
        <v>0.41687093860874941</v>
      </c>
      <c r="AW174" s="21">
        <f>EXP(-LN(2)/2)*AW173+(1-EXP(-LN(2)/2))/(LN(2)/2)*AQ174*AT174*VLOOKUP('Données projet'!$B$10,Paramètres!$A$1:$I$89,3,0)*0.475*44/12</f>
        <v>1.2093142378638661E-20</v>
      </c>
      <c r="AX174" s="21">
        <f t="shared" si="166"/>
        <v>0.84293155614894655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-1.0936673788819462E-13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364.67510777943329</v>
      </c>
      <c r="BJ174" s="59">
        <f t="shared" si="146"/>
        <v>352.13878061387169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0.54189584793393852</v>
      </c>
      <c r="BQ174" s="21">
        <f>EXP(-LN(2)/25)*BQ173+(1-EXP(-LN(2)/25))/(LN(2)/25)*Calculateur!BL174*Calculateur!BN174*VLOOKUP('Données projet'!$B$11,Paramètres!$A$1:$I$89,3,0)*0.475*44/12</f>
        <v>0.36126919526150725</v>
      </c>
      <c r="BR174" s="21">
        <f>EXP(-LN(2)/2)*BR173+(1-EXP(-LN(2)/2))/(LN(2)/2)*BL174*BO174*VLOOKUP('Données projet'!$B$11,Paramètres!$A$1:$I$89,3,0)*0.475*44/12</f>
        <v>1.645508726189053E-20</v>
      </c>
      <c r="BS174" s="22">
        <f t="shared" si="169"/>
        <v>0.90316504319544577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-5.3205440053716299E-14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252.98248842635206</v>
      </c>
      <c r="CE174" s="59">
        <f t="shared" si="148"/>
        <v>207.11938580878308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0.1920696480321836</v>
      </c>
      <c r="CL174" s="21">
        <f>EXP(-LN(2)/25)*CL173+(1-EXP(-LN(2)/25))/(LN(2)/25)*Calculateur!CG174*Calculateur!CI174*VLOOKUP('Données projet'!$B$12,Paramètres!$A$1:$I$89,3,0)*0.475*44/12</f>
        <v>0.1575297873327681</v>
      </c>
      <c r="CM174" s="21">
        <f>EXP(-LN(2)/2)*CM173+(1-EXP(-LN(2)/2))/(LN(2)/2)*CG174*CJ174*VLOOKUP('Données projet'!$B$12,Paramètres!$A$1:$I$89,3,0)*0.475*44/12</f>
        <v>5.8889107300417785E-21</v>
      </c>
      <c r="CN174" s="22">
        <f t="shared" si="172"/>
        <v>0.34959943536495169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-5.6843418860808015E-13</v>
      </c>
      <c r="CU174" s="17">
        <f>CT174*VLOOKUP('Données projet'!$B$13,Paramètres!$A$1:$I$89,3,0)*VLOOKUP('Données projet'!$B$13,Paramètres!$A$1:$I$89,5,0)</f>
        <v>-3.177547114319168E-13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356.67698551373468</v>
      </c>
      <c r="CZ174" s="59">
        <f t="shared" si="150"/>
        <v>353.21836615408171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0.2798981556896018</v>
      </c>
      <c r="DG174" s="21">
        <f>EXP(-LN(2)/25)*DG173+(1-EXP(-LN(2)/25))/(LN(2)/25)*Calculateur!DB174*Calculateur!DD174*VLOOKUP('Données projet'!$B$13,Paramètres!$A$1:$I$89,3,0)*0.475*44/12</f>
        <v>0.60507411271350819</v>
      </c>
      <c r="DH174" s="21">
        <f>EXP(-LN(2)/2)*DH173+(1-EXP(-LN(2)/2))/(LN(2)/2)*DB174*DE174*VLOOKUP('Données projet'!$B$13,Paramètres!$A$1:$I$89,3,0)*0.475*44/12</f>
        <v>1.9478868748118468E-20</v>
      </c>
      <c r="DI174" s="22">
        <f t="shared" si="175"/>
        <v>0.88497226840311005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-2.7193891583010558E-13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247.30892363953825</v>
      </c>
      <c r="DU174" s="59">
        <f t="shared" si="152"/>
        <v>248.38414731596578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0.25767308761024554</v>
      </c>
      <c r="EC174" s="21">
        <f>EXP(-LN(2)/2)*EC173+(1-EXP(-LN(2)/2))/(LN(2)/2)*DW174*DZ174*VLOOKUP('Données projet'!$B$14,Paramètres!$A$1:$I$89,3,0)*0.475*44/12</f>
        <v>1.4212527842436425E-20</v>
      </c>
      <c r="ED174" s="22">
        <f t="shared" si="178"/>
        <v>0.25767308761024554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-4.5474735088646412E-13</v>
      </c>
      <c r="EK174" s="17">
        <f>EJ174*VLOOKUP('Données projet'!$B$15,Paramètres!$A$1:$I$89,3,0)*VLOOKUP('Données projet'!$B$15,Paramètres!$A$1:$I$89,5,0)</f>
        <v>-2.7193891583010558E-13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247.30892363953825</v>
      </c>
      <c r="EP174" s="59">
        <f t="shared" si="154"/>
        <v>248.38414731596578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0.25767308761024554</v>
      </c>
      <c r="EX174" s="21">
        <f>EXP(-LN(2)/2)*EX173+(1-EXP(-LN(2)/2))/(LN(2)/2)*ER174*EU174*VLOOKUP('Données projet'!$B$15,Paramètres!$A$1:$I$89,3,0)*0.475*44/12</f>
        <v>1.4212527842436425E-20</v>
      </c>
      <c r="EY174" s="22">
        <f t="shared" si="181"/>
        <v>0.25767308761024554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6.8212102632969618E-13</v>
      </c>
      <c r="FF174" s="17">
        <f>FE174*VLOOKUP('Données projet'!$B$16,Paramètres!$A$1:$I$89,3,0)*VLOOKUP('Données projet'!$B$16,Paramètres!$A$1:$I$89,5,0)</f>
        <v>3.2810021366458383E-13</v>
      </c>
      <c r="FG174" s="13">
        <f t="shared" si="182"/>
        <v>4.2923528923937213E-12</v>
      </c>
      <c r="FH174" s="20">
        <f t="shared" si="183"/>
        <v>8.0472891597182151E-12</v>
      </c>
      <c r="FI174" s="59">
        <f t="shared" si="131"/>
        <v>293.33333333334139</v>
      </c>
      <c r="FJ174" s="59">
        <f ca="1">AVERAGE(OFFSET($FI$3,0,0,'Données projet'!$E$16+1,1))-AVERAGE(OFFSET($H$3,0,0,'Données projet'!$E$16+1,1))</f>
        <v>322.54393676667081</v>
      </c>
      <c r="FK174" s="59">
        <f t="shared" si="156"/>
        <v>296.73904998640018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0.41287302699728629</v>
      </c>
      <c r="FR174" s="21">
        <f>EXP(-LN(2)/25)*FR173+(1-EXP(-LN(2)/25))/(LN(2)/25)*Calculateur!FM174*Calculateur!FO174*VLOOKUP('Données projet'!$B$16,Paramètres!$A$1:$I$89,3,0)*0.475*44/12</f>
        <v>0.2691812546185966</v>
      </c>
      <c r="FS174" s="21">
        <f>EXP(-LN(2)/2)*FS173+(1-EXP(-LN(2)/2))/(LN(2)/2)*FM174*FP174*VLOOKUP('Données projet'!$B$16,Paramètres!$A$1:$I$89,3,0)*0.475*44/12</f>
        <v>1.2525559826185379E-20</v>
      </c>
      <c r="FT174" s="22">
        <f t="shared" si="184"/>
        <v>0.68205428161588288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293.33333333333974</v>
      </c>
      <c r="S175" s="59">
        <f ca="1">AVERAGE(OFFSET($R$3,0,0,'Données projet'!$E$9+1,1))-AVERAGE(OFFSET($H$3,0,0,'Données projet'!$E$9+1,1))</f>
        <v>401.06118089678654</v>
      </c>
      <c r="T175" s="59">
        <f t="shared" si="142"/>
        <v>399.58193819355591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6.2527760746888816E-13</v>
      </c>
      <c r="AJ175" s="13">
        <f>AI175*VLOOKUP('Données projet'!$B$10,Paramètres!$A$1:$I$89,3,0)*VLOOKUP('Données projet'!$B$10,Paramètres!$A$1:$I$89,5,0)</f>
        <v>3.9017322706058616E-13</v>
      </c>
      <c r="AK175" s="13">
        <f t="shared" si="164"/>
        <v>5.0025007393608908E-12</v>
      </c>
      <c r="AL175" s="20">
        <f t="shared" si="165"/>
        <v>9.3922404915174053E-12</v>
      </c>
      <c r="AM175" s="59">
        <f t="shared" si="113"/>
        <v>293.33333333334269</v>
      </c>
      <c r="AN175" s="59">
        <f ca="1">AVERAGE(OFFSET($AM$3,0,0,'Données projet'!$E$10+1,1))-AVERAGE(OFFSET($H$3,0,0,'Données projet'!$E$10+1,1))</f>
        <v>240.30073883588199</v>
      </c>
      <c r="AO175" s="59">
        <f t="shared" si="144"/>
        <v>263.20351282678843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0.41770582870155049</v>
      </c>
      <c r="AV175" s="21">
        <f>EXP(-LN(2)/25)*AV174+(1-EXP(-LN(2)/25))/(LN(2)/25)*Calculateur!AQ175*Calculateur!AS175*VLOOKUP('Données projet'!$B$10,Paramètres!$A$1:$I$89,3,0)*0.475*44/12</f>
        <v>0.40547158087020324</v>
      </c>
      <c r="AW175" s="21">
        <f>EXP(-LN(2)/2)*AW174+(1-EXP(-LN(2)/2))/(LN(2)/2)*AQ175*AT175*VLOOKUP('Données projet'!$B$10,Paramètres!$A$1:$I$89,3,0)*0.475*44/12</f>
        <v>8.5511429817898126E-21</v>
      </c>
      <c r="AX175" s="21">
        <f t="shared" si="166"/>
        <v>0.82317740957175367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-1.0936673788819462E-13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364.67510777943329</v>
      </c>
      <c r="BJ175" s="59">
        <f t="shared" si="146"/>
        <v>352.13878061387169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0.5312696008797847</v>
      </c>
      <c r="BQ175" s="21">
        <f>EXP(-LN(2)/25)*BQ174+(1-EXP(-LN(2)/25))/(LN(2)/25)*Calculateur!BL175*Calculateur!BN175*VLOOKUP('Données projet'!$B$11,Paramètres!$A$1:$I$89,3,0)*0.475*44/12</f>
        <v>0.35139027011876006</v>
      </c>
      <c r="BR175" s="21">
        <f>EXP(-LN(2)/2)*BR174+(1-EXP(-LN(2)/2))/(LN(2)/2)*BL175*BO175*VLOOKUP('Données projet'!$B$11,Paramètres!$A$1:$I$89,3,0)*0.475*44/12</f>
        <v>1.1635503787899173E-20</v>
      </c>
      <c r="BS175" s="22">
        <f t="shared" si="169"/>
        <v>0.8826598709985447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-5.3205440053716299E-14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252.98248842635206</v>
      </c>
      <c r="CE175" s="59">
        <f t="shared" si="148"/>
        <v>207.11938580878308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0.18830327938519009</v>
      </c>
      <c r="CL175" s="21">
        <f>EXP(-LN(2)/25)*CL174+(1-EXP(-LN(2)/25))/(LN(2)/25)*Calculateur!CG175*Calculateur!CI175*VLOOKUP('Données projet'!$B$12,Paramètres!$A$1:$I$89,3,0)*0.475*44/12</f>
        <v>0.15322212701402207</v>
      </c>
      <c r="CM175" s="21">
        <f>EXP(-LN(2)/2)*CM174+(1-EXP(-LN(2)/2))/(LN(2)/2)*CG175*CJ175*VLOOKUP('Données projet'!$B$12,Paramètres!$A$1:$I$89,3,0)*0.475*44/12</f>
        <v>4.1640887110147636E-21</v>
      </c>
      <c r="CN175" s="22">
        <f t="shared" si="172"/>
        <v>0.34152540639921214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-5.6843418860808015E-13</v>
      </c>
      <c r="CU175" s="17">
        <f>CT175*VLOOKUP('Données projet'!$B$13,Paramètres!$A$1:$I$89,3,0)*VLOOKUP('Données projet'!$B$13,Paramètres!$A$1:$I$89,5,0)</f>
        <v>-3.177547114319168E-13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356.67698551373468</v>
      </c>
      <c r="CZ175" s="59">
        <f t="shared" si="150"/>
        <v>353.21836615408171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0.27440952357754639</v>
      </c>
      <c r="DG175" s="21">
        <f>EXP(-LN(2)/25)*DG174+(1-EXP(-LN(2)/25))/(LN(2)/25)*Calculateur!DB175*Calculateur!DD175*VLOOKUP('Données projet'!$B$13,Paramètres!$A$1:$I$89,3,0)*0.475*44/12</f>
        <v>0.58852832928189269</v>
      </c>
      <c r="DH175" s="21">
        <f>EXP(-LN(2)/2)*DH174+(1-EXP(-LN(2)/2))/(LN(2)/2)*DB175*DE175*VLOOKUP('Données projet'!$B$13,Paramètres!$A$1:$I$89,3,0)*0.475*44/12</f>
        <v>1.3773640181637284E-20</v>
      </c>
      <c r="DI175" s="22">
        <f t="shared" si="175"/>
        <v>0.86293785285943914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-2.7193891583010558E-13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247.30892363953825</v>
      </c>
      <c r="DU175" s="59">
        <f t="shared" si="152"/>
        <v>248.38414731596578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0.2506270034791046</v>
      </c>
      <c r="EC175" s="21">
        <f>EXP(-LN(2)/2)*EC174+(1-EXP(-LN(2)/2))/(LN(2)/2)*DW175*DZ175*VLOOKUP('Données projet'!$B$14,Paramètres!$A$1:$I$89,3,0)*0.475*44/12</f>
        <v>1.0049774815189408E-20</v>
      </c>
      <c r="ED175" s="22">
        <f t="shared" si="178"/>
        <v>0.2506270034791046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-4.5474735088646412E-13</v>
      </c>
      <c r="EK175" s="17">
        <f>EJ175*VLOOKUP('Données projet'!$B$15,Paramètres!$A$1:$I$89,3,0)*VLOOKUP('Données projet'!$B$15,Paramètres!$A$1:$I$89,5,0)</f>
        <v>-2.7193891583010558E-13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247.30892363953825</v>
      </c>
      <c r="EP175" s="59">
        <f t="shared" si="154"/>
        <v>248.38414731596578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0.2506270034791046</v>
      </c>
      <c r="EX175" s="21">
        <f>EXP(-LN(2)/2)*EX174+(1-EXP(-LN(2)/2))/(LN(2)/2)*ER175*EU175*VLOOKUP('Données projet'!$B$15,Paramètres!$A$1:$I$89,3,0)*0.475*44/12</f>
        <v>1.0049774815189408E-20</v>
      </c>
      <c r="EY175" s="22">
        <f t="shared" si="181"/>
        <v>0.2506270034791046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6.8212102632969618E-13</v>
      </c>
      <c r="FF175" s="17">
        <f>FE175*VLOOKUP('Données projet'!$B$16,Paramètres!$A$1:$I$89,3,0)*VLOOKUP('Données projet'!$B$16,Paramètres!$A$1:$I$89,5,0)</f>
        <v>3.2810021366458383E-13</v>
      </c>
      <c r="FG175" s="13">
        <f t="shared" si="182"/>
        <v>4.2923528923937213E-12</v>
      </c>
      <c r="FH175" s="20">
        <f t="shared" si="183"/>
        <v>8.0472891597182151E-12</v>
      </c>
      <c r="FI175" s="59">
        <f t="shared" si="131"/>
        <v>293.33333333334139</v>
      </c>
      <c r="FJ175" s="59">
        <f ca="1">AVERAGE(OFFSET($FI$3,0,0,'Données projet'!$E$16+1,1))-AVERAGE(OFFSET($H$3,0,0,'Données projet'!$E$16+1,1))</f>
        <v>322.54393676667081</v>
      </c>
      <c r="FK175" s="59">
        <f t="shared" si="156"/>
        <v>296.73904998640018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0.40477683876555004</v>
      </c>
      <c r="FR175" s="21">
        <f>EXP(-LN(2)/25)*FR174+(1-EXP(-LN(2)/25))/(LN(2)/25)*Calculateur!FM175*Calculateur!FO175*VLOOKUP('Données projet'!$B$16,Paramètres!$A$1:$I$89,3,0)*0.475*44/12</f>
        <v>0.2618204790554241</v>
      </c>
      <c r="FS175" s="21">
        <f>EXP(-LN(2)/2)*FS174+(1-EXP(-LN(2)/2))/(LN(2)/2)*FM175*FP175*VLOOKUP('Données projet'!$B$16,Paramètres!$A$1:$I$89,3,0)*0.475*44/12</f>
        <v>8.8569082912534746E-21</v>
      </c>
      <c r="FT175" s="22">
        <f t="shared" si="184"/>
        <v>0.66659731782097409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293.33333333333974</v>
      </c>
      <c r="S176" s="59">
        <f ca="1">AVERAGE(OFFSET($R$3,0,0,'Données projet'!$E$9+1,1))-AVERAGE(OFFSET($H$3,0,0,'Données projet'!$E$9+1,1))</f>
        <v>401.06118089678654</v>
      </c>
      <c r="T176" s="59">
        <f t="shared" si="142"/>
        <v>399.58193819355591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6.2527760746888816E-13</v>
      </c>
      <c r="AJ176" s="13">
        <f>AI176*VLOOKUP('Données projet'!$B$10,Paramètres!$A$1:$I$89,3,0)*VLOOKUP('Données projet'!$B$10,Paramètres!$A$1:$I$89,5,0)</f>
        <v>3.9017322706058616E-13</v>
      </c>
      <c r="AK176" s="13">
        <f t="shared" si="164"/>
        <v>5.0025007393608908E-12</v>
      </c>
      <c r="AL176" s="20">
        <f t="shared" si="165"/>
        <v>9.3922404915174053E-12</v>
      </c>
      <c r="AM176" s="59">
        <f t="shared" si="113"/>
        <v>293.33333333334269</v>
      </c>
      <c r="AN176" s="59">
        <f ca="1">AVERAGE(OFFSET($AM$3,0,0,'Données projet'!$E$10+1,1))-AVERAGE(OFFSET($H$3,0,0,'Données projet'!$E$10+1,1))</f>
        <v>240.30073883588199</v>
      </c>
      <c r="AO176" s="59">
        <f t="shared" si="144"/>
        <v>263.20351282678843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0.4095148721761116</v>
      </c>
      <c r="AV176" s="21">
        <f>EXP(-LN(2)/25)*AV175+(1-EXP(-LN(2)/25))/(LN(2)/25)*Calculateur!AQ176*Calculateur!AS176*VLOOKUP('Données projet'!$B$10,Paramètres!$A$1:$I$89,3,0)*0.475*44/12</f>
        <v>0.3943839391684838</v>
      </c>
      <c r="AW176" s="21">
        <f>EXP(-LN(2)/2)*AW175+(1-EXP(-LN(2)/2))/(LN(2)/2)*AQ176*AT176*VLOOKUP('Données projet'!$B$10,Paramètres!$A$1:$I$89,3,0)*0.475*44/12</f>
        <v>6.0465711893193307E-21</v>
      </c>
      <c r="AX176" s="21">
        <f t="shared" si="166"/>
        <v>0.8038988113445954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-1.0936673788819462E-13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364.67510777943329</v>
      </c>
      <c r="BJ176" s="59">
        <f t="shared" si="146"/>
        <v>352.13878061387169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0.52085172804899216</v>
      </c>
      <c r="BQ176" s="21">
        <f>EXP(-LN(2)/25)*BQ175+(1-EXP(-LN(2)/25))/(LN(2)/25)*Calculateur!BL176*Calculateur!BN176*VLOOKUP('Données projet'!$B$11,Paramètres!$A$1:$I$89,3,0)*0.475*44/12</f>
        <v>0.34178148470355135</v>
      </c>
      <c r="BR176" s="21">
        <f>EXP(-LN(2)/2)*BR175+(1-EXP(-LN(2)/2))/(LN(2)/2)*BL176*BO176*VLOOKUP('Données projet'!$B$11,Paramètres!$A$1:$I$89,3,0)*0.475*44/12</f>
        <v>8.2275436309452649E-21</v>
      </c>
      <c r="BS176" s="22">
        <f t="shared" si="169"/>
        <v>0.86263321275254357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-5.3205440053716299E-14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252.98248842635206</v>
      </c>
      <c r="CE176" s="59">
        <f t="shared" si="148"/>
        <v>207.11938580878308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0.18461076693010608</v>
      </c>
      <c r="CL176" s="21">
        <f>EXP(-LN(2)/25)*CL175+(1-EXP(-LN(2)/25))/(LN(2)/25)*Calculateur!CG176*Calculateur!CI176*VLOOKUP('Données projet'!$B$12,Paramètres!$A$1:$I$89,3,0)*0.475*44/12</f>
        <v>0.14903225989322216</v>
      </c>
      <c r="CM176" s="21">
        <f>EXP(-LN(2)/2)*CM175+(1-EXP(-LN(2)/2))/(LN(2)/2)*CG176*CJ176*VLOOKUP('Données projet'!$B$12,Paramètres!$A$1:$I$89,3,0)*0.475*44/12</f>
        <v>2.9444553650208892E-21</v>
      </c>
      <c r="CN176" s="22">
        <f t="shared" si="172"/>
        <v>0.33364302682332825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-5.6843418860808015E-13</v>
      </c>
      <c r="CU176" s="17">
        <f>CT176*VLOOKUP('Données projet'!$B$13,Paramètres!$A$1:$I$89,3,0)*VLOOKUP('Données projet'!$B$13,Paramètres!$A$1:$I$89,5,0)</f>
        <v>-3.177547114319168E-13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356.67698551373468</v>
      </c>
      <c r="CZ176" s="59">
        <f t="shared" si="150"/>
        <v>353.21836615408171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0.26902852019347334</v>
      </c>
      <c r="DG176" s="21">
        <f>EXP(-LN(2)/25)*DG175+(1-EXP(-LN(2)/25))/(LN(2)/25)*Calculateur!DB176*Calculateur!DD176*VLOOKUP('Données projet'!$B$13,Paramètres!$A$1:$I$89,3,0)*0.475*44/12</f>
        <v>0.57243499116831964</v>
      </c>
      <c r="DH176" s="21">
        <f>EXP(-LN(2)/2)*DH175+(1-EXP(-LN(2)/2))/(LN(2)/2)*DB176*DE176*VLOOKUP('Données projet'!$B$13,Paramètres!$A$1:$I$89,3,0)*0.475*44/12</f>
        <v>9.7394343740592338E-21</v>
      </c>
      <c r="DI176" s="22">
        <f t="shared" si="175"/>
        <v>0.84146351136179298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-2.7193891583010558E-13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247.30892363953825</v>
      </c>
      <c r="DU176" s="59">
        <f t="shared" si="152"/>
        <v>248.38414731596578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0.24377359488906719</v>
      </c>
      <c r="EC176" s="21">
        <f>EXP(-LN(2)/2)*EC175+(1-EXP(-LN(2)/2))/(LN(2)/2)*DW176*DZ176*VLOOKUP('Données projet'!$B$14,Paramètres!$A$1:$I$89,3,0)*0.475*44/12</f>
        <v>7.1062639212182126E-21</v>
      </c>
      <c r="ED176" s="22">
        <f t="shared" si="178"/>
        <v>0.24377359488906719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-4.5474735088646412E-13</v>
      </c>
      <c r="EK176" s="17">
        <f>EJ176*VLOOKUP('Données projet'!$B$15,Paramètres!$A$1:$I$89,3,0)*VLOOKUP('Données projet'!$B$15,Paramètres!$A$1:$I$89,5,0)</f>
        <v>-2.7193891583010558E-13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247.30892363953825</v>
      </c>
      <c r="EP176" s="59">
        <f t="shared" si="154"/>
        <v>248.38414731596578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0.24377359488906719</v>
      </c>
      <c r="EX176" s="21">
        <f>EXP(-LN(2)/2)*EX175+(1-EXP(-LN(2)/2))/(LN(2)/2)*ER176*EU176*VLOOKUP('Données projet'!$B$15,Paramètres!$A$1:$I$89,3,0)*0.475*44/12</f>
        <v>7.1062639212182126E-21</v>
      </c>
      <c r="EY176" s="22">
        <f t="shared" si="181"/>
        <v>0.24377359488906719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6.8212102632969618E-13</v>
      </c>
      <c r="FF176" s="17">
        <f>FE176*VLOOKUP('Données projet'!$B$16,Paramètres!$A$1:$I$89,3,0)*VLOOKUP('Données projet'!$B$16,Paramètres!$A$1:$I$89,5,0)</f>
        <v>3.2810021366458383E-13</v>
      </c>
      <c r="FG176" s="13">
        <f t="shared" si="182"/>
        <v>4.2923528923937213E-12</v>
      </c>
      <c r="FH176" s="20">
        <f t="shared" si="183"/>
        <v>8.0472891597182151E-12</v>
      </c>
      <c r="FI176" s="59">
        <f t="shared" si="131"/>
        <v>293.33333333334139</v>
      </c>
      <c r="FJ176" s="59">
        <f ca="1">AVERAGE(OFFSET($FI$3,0,0,'Données projet'!$E$16+1,1))-AVERAGE(OFFSET($H$3,0,0,'Données projet'!$E$16+1,1))</f>
        <v>322.54393676667081</v>
      </c>
      <c r="FK176" s="59">
        <f t="shared" si="156"/>
        <v>296.73904998640018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0.39683941184685095</v>
      </c>
      <c r="FR176" s="21">
        <f>EXP(-LN(2)/25)*FR175+(1-EXP(-LN(2)/25))/(LN(2)/25)*Calculateur!FM176*Calculateur!FO176*VLOOKUP('Données projet'!$B$16,Paramètres!$A$1:$I$89,3,0)*0.475*44/12</f>
        <v>0.25466098428711292</v>
      </c>
      <c r="FS176" s="21">
        <f>EXP(-LN(2)/2)*FS175+(1-EXP(-LN(2)/2))/(LN(2)/2)*FM176*FP176*VLOOKUP('Données projet'!$B$16,Paramètres!$A$1:$I$89,3,0)*0.475*44/12</f>
        <v>6.2627799130926893E-21</v>
      </c>
      <c r="FT176" s="22">
        <f t="shared" si="184"/>
        <v>0.65150039613396382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293.33333333333974</v>
      </c>
      <c r="S177" s="59">
        <f ca="1">AVERAGE(OFFSET($R$3,0,0,'Données projet'!$E$9+1,1))-AVERAGE(OFFSET($H$3,0,0,'Données projet'!$E$9+1,1))</f>
        <v>401.06118089678654</v>
      </c>
      <c r="T177" s="59">
        <f t="shared" si="142"/>
        <v>399.58193819355591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6.2527760746888816E-13</v>
      </c>
      <c r="AJ177" s="13">
        <f>AI177*VLOOKUP('Données projet'!$B$10,Paramètres!$A$1:$I$89,3,0)*VLOOKUP('Données projet'!$B$10,Paramètres!$A$1:$I$89,5,0)</f>
        <v>3.9017322706058616E-13</v>
      </c>
      <c r="AK177" s="13">
        <f t="shared" si="164"/>
        <v>5.0025007393608908E-12</v>
      </c>
      <c r="AL177" s="20">
        <f t="shared" si="165"/>
        <v>9.3922404915174053E-12</v>
      </c>
      <c r="AM177" s="59">
        <f t="shared" si="113"/>
        <v>293.33333333334269</v>
      </c>
      <c r="AN177" s="59">
        <f ca="1">AVERAGE(OFFSET($AM$3,0,0,'Données projet'!$E$10+1,1))-AVERAGE(OFFSET($H$3,0,0,'Données projet'!$E$10+1,1))</f>
        <v>240.30073883588199</v>
      </c>
      <c r="AO177" s="59">
        <f t="shared" si="144"/>
        <v>263.20351282678843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0.4014845353121464</v>
      </c>
      <c r="AV177" s="21">
        <f>EXP(-LN(2)/25)*AV176+(1-EXP(-LN(2)/25))/(LN(2)/25)*Calculateur!AQ177*Calculateur!AS177*VLOOKUP('Données projet'!$B$10,Paramètres!$A$1:$I$89,3,0)*0.475*44/12</f>
        <v>0.38359948961217161</v>
      </c>
      <c r="AW177" s="21">
        <f>EXP(-LN(2)/2)*AW176+(1-EXP(-LN(2)/2))/(LN(2)/2)*AQ177*AT177*VLOOKUP('Données projet'!$B$10,Paramètres!$A$1:$I$89,3,0)*0.475*44/12</f>
        <v>4.2755714908949063E-21</v>
      </c>
      <c r="AX177" s="21">
        <f t="shared" si="166"/>
        <v>0.78508402492431806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-1.0936673788819462E-13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364.67510777943329</v>
      </c>
      <c r="BJ177" s="59">
        <f t="shared" si="146"/>
        <v>352.13878061387169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0.51063814335013646</v>
      </c>
      <c r="BQ177" s="21">
        <f>EXP(-LN(2)/25)*BQ176+(1-EXP(-LN(2)/25))/(LN(2)/25)*Calculateur!BL177*Calculateur!BN177*VLOOKUP('Données projet'!$B$11,Paramètres!$A$1:$I$89,3,0)*0.475*44/12</f>
        <v>0.33243545203082564</v>
      </c>
      <c r="BR177" s="21">
        <f>EXP(-LN(2)/2)*BR176+(1-EXP(-LN(2)/2))/(LN(2)/2)*BL177*BO177*VLOOKUP('Données projet'!$B$11,Paramètres!$A$1:$I$89,3,0)*0.475*44/12</f>
        <v>5.8177518939495863E-21</v>
      </c>
      <c r="BS177" s="22">
        <f t="shared" si="169"/>
        <v>0.84307359538096205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-5.3205440053716299E-14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252.98248842635206</v>
      </c>
      <c r="CE177" s="59">
        <f t="shared" si="148"/>
        <v>207.11938580878308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0.18099066239205605</v>
      </c>
      <c r="CL177" s="21">
        <f>EXP(-LN(2)/25)*CL176+(1-EXP(-LN(2)/25))/(LN(2)/25)*Calculateur!CG177*Calculateur!CI177*VLOOKUP('Données projet'!$B$12,Paramètres!$A$1:$I$89,3,0)*0.475*44/12</f>
        <v>0.14495696490917606</v>
      </c>
      <c r="CM177" s="21">
        <f>EXP(-LN(2)/2)*CM176+(1-EXP(-LN(2)/2))/(LN(2)/2)*CG177*CJ177*VLOOKUP('Données projet'!$B$12,Paramètres!$A$1:$I$89,3,0)*0.475*44/12</f>
        <v>2.0820443555073818E-21</v>
      </c>
      <c r="CN177" s="22">
        <f t="shared" si="172"/>
        <v>0.32594762730123211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-5.6843418860808015E-13</v>
      </c>
      <c r="CU177" s="17">
        <f>CT177*VLOOKUP('Données projet'!$B$13,Paramètres!$A$1:$I$89,3,0)*VLOOKUP('Données projet'!$B$13,Paramètres!$A$1:$I$89,5,0)</f>
        <v>-3.177547114319168E-13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356.67698551373468</v>
      </c>
      <c r="CZ177" s="59">
        <f t="shared" si="150"/>
        <v>353.21836615408171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0.26375303500367397</v>
      </c>
      <c r="DG177" s="21">
        <f>EXP(-LN(2)/25)*DG176+(1-EXP(-LN(2)/25))/(LN(2)/25)*Calculateur!DB177*Calculateur!DD177*VLOOKUP('Données projet'!$B$13,Paramètres!$A$1:$I$89,3,0)*0.475*44/12</f>
        <v>0.55678172623177402</v>
      </c>
      <c r="DH177" s="21">
        <f>EXP(-LN(2)/2)*DH176+(1-EXP(-LN(2)/2))/(LN(2)/2)*DB177*DE177*VLOOKUP('Données projet'!$B$13,Paramètres!$A$1:$I$89,3,0)*0.475*44/12</f>
        <v>6.8868200908186421E-21</v>
      </c>
      <c r="DI177" s="22">
        <f t="shared" si="175"/>
        <v>0.820534761235448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-2.7193891583010558E-13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247.30892363953825</v>
      </c>
      <c r="DU177" s="59">
        <f t="shared" si="152"/>
        <v>248.38414731596578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0.23710759311732946</v>
      </c>
      <c r="EC177" s="21">
        <f>EXP(-LN(2)/2)*EC176+(1-EXP(-LN(2)/2))/(LN(2)/2)*DW177*DZ177*VLOOKUP('Données projet'!$B$14,Paramètres!$A$1:$I$89,3,0)*0.475*44/12</f>
        <v>5.024887407594704E-21</v>
      </c>
      <c r="ED177" s="22">
        <f t="shared" si="178"/>
        <v>0.23710759311732946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-4.5474735088646412E-13</v>
      </c>
      <c r="EK177" s="17">
        <f>EJ177*VLOOKUP('Données projet'!$B$15,Paramètres!$A$1:$I$89,3,0)*VLOOKUP('Données projet'!$B$15,Paramètres!$A$1:$I$89,5,0)</f>
        <v>-2.7193891583010558E-13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247.30892363953825</v>
      </c>
      <c r="EP177" s="59">
        <f t="shared" si="154"/>
        <v>248.38414731596578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0.23710759311732946</v>
      </c>
      <c r="EX177" s="21">
        <f>EXP(-LN(2)/2)*EX176+(1-EXP(-LN(2)/2))/(LN(2)/2)*ER177*EU177*VLOOKUP('Données projet'!$B$15,Paramètres!$A$1:$I$89,3,0)*0.475*44/12</f>
        <v>5.024887407594704E-21</v>
      </c>
      <c r="EY177" s="22">
        <f t="shared" si="181"/>
        <v>0.23710759311732946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6.8212102632969618E-13</v>
      </c>
      <c r="FF177" s="17">
        <f>FE177*VLOOKUP('Données projet'!$B$16,Paramètres!$A$1:$I$89,3,0)*VLOOKUP('Données projet'!$B$16,Paramètres!$A$1:$I$89,5,0)</f>
        <v>3.2810021366458383E-13</v>
      </c>
      <c r="FG177" s="13">
        <f t="shared" si="182"/>
        <v>4.2923528923937213E-12</v>
      </c>
      <c r="FH177" s="20">
        <f t="shared" si="183"/>
        <v>8.0472891597182151E-12</v>
      </c>
      <c r="FI177" s="59">
        <f t="shared" si="131"/>
        <v>293.33333333334139</v>
      </c>
      <c r="FJ177" s="59">
        <f ca="1">AVERAGE(OFFSET($FI$3,0,0,'Données projet'!$E$16+1,1))-AVERAGE(OFFSET($H$3,0,0,'Données projet'!$E$16+1,1))</f>
        <v>322.54393676667081</v>
      </c>
      <c r="FK177" s="59">
        <f t="shared" si="156"/>
        <v>296.73904998640018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0.38905763302867519</v>
      </c>
      <c r="FR177" s="21">
        <f>EXP(-LN(2)/25)*FR176+(1-EXP(-LN(2)/25))/(LN(2)/25)*Calculateur!FM177*Calculateur!FO177*VLOOKUP('Données projet'!$B$16,Paramètres!$A$1:$I$89,3,0)*0.475*44/12</f>
        <v>0.2476972662797427</v>
      </c>
      <c r="FS177" s="21">
        <f>EXP(-LN(2)/2)*FS176+(1-EXP(-LN(2)/2))/(LN(2)/2)*FM177*FP177*VLOOKUP('Données projet'!$B$16,Paramètres!$A$1:$I$89,3,0)*0.475*44/12</f>
        <v>4.4284541456267373E-21</v>
      </c>
      <c r="FT177" s="22">
        <f t="shared" si="184"/>
        <v>0.63675489930841789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293.33333333333974</v>
      </c>
      <c r="S178" s="59">
        <f ca="1">AVERAGE(OFFSET($R$3,0,0,'Données projet'!$E$9+1,1))-AVERAGE(OFFSET($H$3,0,0,'Données projet'!$E$9+1,1))</f>
        <v>401.06118089678654</v>
      </c>
      <c r="T178" s="59">
        <f t="shared" si="142"/>
        <v>399.58193819355591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6.2527760746888816E-13</v>
      </c>
      <c r="AJ178" s="13">
        <f>AI178*VLOOKUP('Données projet'!$B$10,Paramètres!$A$1:$I$89,3,0)*VLOOKUP('Données projet'!$B$10,Paramètres!$A$1:$I$89,5,0)</f>
        <v>3.9017322706058616E-13</v>
      </c>
      <c r="AK178" s="13">
        <f t="shared" si="164"/>
        <v>5.0025007393608908E-12</v>
      </c>
      <c r="AL178" s="20">
        <f t="shared" si="165"/>
        <v>9.3922404915174053E-12</v>
      </c>
      <c r="AM178" s="59">
        <f t="shared" si="113"/>
        <v>293.33333333334269</v>
      </c>
      <c r="AN178" s="59">
        <f ca="1">AVERAGE(OFFSET($AM$3,0,0,'Données projet'!$E$10+1,1))-AVERAGE(OFFSET($H$3,0,0,'Données projet'!$E$10+1,1))</f>
        <v>240.30073883588199</v>
      </c>
      <c r="AO178" s="59">
        <f t="shared" si="144"/>
        <v>263.20351282678843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0.39361166845606171</v>
      </c>
      <c r="AV178" s="21">
        <f>EXP(-LN(2)/25)*AV177+(1-EXP(-LN(2)/25))/(LN(2)/25)*Calculateur!AQ178*Calculateur!AS178*VLOOKUP('Données projet'!$B$10,Paramètres!$A$1:$I$89,3,0)*0.475*44/12</f>
        <v>0.37310994139610637</v>
      </c>
      <c r="AW178" s="21">
        <f>EXP(-LN(2)/2)*AW177+(1-EXP(-LN(2)/2))/(LN(2)/2)*AQ178*AT178*VLOOKUP('Données projet'!$B$10,Paramètres!$A$1:$I$89,3,0)*0.475*44/12</f>
        <v>3.0232855946596653E-21</v>
      </c>
      <c r="AX178" s="21">
        <f t="shared" si="166"/>
        <v>0.76672160985216808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-1.0936673788819462E-13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364.67510777943329</v>
      </c>
      <c r="BJ178" s="59">
        <f t="shared" si="146"/>
        <v>352.13878061387169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0.50062484081755376</v>
      </c>
      <c r="BQ178" s="21">
        <f>EXP(-LN(2)/25)*BQ177+(1-EXP(-LN(2)/25))/(LN(2)/25)*Calculateur!BL178*Calculateur!BN178*VLOOKUP('Données projet'!$B$11,Paramètres!$A$1:$I$89,3,0)*0.475*44/12</f>
        <v>0.32334498711302206</v>
      </c>
      <c r="BR178" s="21">
        <f>EXP(-LN(2)/2)*BR177+(1-EXP(-LN(2)/2))/(LN(2)/2)*BL178*BO178*VLOOKUP('Données projet'!$B$11,Paramètres!$A$1:$I$89,3,0)*0.475*44/12</f>
        <v>4.1137718154726324E-21</v>
      </c>
      <c r="BS178" s="22">
        <f t="shared" si="169"/>
        <v>0.82396982793057583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-5.3205440053716299E-14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252.98248842635206</v>
      </c>
      <c r="CE178" s="59">
        <f t="shared" si="148"/>
        <v>207.11938580878308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0.17744154589595146</v>
      </c>
      <c r="CL178" s="21">
        <f>EXP(-LN(2)/25)*CL177+(1-EXP(-LN(2)/25))/(LN(2)/25)*Calculateur!CG178*Calculateur!CI178*VLOOKUP('Données projet'!$B$12,Paramètres!$A$1:$I$89,3,0)*0.475*44/12</f>
        <v>0.14099310908077917</v>
      </c>
      <c r="CM178" s="21">
        <f>EXP(-LN(2)/2)*CM177+(1-EXP(-LN(2)/2))/(LN(2)/2)*CG178*CJ178*VLOOKUP('Données projet'!$B$12,Paramètres!$A$1:$I$89,3,0)*0.475*44/12</f>
        <v>1.4722276825104446E-21</v>
      </c>
      <c r="CN178" s="22">
        <f t="shared" si="172"/>
        <v>0.31843465497673062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-5.6843418860808015E-13</v>
      </c>
      <c r="CU178" s="17">
        <f>CT178*VLOOKUP('Données projet'!$B$13,Paramètres!$A$1:$I$89,3,0)*VLOOKUP('Données projet'!$B$13,Paramètres!$A$1:$I$89,5,0)</f>
        <v>-3.177547114319168E-13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356.67698551373468</v>
      </c>
      <c r="CZ178" s="59">
        <f t="shared" si="150"/>
        <v>353.21836615408171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0.25858099886071834</v>
      </c>
      <c r="DG178" s="21">
        <f>EXP(-LN(2)/25)*DG177+(1-EXP(-LN(2)/25))/(LN(2)/25)*Calculateur!DB178*Calculateur!DD178*VLOOKUP('Données projet'!$B$13,Paramètres!$A$1:$I$89,3,0)*0.475*44/12</f>
        <v>0.54155650064808769</v>
      </c>
      <c r="DH178" s="21">
        <f>EXP(-LN(2)/2)*DH177+(1-EXP(-LN(2)/2))/(LN(2)/2)*DB178*DE178*VLOOKUP('Données projet'!$B$13,Paramètres!$A$1:$I$89,3,0)*0.475*44/12</f>
        <v>4.8697171870296169E-21</v>
      </c>
      <c r="DI178" s="22">
        <f t="shared" si="175"/>
        <v>0.80013749950880597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-2.7193891583010558E-13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247.30892363953825</v>
      </c>
      <c r="DU178" s="59">
        <f t="shared" si="152"/>
        <v>248.38414731596578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0.23062387351458968</v>
      </c>
      <c r="EC178" s="21">
        <f>EXP(-LN(2)/2)*EC177+(1-EXP(-LN(2)/2))/(LN(2)/2)*DW178*DZ178*VLOOKUP('Données projet'!$B$14,Paramètres!$A$1:$I$89,3,0)*0.475*44/12</f>
        <v>3.5531319606091063E-21</v>
      </c>
      <c r="ED178" s="22">
        <f t="shared" si="178"/>
        <v>0.23062387351458968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-4.5474735088646412E-13</v>
      </c>
      <c r="EK178" s="17">
        <f>EJ178*VLOOKUP('Données projet'!$B$15,Paramètres!$A$1:$I$89,3,0)*VLOOKUP('Données projet'!$B$15,Paramètres!$A$1:$I$89,5,0)</f>
        <v>-2.7193891583010558E-13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247.30892363953825</v>
      </c>
      <c r="EP178" s="59">
        <f t="shared" si="154"/>
        <v>248.38414731596578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0.23062387351458968</v>
      </c>
      <c r="EX178" s="21">
        <f>EXP(-LN(2)/2)*EX177+(1-EXP(-LN(2)/2))/(LN(2)/2)*ER178*EU178*VLOOKUP('Données projet'!$B$15,Paramètres!$A$1:$I$89,3,0)*0.475*44/12</f>
        <v>3.5531319606091063E-21</v>
      </c>
      <c r="EY178" s="22">
        <f t="shared" si="181"/>
        <v>0.23062387351458968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6.8212102632969618E-13</v>
      </c>
      <c r="FF178" s="17">
        <f>FE178*VLOOKUP('Données projet'!$B$16,Paramètres!$A$1:$I$89,3,0)*VLOOKUP('Données projet'!$B$16,Paramètres!$A$1:$I$89,5,0)</f>
        <v>3.2810021366458383E-13</v>
      </c>
      <c r="FG178" s="13">
        <f t="shared" si="182"/>
        <v>4.2923528923937213E-12</v>
      </c>
      <c r="FH178" s="20">
        <f t="shared" si="183"/>
        <v>8.0472891597182151E-12</v>
      </c>
      <c r="FI178" s="59">
        <f t="shared" si="131"/>
        <v>293.33333333334139</v>
      </c>
      <c r="FJ178" s="59">
        <f ca="1">AVERAGE(OFFSET($FI$3,0,0,'Données projet'!$E$16+1,1))-AVERAGE(OFFSET($H$3,0,0,'Données projet'!$E$16+1,1))</f>
        <v>322.54393676667081</v>
      </c>
      <c r="FK178" s="59">
        <f t="shared" si="156"/>
        <v>296.73904998640018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0.3814284501467074</v>
      </c>
      <c r="FR178" s="21">
        <f>EXP(-LN(2)/25)*FR177+(1-EXP(-LN(2)/25))/(LN(2)/25)*Calculateur!FM178*Calculateur!FO178*VLOOKUP('Données projet'!$B$16,Paramètres!$A$1:$I$89,3,0)*0.475*44/12</f>
        <v>0.24092397150749001</v>
      </c>
      <c r="FS178" s="21">
        <f>EXP(-LN(2)/2)*FS177+(1-EXP(-LN(2)/2))/(LN(2)/2)*FM178*FP178*VLOOKUP('Données projet'!$B$16,Paramètres!$A$1:$I$89,3,0)*0.475*44/12</f>
        <v>3.1313899565463446E-21</v>
      </c>
      <c r="FT178" s="22">
        <f t="shared" si="184"/>
        <v>0.62235242165419735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293.33333333333974</v>
      </c>
      <c r="S179" s="59">
        <f ca="1">AVERAGE(OFFSET($R$3,0,0,'Données projet'!$E$9+1,1))-AVERAGE(OFFSET($H$3,0,0,'Données projet'!$E$9+1,1))</f>
        <v>401.06118089678654</v>
      </c>
      <c r="T179" s="59">
        <f t="shared" si="142"/>
        <v>399.58193819355591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6.2527760746888816E-13</v>
      </c>
      <c r="AJ179" s="13">
        <f>AI179*VLOOKUP('Données projet'!$B$10,Paramètres!$A$1:$I$89,3,0)*VLOOKUP('Données projet'!$B$10,Paramètres!$A$1:$I$89,5,0)</f>
        <v>3.9017322706058616E-13</v>
      </c>
      <c r="AK179" s="13">
        <f t="shared" si="164"/>
        <v>5.0025007393608908E-12</v>
      </c>
      <c r="AL179" s="20">
        <f t="shared" si="165"/>
        <v>9.3922404915174053E-12</v>
      </c>
      <c r="AM179" s="59">
        <f t="shared" si="113"/>
        <v>293.33333333334269</v>
      </c>
      <c r="AN179" s="59">
        <f ca="1">AVERAGE(OFFSET($AM$3,0,0,'Données projet'!$E$10+1,1))-AVERAGE(OFFSET($H$3,0,0,'Données projet'!$E$10+1,1))</f>
        <v>240.30073883588199</v>
      </c>
      <c r="AO179" s="59">
        <f t="shared" si="144"/>
        <v>263.20351282678843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0.38589318371705023</v>
      </c>
      <c r="AV179" s="21">
        <f>EXP(-LN(2)/25)*AV178+(1-EXP(-LN(2)/25))/(LN(2)/25)*Calculateur!AQ179*Calculateur!AS179*VLOOKUP('Données projet'!$B$10,Paramètres!$A$1:$I$89,3,0)*0.475*44/12</f>
        <v>0.36290723042763079</v>
      </c>
      <c r="AW179" s="21">
        <f>EXP(-LN(2)/2)*AW178+(1-EXP(-LN(2)/2))/(LN(2)/2)*AQ179*AT179*VLOOKUP('Données projet'!$B$10,Paramètres!$A$1:$I$89,3,0)*0.475*44/12</f>
        <v>2.1377857454474532E-21</v>
      </c>
      <c r="AX179" s="21">
        <f t="shared" si="166"/>
        <v>0.74880041414468101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-1.0936673788819462E-13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364.67510777943329</v>
      </c>
      <c r="BJ179" s="59">
        <f t="shared" si="146"/>
        <v>352.13878061387169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0.49080789304012351</v>
      </c>
      <c r="BQ179" s="21">
        <f>EXP(-LN(2)/25)*BQ178+(1-EXP(-LN(2)/25))/(LN(2)/25)*Calculateur!BL179*Calculateur!BN179*VLOOKUP('Données projet'!$B$11,Paramètres!$A$1:$I$89,3,0)*0.475*44/12</f>
        <v>0.31450310143644261</v>
      </c>
      <c r="BR179" s="21">
        <f>EXP(-LN(2)/2)*BR178+(1-EXP(-LN(2)/2))/(LN(2)/2)*BL179*BO179*VLOOKUP('Données projet'!$B$11,Paramètres!$A$1:$I$89,3,0)*0.475*44/12</f>
        <v>2.9088759469747931E-21</v>
      </c>
      <c r="BS179" s="22">
        <f t="shared" si="169"/>
        <v>0.80531099447656618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-5.3205440053716299E-14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252.98248842635206</v>
      </c>
      <c r="CE179" s="59">
        <f t="shared" si="148"/>
        <v>207.11938580878308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0.17396202540958816</v>
      </c>
      <c r="CL179" s="21">
        <f>EXP(-LN(2)/25)*CL178+(1-EXP(-LN(2)/25))/(LN(2)/25)*Calculateur!CG179*Calculateur!CI179*VLOOKUP('Données projet'!$B$12,Paramètres!$A$1:$I$89,3,0)*0.475*44/12</f>
        <v>0.13713764509845991</v>
      </c>
      <c r="CM179" s="21">
        <f>EXP(-LN(2)/2)*CM178+(1-EXP(-LN(2)/2))/(LN(2)/2)*CG179*CJ179*VLOOKUP('Données projet'!$B$12,Paramètres!$A$1:$I$89,3,0)*0.475*44/12</f>
        <v>1.0410221777536909E-21</v>
      </c>
      <c r="CN179" s="22">
        <f t="shared" si="172"/>
        <v>0.3110996705080481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-5.6843418860808015E-13</v>
      </c>
      <c r="CU179" s="17">
        <f>CT179*VLOOKUP('Données projet'!$B$13,Paramètres!$A$1:$I$89,3,0)*VLOOKUP('Données projet'!$B$13,Paramètres!$A$1:$I$89,5,0)</f>
        <v>-3.177547114319168E-13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356.67698551373468</v>
      </c>
      <c r="CZ179" s="59">
        <f t="shared" si="150"/>
        <v>353.21836615408171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0.25351038319189551</v>
      </c>
      <c r="DG179" s="21">
        <f>EXP(-LN(2)/25)*DG178+(1-EXP(-LN(2)/25))/(LN(2)/25)*Calculateur!DB179*Calculateur!DD179*VLOOKUP('Données projet'!$B$13,Paramètres!$A$1:$I$89,3,0)*0.475*44/12</f>
        <v>0.52674760965864709</v>
      </c>
      <c r="DH179" s="21">
        <f>EXP(-LN(2)/2)*DH178+(1-EXP(-LN(2)/2))/(LN(2)/2)*DB179*DE179*VLOOKUP('Données projet'!$B$13,Paramètres!$A$1:$I$89,3,0)*0.475*44/12</f>
        <v>3.4434100454093211E-21</v>
      </c>
      <c r="DI179" s="22">
        <f t="shared" si="175"/>
        <v>0.78025799285054265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-2.7193891583010558E-13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247.30892363953825</v>
      </c>
      <c r="DU179" s="59">
        <f t="shared" si="152"/>
        <v>248.38414731596578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0.22431745156535082</v>
      </c>
      <c r="EC179" s="21">
        <f>EXP(-LN(2)/2)*EC178+(1-EXP(-LN(2)/2))/(LN(2)/2)*DW179*DZ179*VLOOKUP('Données projet'!$B$14,Paramètres!$A$1:$I$89,3,0)*0.475*44/12</f>
        <v>2.512443703797352E-21</v>
      </c>
      <c r="ED179" s="22">
        <f t="shared" si="178"/>
        <v>0.22431745156535082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-4.5474735088646412E-13</v>
      </c>
      <c r="EK179" s="17">
        <f>EJ179*VLOOKUP('Données projet'!$B$15,Paramètres!$A$1:$I$89,3,0)*VLOOKUP('Données projet'!$B$15,Paramètres!$A$1:$I$89,5,0)</f>
        <v>-2.7193891583010558E-13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247.30892363953825</v>
      </c>
      <c r="EP179" s="59">
        <f t="shared" si="154"/>
        <v>248.38414731596578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0.22431745156535082</v>
      </c>
      <c r="EX179" s="21">
        <f>EXP(-LN(2)/2)*EX178+(1-EXP(-LN(2)/2))/(LN(2)/2)*ER179*EU179*VLOOKUP('Données projet'!$B$15,Paramètres!$A$1:$I$89,3,0)*0.475*44/12</f>
        <v>2.512443703797352E-21</v>
      </c>
      <c r="EY179" s="22">
        <f t="shared" si="181"/>
        <v>0.22431745156535082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6.8212102632969618E-13</v>
      </c>
      <c r="FF179" s="17">
        <f>FE179*VLOOKUP('Données projet'!$B$16,Paramètres!$A$1:$I$89,3,0)*VLOOKUP('Données projet'!$B$16,Paramètres!$A$1:$I$89,5,0)</f>
        <v>3.2810021366458383E-13</v>
      </c>
      <c r="FG179" s="13">
        <f t="shared" si="182"/>
        <v>4.2923528923937213E-12</v>
      </c>
      <c r="FH179" s="20">
        <f t="shared" si="183"/>
        <v>8.0472891597182151E-12</v>
      </c>
      <c r="FI179" s="59">
        <f t="shared" si="131"/>
        <v>293.33333333334139</v>
      </c>
      <c r="FJ179" s="59">
        <f ca="1">AVERAGE(OFFSET($FI$3,0,0,'Données projet'!$E$16+1,1))-AVERAGE(OFFSET($H$3,0,0,'Données projet'!$E$16+1,1))</f>
        <v>322.54393676667081</v>
      </c>
      <c r="FK179" s="59">
        <f t="shared" si="156"/>
        <v>296.73904998640018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0.37394887088771295</v>
      </c>
      <c r="FR179" s="21">
        <f>EXP(-LN(2)/25)*FR178+(1-EXP(-LN(2)/25))/(LN(2)/25)*Calculateur!FM179*Calculateur!FO179*VLOOKUP('Données projet'!$B$16,Paramètres!$A$1:$I$89,3,0)*0.475*44/12</f>
        <v>0.23433589283697667</v>
      </c>
      <c r="FS179" s="21">
        <f>EXP(-LN(2)/2)*FS178+(1-EXP(-LN(2)/2))/(LN(2)/2)*FM179*FP179*VLOOKUP('Données projet'!$B$16,Paramètres!$A$1:$I$89,3,0)*0.475*44/12</f>
        <v>2.2142270728133687E-21</v>
      </c>
      <c r="FT179" s="22">
        <f t="shared" si="184"/>
        <v>0.60828476372468965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293.33333333333974</v>
      </c>
      <c r="S180" s="59">
        <f ca="1">AVERAGE(OFFSET($R$3,0,0,'Données projet'!$E$9+1,1))-AVERAGE(OFFSET($H$3,0,0,'Données projet'!$E$9+1,1))</f>
        <v>401.06118089678654</v>
      </c>
      <c r="T180" s="59">
        <f t="shared" si="142"/>
        <v>399.58193819355591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6.2527760746888816E-13</v>
      </c>
      <c r="AJ180" s="13">
        <f>AI180*VLOOKUP('Données projet'!$B$10,Paramètres!$A$1:$I$89,3,0)*VLOOKUP('Données projet'!$B$10,Paramètres!$A$1:$I$89,5,0)</f>
        <v>3.9017322706058616E-13</v>
      </c>
      <c r="AK180" s="13">
        <f t="shared" si="164"/>
        <v>5.0025007393608908E-12</v>
      </c>
      <c r="AL180" s="20">
        <f t="shared" si="165"/>
        <v>9.3922404915174053E-12</v>
      </c>
      <c r="AM180" s="59">
        <f t="shared" si="113"/>
        <v>293.33333333334269</v>
      </c>
      <c r="AN180" s="59">
        <f ca="1">AVERAGE(OFFSET($AM$3,0,0,'Données projet'!$E$10+1,1))-AVERAGE(OFFSET($H$3,0,0,'Données projet'!$E$10+1,1))</f>
        <v>240.30073883588199</v>
      </c>
      <c r="AO180" s="59">
        <f t="shared" si="144"/>
        <v>263.20351282678843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0.3783260537559599</v>
      </c>
      <c r="AV180" s="21">
        <f>EXP(-LN(2)/25)*AV179+(1-EXP(-LN(2)/25))/(LN(2)/25)*Calculateur!AQ180*Calculateur!AS180*VLOOKUP('Données projet'!$B$10,Paramètres!$A$1:$I$89,3,0)*0.475*44/12</f>
        <v>0.35298351312712539</v>
      </c>
      <c r="AW180" s="21">
        <f>EXP(-LN(2)/2)*AW179+(1-EXP(-LN(2)/2))/(LN(2)/2)*AQ180*AT180*VLOOKUP('Données projet'!$B$10,Paramètres!$A$1:$I$89,3,0)*0.475*44/12</f>
        <v>1.5116427973298327E-21</v>
      </c>
      <c r="AX180" s="21">
        <f t="shared" si="166"/>
        <v>0.73130956688308535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-1.0936673788819462E-13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364.67510777943329</v>
      </c>
      <c r="BJ180" s="59">
        <f t="shared" si="146"/>
        <v>352.13878061387169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0.48118344962086179</v>
      </c>
      <c r="BQ180" s="21">
        <f>EXP(-LN(2)/25)*BQ179+(1-EXP(-LN(2)/25))/(LN(2)/25)*Calculateur!BL180*Calculateur!BN180*VLOOKUP('Données projet'!$B$11,Paramètres!$A$1:$I$89,3,0)*0.475*44/12</f>
        <v>0.30590299758866379</v>
      </c>
      <c r="BR180" s="21">
        <f>EXP(-LN(2)/2)*BR179+(1-EXP(-LN(2)/2))/(LN(2)/2)*BL180*BO180*VLOOKUP('Données projet'!$B$11,Paramètres!$A$1:$I$89,3,0)*0.475*44/12</f>
        <v>2.0568859077363162E-21</v>
      </c>
      <c r="BS180" s="22">
        <f t="shared" si="169"/>
        <v>0.78708644720952559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-5.3205440053716299E-14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252.98248842635206</v>
      </c>
      <c r="CE180" s="59">
        <f t="shared" si="148"/>
        <v>207.11938580878308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0.1705507361976645</v>
      </c>
      <c r="CL180" s="21">
        <f>EXP(-LN(2)/25)*CL179+(1-EXP(-LN(2)/25))/(LN(2)/25)*Calculateur!CG180*Calculateur!CI180*VLOOKUP('Données projet'!$B$12,Paramètres!$A$1:$I$89,3,0)*0.475*44/12</f>
        <v>0.13338760898148719</v>
      </c>
      <c r="CM180" s="21">
        <f>EXP(-LN(2)/2)*CM179+(1-EXP(-LN(2)/2))/(LN(2)/2)*CG180*CJ180*VLOOKUP('Données projet'!$B$12,Paramètres!$A$1:$I$89,3,0)*0.475*44/12</f>
        <v>7.3611384125522231E-22</v>
      </c>
      <c r="CN180" s="22">
        <f t="shared" si="172"/>
        <v>0.30393834517915169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-5.6843418860808015E-13</v>
      </c>
      <c r="CU180" s="17">
        <f>CT180*VLOOKUP('Données projet'!$B$13,Paramètres!$A$1:$I$89,3,0)*VLOOKUP('Données projet'!$B$13,Paramètres!$A$1:$I$89,5,0)</f>
        <v>-3.177547114319168E-13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356.67698551373468</v>
      </c>
      <c r="CZ180" s="59">
        <f t="shared" si="150"/>
        <v>353.21836615408171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0.24853919920356812</v>
      </c>
      <c r="DG180" s="21">
        <f>EXP(-LN(2)/25)*DG179+(1-EXP(-LN(2)/25))/(LN(2)/25)*Calculateur!DB180*Calculateur!DD180*VLOOKUP('Données projet'!$B$13,Paramètres!$A$1:$I$89,3,0)*0.475*44/12</f>
        <v>0.51234366857207847</v>
      </c>
      <c r="DH180" s="21">
        <f>EXP(-LN(2)/2)*DH179+(1-EXP(-LN(2)/2))/(LN(2)/2)*DB180*DE180*VLOOKUP('Données projet'!$B$13,Paramètres!$A$1:$I$89,3,0)*0.475*44/12</f>
        <v>2.4348585935148085E-21</v>
      </c>
      <c r="DI180" s="22">
        <f t="shared" si="175"/>
        <v>0.76088286777564662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-2.7193891583010558E-13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247.30892363953825</v>
      </c>
      <c r="DU180" s="59">
        <f t="shared" si="152"/>
        <v>248.38414731596578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0.2181834790559542</v>
      </c>
      <c r="EC180" s="21">
        <f>EXP(-LN(2)/2)*EC179+(1-EXP(-LN(2)/2))/(LN(2)/2)*DW180*DZ180*VLOOKUP('Données projet'!$B$14,Paramètres!$A$1:$I$89,3,0)*0.475*44/12</f>
        <v>1.7765659803045531E-21</v>
      </c>
      <c r="ED180" s="22">
        <f t="shared" si="178"/>
        <v>0.2181834790559542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-4.5474735088646412E-13</v>
      </c>
      <c r="EK180" s="17">
        <f>EJ180*VLOOKUP('Données projet'!$B$15,Paramètres!$A$1:$I$89,3,0)*VLOOKUP('Données projet'!$B$15,Paramètres!$A$1:$I$89,5,0)</f>
        <v>-2.7193891583010558E-13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247.30892363953825</v>
      </c>
      <c r="EP180" s="59">
        <f t="shared" si="154"/>
        <v>248.38414731596578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0.2181834790559542</v>
      </c>
      <c r="EX180" s="21">
        <f>EXP(-LN(2)/2)*EX179+(1-EXP(-LN(2)/2))/(LN(2)/2)*ER180*EU180*VLOOKUP('Données projet'!$B$15,Paramètres!$A$1:$I$89,3,0)*0.475*44/12</f>
        <v>1.7765659803045531E-21</v>
      </c>
      <c r="EY180" s="22">
        <f t="shared" si="181"/>
        <v>0.2181834790559542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6.8212102632969618E-13</v>
      </c>
      <c r="FF180" s="17">
        <f>FE180*VLOOKUP('Données projet'!$B$16,Paramètres!$A$1:$I$89,3,0)*VLOOKUP('Données projet'!$B$16,Paramètres!$A$1:$I$89,5,0)</f>
        <v>3.2810021366458383E-13</v>
      </c>
      <c r="FG180" s="13">
        <f t="shared" si="182"/>
        <v>4.2923528923937213E-12</v>
      </c>
      <c r="FH180" s="20">
        <f t="shared" si="183"/>
        <v>8.0472891597182151E-12</v>
      </c>
      <c r="FI180" s="59">
        <f t="shared" si="131"/>
        <v>293.33333333334139</v>
      </c>
      <c r="FJ180" s="59">
        <f ca="1">AVERAGE(OFFSET($FI$3,0,0,'Données projet'!$E$16+1,1))-AVERAGE(OFFSET($H$3,0,0,'Données projet'!$E$16+1,1))</f>
        <v>322.54393676667081</v>
      </c>
      <c r="FK180" s="59">
        <f t="shared" si="156"/>
        <v>296.73904998640018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0.36661596161589449</v>
      </c>
      <c r="FR180" s="21">
        <f>EXP(-LN(2)/25)*FR179+(1-EXP(-LN(2)/25))/(LN(2)/25)*Calculateur!FM180*Calculateur!FO180*VLOOKUP('Données projet'!$B$16,Paramètres!$A$1:$I$89,3,0)*0.475*44/12</f>
        <v>0.22792796552416053</v>
      </c>
      <c r="FS180" s="21">
        <f>EXP(-LN(2)/2)*FS179+(1-EXP(-LN(2)/2))/(LN(2)/2)*FM180*FP180*VLOOKUP('Données projet'!$B$16,Paramètres!$A$1:$I$89,3,0)*0.475*44/12</f>
        <v>1.5656949782731723E-21</v>
      </c>
      <c r="FT180" s="22">
        <f t="shared" si="184"/>
        <v>0.594543927140055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293.33333333333974</v>
      </c>
      <c r="S181" s="59">
        <f ca="1">AVERAGE(OFFSET($R$3,0,0,'Données projet'!$E$9+1,1))-AVERAGE(OFFSET($H$3,0,0,'Données projet'!$E$9+1,1))</f>
        <v>401.06118089678654</v>
      </c>
      <c r="T181" s="59">
        <f t="shared" si="142"/>
        <v>399.58193819355591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6.2527760746888816E-13</v>
      </c>
      <c r="AJ181" s="13">
        <f>AI181*VLOOKUP('Données projet'!$B$10,Paramètres!$A$1:$I$89,3,0)*VLOOKUP('Données projet'!$B$10,Paramètres!$A$1:$I$89,5,0)</f>
        <v>3.9017322706058616E-13</v>
      </c>
      <c r="AK181" s="13">
        <f t="shared" si="164"/>
        <v>5.0025007393608908E-12</v>
      </c>
      <c r="AL181" s="20">
        <f t="shared" si="165"/>
        <v>9.3922404915174053E-12</v>
      </c>
      <c r="AM181" s="59">
        <f t="shared" si="113"/>
        <v>293.33333333334269</v>
      </c>
      <c r="AN181" s="59">
        <f ca="1">AVERAGE(OFFSET($AM$3,0,0,'Données projet'!$E$10+1,1))-AVERAGE(OFFSET($H$3,0,0,'Données projet'!$E$10+1,1))</f>
        <v>240.30073883588199</v>
      </c>
      <c r="AO181" s="59">
        <f t="shared" si="144"/>
        <v>263.20351282678843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0.37090731059791304</v>
      </c>
      <c r="AV181" s="21">
        <f>EXP(-LN(2)/25)*AV180+(1-EXP(-LN(2)/25))/(LN(2)/25)*Calculateur!AQ181*Calculateur!AS181*VLOOKUP('Données projet'!$B$10,Paramètres!$A$1:$I$89,3,0)*0.475*44/12</f>
        <v>0.34333116039806794</v>
      </c>
      <c r="AW181" s="21">
        <f>EXP(-LN(2)/2)*AW180+(1-EXP(-LN(2)/2))/(LN(2)/2)*AQ181*AT181*VLOOKUP('Données projet'!$B$10,Paramètres!$A$1:$I$89,3,0)*0.475*44/12</f>
        <v>1.0688928727237266E-21</v>
      </c>
      <c r="AX181" s="21">
        <f t="shared" si="166"/>
        <v>0.71423847099598103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-1.0936673788819462E-13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364.67510777943329</v>
      </c>
      <c r="BJ181" s="59">
        <f t="shared" si="146"/>
        <v>352.13878061387169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0.47174773566672096</v>
      </c>
      <c r="BQ181" s="21">
        <f>EXP(-LN(2)/25)*BQ180+(1-EXP(-LN(2)/25))/(LN(2)/25)*Calculateur!BL181*Calculateur!BN181*VLOOKUP('Données projet'!$B$11,Paramètres!$A$1:$I$89,3,0)*0.475*44/12</f>
        <v>0.29753806403286231</v>
      </c>
      <c r="BR181" s="21">
        <f>EXP(-LN(2)/2)*BR180+(1-EXP(-LN(2)/2))/(LN(2)/2)*BL181*BO181*VLOOKUP('Données projet'!$B$11,Paramètres!$A$1:$I$89,3,0)*0.475*44/12</f>
        <v>1.4544379734873966E-21</v>
      </c>
      <c r="BS181" s="22">
        <f t="shared" si="169"/>
        <v>0.76928579969958322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-5.3205440053716299E-14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252.98248842635206</v>
      </c>
      <c r="CE181" s="59">
        <f t="shared" si="148"/>
        <v>207.11938580878308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0.16720634028650569</v>
      </c>
      <c r="CL181" s="21">
        <f>EXP(-LN(2)/25)*CL180+(1-EXP(-LN(2)/25))/(LN(2)/25)*Calculateur!CG181*Calculateur!CI181*VLOOKUP('Données projet'!$B$12,Paramètres!$A$1:$I$89,3,0)*0.475*44/12</f>
        <v>0.12974011779933892</v>
      </c>
      <c r="CM181" s="21">
        <f>EXP(-LN(2)/2)*CM180+(1-EXP(-LN(2)/2))/(LN(2)/2)*CG181*CJ181*VLOOKUP('Données projet'!$B$12,Paramètres!$A$1:$I$89,3,0)*0.475*44/12</f>
        <v>5.2051108887684545E-22</v>
      </c>
      <c r="CN181" s="22">
        <f t="shared" si="172"/>
        <v>0.29694645808584463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-5.6843418860808015E-13</v>
      </c>
      <c r="CU181" s="17">
        <f>CT181*VLOOKUP('Données projet'!$B$13,Paramètres!$A$1:$I$89,3,0)*VLOOKUP('Données projet'!$B$13,Paramètres!$A$1:$I$89,5,0)</f>
        <v>-3.177547114319168E-13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356.67698551373468</v>
      </c>
      <c r="CZ181" s="59">
        <f t="shared" si="150"/>
        <v>353.21836615408171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0.243665497101129</v>
      </c>
      <c r="DG181" s="21">
        <f>EXP(-LN(2)/25)*DG180+(1-EXP(-LN(2)/25))/(LN(2)/25)*Calculateur!DB181*Calculateur!DD181*VLOOKUP('Données projet'!$B$13,Paramètres!$A$1:$I$89,3,0)*0.475*44/12</f>
        <v>0.49833360401199245</v>
      </c>
      <c r="DH181" s="21">
        <f>EXP(-LN(2)/2)*DH180+(1-EXP(-LN(2)/2))/(LN(2)/2)*DB181*DE181*VLOOKUP('Données projet'!$B$13,Paramètres!$A$1:$I$89,3,0)*0.475*44/12</f>
        <v>1.7217050227046605E-21</v>
      </c>
      <c r="DI181" s="22">
        <f t="shared" si="175"/>
        <v>0.74199910111312151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-2.7193891583010558E-13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247.30892363953825</v>
      </c>
      <c r="DU181" s="59">
        <f t="shared" si="152"/>
        <v>248.38414731596578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0.21221724034739864</v>
      </c>
      <c r="EC181" s="21">
        <f>EXP(-LN(2)/2)*EC180+(1-EXP(-LN(2)/2))/(LN(2)/2)*DW181*DZ181*VLOOKUP('Données projet'!$B$14,Paramètres!$A$1:$I$89,3,0)*0.475*44/12</f>
        <v>1.256221851898676E-21</v>
      </c>
      <c r="ED181" s="22">
        <f t="shared" si="178"/>
        <v>0.21221724034739864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-4.5474735088646412E-13</v>
      </c>
      <c r="EK181" s="17">
        <f>EJ181*VLOOKUP('Données projet'!$B$15,Paramètres!$A$1:$I$89,3,0)*VLOOKUP('Données projet'!$B$15,Paramètres!$A$1:$I$89,5,0)</f>
        <v>-2.7193891583010558E-13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247.30892363953825</v>
      </c>
      <c r="EP181" s="59">
        <f t="shared" si="154"/>
        <v>248.38414731596578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0.21221724034739864</v>
      </c>
      <c r="EX181" s="21">
        <f>EXP(-LN(2)/2)*EX180+(1-EXP(-LN(2)/2))/(LN(2)/2)*ER181*EU181*VLOOKUP('Données projet'!$B$15,Paramètres!$A$1:$I$89,3,0)*0.475*44/12</f>
        <v>1.256221851898676E-21</v>
      </c>
      <c r="EY181" s="22">
        <f t="shared" si="181"/>
        <v>0.21221724034739864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6.8212102632969618E-13</v>
      </c>
      <c r="FF181" s="17">
        <f>FE181*VLOOKUP('Données projet'!$B$16,Paramètres!$A$1:$I$89,3,0)*VLOOKUP('Données projet'!$B$16,Paramètres!$A$1:$I$89,5,0)</f>
        <v>3.2810021366458383E-13</v>
      </c>
      <c r="FG181" s="13">
        <f t="shared" si="182"/>
        <v>4.2923528923937213E-12</v>
      </c>
      <c r="FH181" s="20">
        <f t="shared" si="183"/>
        <v>8.0472891597182151E-12</v>
      </c>
      <c r="FI181" s="59">
        <f t="shared" si="131"/>
        <v>293.33333333334139</v>
      </c>
      <c r="FJ181" s="59">
        <f ca="1">AVERAGE(OFFSET($FI$3,0,0,'Données projet'!$E$16+1,1))-AVERAGE(OFFSET($H$3,0,0,'Données projet'!$E$16+1,1))</f>
        <v>322.54393676667081</v>
      </c>
      <c r="FK181" s="59">
        <f t="shared" si="156"/>
        <v>296.73904998640018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0.3594268462222634</v>
      </c>
      <c r="FR181" s="21">
        <f>EXP(-LN(2)/25)*FR180+(1-EXP(-LN(2)/25))/(LN(2)/25)*Calculateur!FM181*Calculateur!FO181*VLOOKUP('Données projet'!$B$16,Paramètres!$A$1:$I$89,3,0)*0.475*44/12</f>
        <v>0.22169526332069159</v>
      </c>
      <c r="FS181" s="21">
        <f>EXP(-LN(2)/2)*FS180+(1-EXP(-LN(2)/2))/(LN(2)/2)*FM181*FP181*VLOOKUP('Données projet'!$B$16,Paramètres!$A$1:$I$89,3,0)*0.475*44/12</f>
        <v>1.1071135364066843E-21</v>
      </c>
      <c r="FT181" s="22">
        <f t="shared" si="184"/>
        <v>0.58112210954295496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293.33333333333974</v>
      </c>
      <c r="S182" s="59">
        <f ca="1">AVERAGE(OFFSET($R$3,0,0,'Données projet'!$E$9+1,1))-AVERAGE(OFFSET($H$3,0,0,'Données projet'!$E$9+1,1))</f>
        <v>401.06118089678654</v>
      </c>
      <c r="T182" s="59">
        <f t="shared" si="142"/>
        <v>399.58193819355591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6.2527760746888816E-13</v>
      </c>
      <c r="AJ182" s="13">
        <f>AI182*VLOOKUP('Données projet'!$B$10,Paramètres!$A$1:$I$89,3,0)*VLOOKUP('Données projet'!$B$10,Paramètres!$A$1:$I$89,5,0)</f>
        <v>3.9017322706058616E-13</v>
      </c>
      <c r="AK182" s="13">
        <f t="shared" si="164"/>
        <v>5.0025007393608908E-12</v>
      </c>
      <c r="AL182" s="20">
        <f t="shared" si="165"/>
        <v>9.3922404915174053E-12</v>
      </c>
      <c r="AM182" s="59">
        <f t="shared" si="113"/>
        <v>293.33333333334269</v>
      </c>
      <c r="AN182" s="59">
        <f ca="1">AVERAGE(OFFSET($AM$3,0,0,'Données projet'!$E$10+1,1))-AVERAGE(OFFSET($H$3,0,0,'Données projet'!$E$10+1,1))</f>
        <v>240.30073883588199</v>
      </c>
      <c r="AO182" s="59">
        <f t="shared" si="144"/>
        <v>263.20351282678843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0.36363404446820896</v>
      </c>
      <c r="AV182" s="21">
        <f>EXP(-LN(2)/25)*AV181+(1-EXP(-LN(2)/25))/(LN(2)/25)*Calculateur!AQ182*Calculateur!AS182*VLOOKUP('Données projet'!$B$10,Paramètres!$A$1:$I$89,3,0)*0.475*44/12</f>
        <v>0.33394275176198174</v>
      </c>
      <c r="AW182" s="21">
        <f>EXP(-LN(2)/2)*AW181+(1-EXP(-LN(2)/2))/(LN(2)/2)*AQ182*AT182*VLOOKUP('Données projet'!$B$10,Paramètres!$A$1:$I$89,3,0)*0.475*44/12</f>
        <v>7.5582139866491633E-22</v>
      </c>
      <c r="AX182" s="21">
        <f t="shared" si="166"/>
        <v>0.69757679623019064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-1.0936673788819462E-13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364.67510777943329</v>
      </c>
      <c r="BJ182" s="59">
        <f t="shared" si="146"/>
        <v>352.13878061387169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0.46249705030800359</v>
      </c>
      <c r="BQ182" s="21">
        <f>EXP(-LN(2)/25)*BQ181+(1-EXP(-LN(2)/25))/(LN(2)/25)*Calculateur!BL182*Calculateur!BN182*VLOOKUP('Données projet'!$B$11,Paramètres!$A$1:$I$89,3,0)*0.475*44/12</f>
        <v>0.28940187002503692</v>
      </c>
      <c r="BR182" s="21">
        <f>EXP(-LN(2)/2)*BR181+(1-EXP(-LN(2)/2))/(LN(2)/2)*BL182*BO182*VLOOKUP('Données projet'!$B$11,Paramètres!$A$1:$I$89,3,0)*0.475*44/12</f>
        <v>1.0284429538681581E-21</v>
      </c>
      <c r="BS182" s="22">
        <f t="shared" si="169"/>
        <v>0.75189892033304051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-5.3205440053716299E-14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252.98248842635206</v>
      </c>
      <c r="CE182" s="59">
        <f t="shared" si="148"/>
        <v>207.11938580878308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0.16392752593928461</v>
      </c>
      <c r="CL182" s="21">
        <f>EXP(-LN(2)/25)*CL181+(1-EXP(-LN(2)/25))/(LN(2)/25)*Calculateur!CG182*Calculateur!CI182*VLOOKUP('Données projet'!$B$12,Paramètres!$A$1:$I$89,3,0)*0.475*44/12</f>
        <v>0.12619236745537973</v>
      </c>
      <c r="CM182" s="21">
        <f>EXP(-LN(2)/2)*CM181+(1-EXP(-LN(2)/2))/(LN(2)/2)*CG182*CJ182*VLOOKUP('Données projet'!$B$12,Paramètres!$A$1:$I$89,3,0)*0.475*44/12</f>
        <v>3.6805692062761116E-22</v>
      </c>
      <c r="CN182" s="22">
        <f t="shared" si="172"/>
        <v>0.29011989339466437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-5.6843418860808015E-13</v>
      </c>
      <c r="CU182" s="17">
        <f>CT182*VLOOKUP('Données projet'!$B$13,Paramètres!$A$1:$I$89,3,0)*VLOOKUP('Données projet'!$B$13,Paramètres!$A$1:$I$89,5,0)</f>
        <v>-3.177547114319168E-13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356.67698551373468</v>
      </c>
      <c r="CZ182" s="59">
        <f t="shared" si="150"/>
        <v>353.21836615408171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0.23888736532425398</v>
      </c>
      <c r="DG182" s="21">
        <f>EXP(-LN(2)/25)*DG181+(1-EXP(-LN(2)/25))/(LN(2)/25)*Calculateur!DB182*Calculateur!DD182*VLOOKUP('Données projet'!$B$13,Paramètres!$A$1:$I$89,3,0)*0.475*44/12</f>
        <v>0.48470664540405922</v>
      </c>
      <c r="DH182" s="21">
        <f>EXP(-LN(2)/2)*DH181+(1-EXP(-LN(2)/2))/(LN(2)/2)*DB182*DE182*VLOOKUP('Données projet'!$B$13,Paramètres!$A$1:$I$89,3,0)*0.475*44/12</f>
        <v>1.2174292967574042E-21</v>
      </c>
      <c r="DI182" s="22">
        <f t="shared" si="175"/>
        <v>0.7235940107283132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-2.7193891583010558E-13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247.30892363953825</v>
      </c>
      <c r="DU182" s="59">
        <f t="shared" si="152"/>
        <v>248.38414731596578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0.20641414875007938</v>
      </c>
      <c r="EC182" s="21">
        <f>EXP(-LN(2)/2)*EC181+(1-EXP(-LN(2)/2))/(LN(2)/2)*DW182*DZ182*VLOOKUP('Données projet'!$B$14,Paramètres!$A$1:$I$89,3,0)*0.475*44/12</f>
        <v>8.8828299015227657E-22</v>
      </c>
      <c r="ED182" s="22">
        <f t="shared" si="178"/>
        <v>0.20641414875007938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-4.5474735088646412E-13</v>
      </c>
      <c r="EK182" s="17">
        <f>EJ182*VLOOKUP('Données projet'!$B$15,Paramètres!$A$1:$I$89,3,0)*VLOOKUP('Données projet'!$B$15,Paramètres!$A$1:$I$89,5,0)</f>
        <v>-2.7193891583010558E-13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247.30892363953825</v>
      </c>
      <c r="EP182" s="59">
        <f t="shared" si="154"/>
        <v>248.38414731596578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0.20641414875007938</v>
      </c>
      <c r="EX182" s="21">
        <f>EXP(-LN(2)/2)*EX181+(1-EXP(-LN(2)/2))/(LN(2)/2)*ER182*EU182*VLOOKUP('Données projet'!$B$15,Paramètres!$A$1:$I$89,3,0)*0.475*44/12</f>
        <v>8.8828299015227657E-22</v>
      </c>
      <c r="EY182" s="22">
        <f t="shared" si="181"/>
        <v>0.20641414875007938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6.8212102632969618E-13</v>
      </c>
      <c r="FF182" s="17">
        <f>FE182*VLOOKUP('Données projet'!$B$16,Paramètres!$A$1:$I$89,3,0)*VLOOKUP('Données projet'!$B$16,Paramètres!$A$1:$I$89,5,0)</f>
        <v>3.2810021366458383E-13</v>
      </c>
      <c r="FG182" s="13">
        <f t="shared" si="182"/>
        <v>4.2923528923937213E-12</v>
      </c>
      <c r="FH182" s="20">
        <f t="shared" si="183"/>
        <v>8.0472891597182151E-12</v>
      </c>
      <c r="FI182" s="59">
        <f t="shared" si="131"/>
        <v>293.33333333334139</v>
      </c>
      <c r="FJ182" s="59">
        <f ca="1">AVERAGE(OFFSET($FI$3,0,0,'Données projet'!$E$16+1,1))-AVERAGE(OFFSET($H$3,0,0,'Données projet'!$E$16+1,1))</f>
        <v>322.54393676667081</v>
      </c>
      <c r="FK182" s="59">
        <f t="shared" si="156"/>
        <v>296.73904998640018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0.35237870499657398</v>
      </c>
      <c r="FR182" s="21">
        <f>EXP(-LN(2)/25)*FR181+(1-EXP(-LN(2)/25))/(LN(2)/25)*Calculateur!FM182*Calculateur!FO182*VLOOKUP('Données projet'!$B$16,Paramètres!$A$1:$I$89,3,0)*0.475*44/12</f>
        <v>0.21563299468674008</v>
      </c>
      <c r="FS182" s="21">
        <f>EXP(-LN(2)/2)*FS181+(1-EXP(-LN(2)/2))/(LN(2)/2)*FM182*FP182*VLOOKUP('Données projet'!$B$16,Paramètres!$A$1:$I$89,3,0)*0.475*44/12</f>
        <v>7.8284748913658616E-22</v>
      </c>
      <c r="FT182" s="22">
        <f t="shared" si="184"/>
        <v>0.568011699683314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293.33333333333974</v>
      </c>
      <c r="S183" s="59">
        <f ca="1">AVERAGE(OFFSET($R$3,0,0,'Données projet'!$E$9+1,1))-AVERAGE(OFFSET($H$3,0,0,'Données projet'!$E$9+1,1))</f>
        <v>401.06118089678654</v>
      </c>
      <c r="T183" s="59">
        <f t="shared" si="142"/>
        <v>399.58193819355591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6.2527760746888816E-13</v>
      </c>
      <c r="AJ183" s="13">
        <f>AI183*VLOOKUP('Données projet'!$B$10,Paramètres!$A$1:$I$89,3,0)*VLOOKUP('Données projet'!$B$10,Paramètres!$A$1:$I$89,5,0)</f>
        <v>3.9017322706058616E-13</v>
      </c>
      <c r="AK183" s="13">
        <f t="shared" si="164"/>
        <v>5.0025007393608908E-12</v>
      </c>
      <c r="AL183" s="20">
        <f t="shared" si="165"/>
        <v>9.3922404915174053E-12</v>
      </c>
      <c r="AM183" s="59">
        <f t="shared" si="113"/>
        <v>293.33333333334269</v>
      </c>
      <c r="AN183" s="59">
        <f ca="1">AVERAGE(OFFSET($AM$3,0,0,'Données projet'!$E$10+1,1))-AVERAGE(OFFSET($H$3,0,0,'Données projet'!$E$10+1,1))</f>
        <v>240.30073883588199</v>
      </c>
      <c r="AO183" s="59">
        <f t="shared" si="144"/>
        <v>263.20351282678843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0.35650340265105407</v>
      </c>
      <c r="AV183" s="21">
        <f>EXP(-LN(2)/25)*AV182+(1-EXP(-LN(2)/25))/(LN(2)/25)*Calculateur!AQ183*Calculateur!AS183*VLOOKUP('Données projet'!$B$10,Paramètres!$A$1:$I$89,3,0)*0.475*44/12</f>
        <v>0.32481106965376427</v>
      </c>
      <c r="AW183" s="21">
        <f>EXP(-LN(2)/2)*AW182+(1-EXP(-LN(2)/2))/(LN(2)/2)*AQ183*AT183*VLOOKUP('Données projet'!$B$10,Paramètres!$A$1:$I$89,3,0)*0.475*44/12</f>
        <v>5.3444643636186329E-22</v>
      </c>
      <c r="AX183" s="21">
        <f t="shared" si="166"/>
        <v>0.68131447230481834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-1.0936673788819462E-13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364.67510777943329</v>
      </c>
      <c r="BJ183" s="59">
        <f t="shared" si="146"/>
        <v>352.13878061387169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0.45342776524680972</v>
      </c>
      <c r="BQ183" s="21">
        <f>EXP(-LN(2)/25)*BQ182+(1-EXP(-LN(2)/25))/(LN(2)/25)*Calculateur!BL183*Calculateur!BN183*VLOOKUP('Données projet'!$B$11,Paramètres!$A$1:$I$89,3,0)*0.475*44/12</f>
        <v>0.28148816067021937</v>
      </c>
      <c r="BR183" s="21">
        <f>EXP(-LN(2)/2)*BR182+(1-EXP(-LN(2)/2))/(LN(2)/2)*BL183*BO183*VLOOKUP('Données projet'!$B$11,Paramètres!$A$1:$I$89,3,0)*0.475*44/12</f>
        <v>7.2721898674369828E-22</v>
      </c>
      <c r="BS183" s="22">
        <f t="shared" si="169"/>
        <v>0.73491592591702903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-5.3205440053716299E-14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252.98248842635206</v>
      </c>
      <c r="CE183" s="59">
        <f t="shared" si="148"/>
        <v>207.11938580878308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0.16071300714153328</v>
      </c>
      <c r="CL183" s="21">
        <f>EXP(-LN(2)/25)*CL182+(1-EXP(-LN(2)/25))/(LN(2)/25)*Calculateur!CG183*Calculateur!CI183*VLOOKUP('Données projet'!$B$12,Paramètres!$A$1:$I$89,3,0)*0.475*44/12</f>
        <v>0.12274163053114419</v>
      </c>
      <c r="CM183" s="21">
        <f>EXP(-LN(2)/2)*CM182+(1-EXP(-LN(2)/2))/(LN(2)/2)*CG183*CJ183*VLOOKUP('Données projet'!$B$12,Paramètres!$A$1:$I$89,3,0)*0.475*44/12</f>
        <v>2.6025554443842273E-22</v>
      </c>
      <c r="CN183" s="22">
        <f t="shared" si="172"/>
        <v>0.28345463767267748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-5.6843418860808015E-13</v>
      </c>
      <c r="CU183" s="17">
        <f>CT183*VLOOKUP('Données projet'!$B$13,Paramètres!$A$1:$I$89,3,0)*VLOOKUP('Données projet'!$B$13,Paramètres!$A$1:$I$89,5,0)</f>
        <v>-3.177547114319168E-13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356.67698551373468</v>
      </c>
      <c r="CZ183" s="59">
        <f t="shared" si="150"/>
        <v>353.21836615408171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0.23420292979715085</v>
      </c>
      <c r="DG183" s="21">
        <f>EXP(-LN(2)/25)*DG182+(1-EXP(-LN(2)/25))/(LN(2)/25)*Calculateur!DB183*Calculateur!DD183*VLOOKUP('Données projet'!$B$13,Paramètres!$A$1:$I$89,3,0)*0.475*44/12</f>
        <v>0.47145231669587057</v>
      </c>
      <c r="DH183" s="21">
        <f>EXP(-LN(2)/2)*DH182+(1-EXP(-LN(2)/2))/(LN(2)/2)*DB183*DE183*VLOOKUP('Données projet'!$B$13,Paramètres!$A$1:$I$89,3,0)*0.475*44/12</f>
        <v>8.6085251135233027E-22</v>
      </c>
      <c r="DI183" s="22">
        <f t="shared" si="175"/>
        <v>0.70565524649302147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-2.7193891583010558E-13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247.30892363953825</v>
      </c>
      <c r="DU183" s="59">
        <f t="shared" si="152"/>
        <v>248.38414731596578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0.20076974299766015</v>
      </c>
      <c r="EC183" s="21">
        <f>EXP(-LN(2)/2)*EC182+(1-EXP(-LN(2)/2))/(LN(2)/2)*DW183*DZ183*VLOOKUP('Données projet'!$B$14,Paramètres!$A$1:$I$89,3,0)*0.475*44/12</f>
        <v>6.2811092594933799E-22</v>
      </c>
      <c r="ED183" s="22">
        <f t="shared" si="178"/>
        <v>0.20076974299766015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-4.5474735088646412E-13</v>
      </c>
      <c r="EK183" s="17">
        <f>EJ183*VLOOKUP('Données projet'!$B$15,Paramètres!$A$1:$I$89,3,0)*VLOOKUP('Données projet'!$B$15,Paramètres!$A$1:$I$89,5,0)</f>
        <v>-2.7193891583010558E-13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247.30892363953825</v>
      </c>
      <c r="EP183" s="59">
        <f t="shared" si="154"/>
        <v>248.38414731596578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0.20076974299766015</v>
      </c>
      <c r="EX183" s="21">
        <f>EXP(-LN(2)/2)*EX182+(1-EXP(-LN(2)/2))/(LN(2)/2)*ER183*EU183*VLOOKUP('Données projet'!$B$15,Paramètres!$A$1:$I$89,3,0)*0.475*44/12</f>
        <v>6.2811092594933799E-22</v>
      </c>
      <c r="EY183" s="22">
        <f t="shared" si="181"/>
        <v>0.20076974299766015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6.8212102632969618E-13</v>
      </c>
      <c r="FF183" s="17">
        <f>FE183*VLOOKUP('Données projet'!$B$16,Paramètres!$A$1:$I$89,3,0)*VLOOKUP('Données projet'!$B$16,Paramètres!$A$1:$I$89,5,0)</f>
        <v>3.2810021366458383E-13</v>
      </c>
      <c r="FG183" s="13">
        <f t="shared" si="182"/>
        <v>4.2923528923937213E-12</v>
      </c>
      <c r="FH183" s="20">
        <f t="shared" si="183"/>
        <v>8.0472891597182151E-12</v>
      </c>
      <c r="FI183" s="59">
        <f t="shared" si="131"/>
        <v>293.33333333334139</v>
      </c>
      <c r="FJ183" s="59">
        <f ca="1">AVERAGE(OFFSET($FI$3,0,0,'Données projet'!$E$16+1,1))-AVERAGE(OFFSET($H$3,0,0,'Données projet'!$E$16+1,1))</f>
        <v>322.54393676667081</v>
      </c>
      <c r="FK183" s="59">
        <f t="shared" si="156"/>
        <v>296.73904998640018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0.34546877352137867</v>
      </c>
      <c r="FR183" s="21">
        <f>EXP(-LN(2)/25)*FR182+(1-EXP(-LN(2)/25))/(LN(2)/25)*Calculateur!FM183*Calculateur!FO183*VLOOKUP('Données projet'!$B$16,Paramètres!$A$1:$I$89,3,0)*0.475*44/12</f>
        <v>0.20973649910738482</v>
      </c>
      <c r="FS183" s="21">
        <f>EXP(-LN(2)/2)*FS182+(1-EXP(-LN(2)/2))/(LN(2)/2)*FM183*FP183*VLOOKUP('Données projet'!$B$16,Paramètres!$A$1:$I$89,3,0)*0.475*44/12</f>
        <v>5.5355676820334216E-22</v>
      </c>
      <c r="FT183" s="22">
        <f t="shared" si="184"/>
        <v>0.55520527262876351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293.33333333333974</v>
      </c>
      <c r="S184" s="59">
        <f ca="1">AVERAGE(OFFSET($R$3,0,0,'Données projet'!$E$9+1,1))-AVERAGE(OFFSET($H$3,0,0,'Données projet'!$E$9+1,1))</f>
        <v>401.06118089678654</v>
      </c>
      <c r="T184" s="59">
        <f t="shared" si="142"/>
        <v>399.58193819355591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6.2527760746888816E-13</v>
      </c>
      <c r="AJ184" s="13">
        <f>AI184*VLOOKUP('Données projet'!$B$10,Paramètres!$A$1:$I$89,3,0)*VLOOKUP('Données projet'!$B$10,Paramètres!$A$1:$I$89,5,0)</f>
        <v>3.9017322706058616E-13</v>
      </c>
      <c r="AK184" s="13">
        <f t="shared" si="164"/>
        <v>5.0025007393608908E-12</v>
      </c>
      <c r="AL184" s="20">
        <f t="shared" si="165"/>
        <v>9.3922404915174053E-12</v>
      </c>
      <c r="AM184" s="59">
        <f t="shared" si="113"/>
        <v>293.33333333334269</v>
      </c>
      <c r="AN184" s="59">
        <f ca="1">AVERAGE(OFFSET($AM$3,0,0,'Données projet'!$E$10+1,1))-AVERAGE(OFFSET($H$3,0,0,'Données projet'!$E$10+1,1))</f>
        <v>240.30073883588199</v>
      </c>
      <c r="AO184" s="59">
        <f t="shared" si="144"/>
        <v>263.20351282678843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0.34951258837067156</v>
      </c>
      <c r="AV184" s="21">
        <f>EXP(-LN(2)/25)*AV183+(1-EXP(-LN(2)/25))/(LN(2)/25)*Calculateur!AQ184*Calculateur!AS184*VLOOKUP('Données projet'!$B$10,Paramètres!$A$1:$I$89,3,0)*0.475*44/12</f>
        <v>0.31592909387301032</v>
      </c>
      <c r="AW184" s="21">
        <f>EXP(-LN(2)/2)*AW183+(1-EXP(-LN(2)/2))/(LN(2)/2)*AQ184*AT184*VLOOKUP('Données projet'!$B$10,Paramètres!$A$1:$I$89,3,0)*0.475*44/12</f>
        <v>3.7791069933245817E-22</v>
      </c>
      <c r="AX184" s="21">
        <f t="shared" si="166"/>
        <v>0.66544168224368194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-1.0936673788819462E-13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364.67510777943329</v>
      </c>
      <c r="BJ184" s="59">
        <f t="shared" si="146"/>
        <v>352.13878061387169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0.44453632333394821</v>
      </c>
      <c r="BQ184" s="21">
        <f>EXP(-LN(2)/25)*BQ183+(1-EXP(-LN(2)/25))/(LN(2)/25)*Calculateur!BL184*Calculateur!BN184*VLOOKUP('Données projet'!$B$11,Paramètres!$A$1:$I$89,3,0)*0.475*44/12</f>
        <v>0.27379085211387322</v>
      </c>
      <c r="BR184" s="21">
        <f>EXP(-LN(2)/2)*BR183+(1-EXP(-LN(2)/2))/(LN(2)/2)*BL184*BO184*VLOOKUP('Données projet'!$B$11,Paramètres!$A$1:$I$89,3,0)*0.475*44/12</f>
        <v>5.1422147693407906E-22</v>
      </c>
      <c r="BS184" s="22">
        <f t="shared" si="169"/>
        <v>0.71832717544782143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-5.3205440053716299E-14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252.98248842635206</v>
      </c>
      <c r="CE184" s="59">
        <f t="shared" si="148"/>
        <v>207.11938580878308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0.15756152309674298</v>
      </c>
      <c r="CL184" s="21">
        <f>EXP(-LN(2)/25)*CL183+(1-EXP(-LN(2)/25))/(LN(2)/25)*Calculateur!CG184*Calculateur!CI184*VLOOKUP('Données projet'!$B$12,Paramètres!$A$1:$I$89,3,0)*0.475*44/12</f>
        <v>0.11938525418956823</v>
      </c>
      <c r="CM184" s="21">
        <f>EXP(-LN(2)/2)*CM183+(1-EXP(-LN(2)/2))/(LN(2)/2)*CG184*CJ184*VLOOKUP('Données projet'!$B$12,Paramètres!$A$1:$I$89,3,0)*0.475*44/12</f>
        <v>1.8402846031380558E-22</v>
      </c>
      <c r="CN184" s="22">
        <f t="shared" si="172"/>
        <v>0.27694677728631123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-5.6843418860808015E-13</v>
      </c>
      <c r="CU184" s="17">
        <f>CT184*VLOOKUP('Données projet'!$B$13,Paramètres!$A$1:$I$89,3,0)*VLOOKUP('Données projet'!$B$13,Paramètres!$A$1:$I$89,5,0)</f>
        <v>-3.177547114319168E-13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356.67698551373468</v>
      </c>
      <c r="CZ184" s="59">
        <f t="shared" si="150"/>
        <v>353.21836615408171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0.22961035319351067</v>
      </c>
      <c r="DG184" s="21">
        <f>EXP(-LN(2)/25)*DG183+(1-EXP(-LN(2)/25))/(LN(2)/25)*Calculateur!DB184*Calculateur!DD184*VLOOKUP('Données projet'!$B$13,Paramètres!$A$1:$I$89,3,0)*0.475*44/12</f>
        <v>0.45856042830322219</v>
      </c>
      <c r="DH184" s="21">
        <f>EXP(-LN(2)/2)*DH183+(1-EXP(-LN(2)/2))/(LN(2)/2)*DB184*DE184*VLOOKUP('Données projet'!$B$13,Paramètres!$A$1:$I$89,3,0)*0.475*44/12</f>
        <v>6.0871464837870211E-22</v>
      </c>
      <c r="DI184" s="22">
        <f t="shared" si="175"/>
        <v>0.68817078149673283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-2.7193891583010558E-13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247.30892363953825</v>
      </c>
      <c r="DU184" s="59">
        <f t="shared" si="152"/>
        <v>248.38414731596578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0.19527968381736721</v>
      </c>
      <c r="EC184" s="21">
        <f>EXP(-LN(2)/2)*EC183+(1-EXP(-LN(2)/2))/(LN(2)/2)*DW184*DZ184*VLOOKUP('Données projet'!$B$14,Paramètres!$A$1:$I$89,3,0)*0.475*44/12</f>
        <v>4.4414149507613829E-22</v>
      </c>
      <c r="ED184" s="22">
        <f t="shared" si="178"/>
        <v>0.19527968381736721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-4.5474735088646412E-13</v>
      </c>
      <c r="EK184" s="17">
        <f>EJ184*VLOOKUP('Données projet'!$B$15,Paramètres!$A$1:$I$89,3,0)*VLOOKUP('Données projet'!$B$15,Paramètres!$A$1:$I$89,5,0)</f>
        <v>-2.7193891583010558E-13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247.30892363953825</v>
      </c>
      <c r="EP184" s="59">
        <f t="shared" si="154"/>
        <v>248.38414731596578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0.19527968381736721</v>
      </c>
      <c r="EX184" s="21">
        <f>EXP(-LN(2)/2)*EX183+(1-EXP(-LN(2)/2))/(LN(2)/2)*ER184*EU184*VLOOKUP('Données projet'!$B$15,Paramètres!$A$1:$I$89,3,0)*0.475*44/12</f>
        <v>4.4414149507613829E-22</v>
      </c>
      <c r="EY184" s="22">
        <f t="shared" si="181"/>
        <v>0.19527968381736721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6.8212102632969618E-13</v>
      </c>
      <c r="FF184" s="17">
        <f>FE184*VLOOKUP('Données projet'!$B$16,Paramètres!$A$1:$I$89,3,0)*VLOOKUP('Données projet'!$B$16,Paramètres!$A$1:$I$89,5,0)</f>
        <v>3.2810021366458383E-13</v>
      </c>
      <c r="FG184" s="13">
        <f t="shared" si="182"/>
        <v>4.2923528923937213E-12</v>
      </c>
      <c r="FH184" s="20">
        <f t="shared" si="183"/>
        <v>8.0472891597182151E-12</v>
      </c>
      <c r="FI184" s="59">
        <f t="shared" si="131"/>
        <v>293.33333333334139</v>
      </c>
      <c r="FJ184" s="59">
        <f ca="1">AVERAGE(OFFSET($FI$3,0,0,'Données projet'!$E$16+1,1))-AVERAGE(OFFSET($H$3,0,0,'Données projet'!$E$16+1,1))</f>
        <v>322.54393676667081</v>
      </c>
      <c r="FK184" s="59">
        <f t="shared" si="156"/>
        <v>296.73904998640018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0.3386943415877699</v>
      </c>
      <c r="FR184" s="21">
        <f>EXP(-LN(2)/25)*FR183+(1-EXP(-LN(2)/25))/(LN(2)/25)*Calculateur!FM184*Calculateur!FO184*VLOOKUP('Données projet'!$B$16,Paramètres!$A$1:$I$89,3,0)*0.475*44/12</f>
        <v>0.20400124350973026</v>
      </c>
      <c r="FS184" s="21">
        <f>EXP(-LN(2)/2)*FS183+(1-EXP(-LN(2)/2))/(LN(2)/2)*FM184*FP184*VLOOKUP('Données projet'!$B$16,Paramètres!$A$1:$I$89,3,0)*0.475*44/12</f>
        <v>3.9142374456829308E-22</v>
      </c>
      <c r="FT184" s="22">
        <f t="shared" si="184"/>
        <v>0.54269558509750015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293.33333333333974</v>
      </c>
      <c r="S185" s="59">
        <f ca="1">AVERAGE(OFFSET($R$3,0,0,'Données projet'!$E$9+1,1))-AVERAGE(OFFSET($H$3,0,0,'Données projet'!$E$9+1,1))</f>
        <v>401.06118089678654</v>
      </c>
      <c r="T185" s="59">
        <f t="shared" si="142"/>
        <v>399.58193819355591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6.2527760746888816E-13</v>
      </c>
      <c r="AJ185" s="13">
        <f>AI185*VLOOKUP('Données projet'!$B$10,Paramètres!$A$1:$I$89,3,0)*VLOOKUP('Données projet'!$B$10,Paramètres!$A$1:$I$89,5,0)</f>
        <v>3.9017322706058616E-13</v>
      </c>
      <c r="AK185" s="13">
        <f t="shared" si="164"/>
        <v>5.0025007393608908E-12</v>
      </c>
      <c r="AL185" s="20">
        <f t="shared" si="165"/>
        <v>9.3922404915174053E-12</v>
      </c>
      <c r="AM185" s="59">
        <f t="shared" si="113"/>
        <v>293.33333333334269</v>
      </c>
      <c r="AN185" s="59">
        <f ca="1">AVERAGE(OFFSET($AM$3,0,0,'Données projet'!$E$10+1,1))-AVERAGE(OFFSET($H$3,0,0,'Données projet'!$E$10+1,1))</f>
        <v>240.30073883588199</v>
      </c>
      <c r="AO185" s="59">
        <f t="shared" si="144"/>
        <v>263.20351282678843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0.34265885969435167</v>
      </c>
      <c r="AV185" s="21">
        <f>EXP(-LN(2)/25)*AV184+(1-EXP(-LN(2)/25))/(LN(2)/25)*Calculateur!AQ185*Calculateur!AS185*VLOOKUP('Données projet'!$B$10,Paramètres!$A$1:$I$89,3,0)*0.475*44/12</f>
        <v>0.30728999618706387</v>
      </c>
      <c r="AW185" s="21">
        <f>EXP(-LN(2)/2)*AW184+(1-EXP(-LN(2)/2))/(LN(2)/2)*AQ185*AT185*VLOOKUP('Données projet'!$B$10,Paramètres!$A$1:$I$89,3,0)*0.475*44/12</f>
        <v>2.6722321818093164E-22</v>
      </c>
      <c r="AX185" s="21">
        <f t="shared" si="166"/>
        <v>0.64994885588141549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-1.0936673788819462E-13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364.67510777943329</v>
      </c>
      <c r="BJ185" s="59">
        <f t="shared" si="146"/>
        <v>352.13878061387169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0.43581923717375382</v>
      </c>
      <c r="BQ185" s="21">
        <f>EXP(-LN(2)/25)*BQ184+(1-EXP(-LN(2)/25))/(LN(2)/25)*Calculateur!BL185*Calculateur!BN185*VLOOKUP('Données projet'!$B$11,Paramètres!$A$1:$I$89,3,0)*0.475*44/12</f>
        <v>0.26630402686478422</v>
      </c>
      <c r="BR185" s="21">
        <f>EXP(-LN(2)/2)*BR184+(1-EXP(-LN(2)/2))/(LN(2)/2)*BL185*BO185*VLOOKUP('Données projet'!$B$11,Paramètres!$A$1:$I$89,3,0)*0.475*44/12</f>
        <v>3.6360949337184914E-22</v>
      </c>
      <c r="BS185" s="22">
        <f t="shared" si="169"/>
        <v>0.70212326403853798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-5.3205440053716299E-14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252.98248842635206</v>
      </c>
      <c r="CE185" s="59">
        <f t="shared" si="148"/>
        <v>207.11938580878308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0.15447183773185555</v>
      </c>
      <c r="CL185" s="21">
        <f>EXP(-LN(2)/25)*CL184+(1-EXP(-LN(2)/25))/(LN(2)/25)*Calculateur!CG185*Calculateur!CI185*VLOOKUP('Données projet'!$B$12,Paramètres!$A$1:$I$89,3,0)*0.475*44/12</f>
        <v>0.11612065813555683</v>
      </c>
      <c r="CM185" s="21">
        <f>EXP(-LN(2)/2)*CM184+(1-EXP(-LN(2)/2))/(LN(2)/2)*CG185*CJ185*VLOOKUP('Données projet'!$B$12,Paramètres!$A$1:$I$89,3,0)*0.475*44/12</f>
        <v>1.3012777221921136E-22</v>
      </c>
      <c r="CN185" s="22">
        <f t="shared" si="172"/>
        <v>0.27059249586741241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-5.6843418860808015E-13</v>
      </c>
      <c r="CU185" s="17">
        <f>CT185*VLOOKUP('Données projet'!$B$13,Paramètres!$A$1:$I$89,3,0)*VLOOKUP('Données projet'!$B$13,Paramètres!$A$1:$I$89,5,0)</f>
        <v>-3.177547114319168E-13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356.67698551373468</v>
      </c>
      <c r="CZ185" s="59">
        <f t="shared" si="150"/>
        <v>353.21836615408171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0.22510783421587274</v>
      </c>
      <c r="DG185" s="21">
        <f>EXP(-LN(2)/25)*DG184+(1-EXP(-LN(2)/25))/(LN(2)/25)*Calculateur!DB185*Calculateur!DD185*VLOOKUP('Données projet'!$B$13,Paramètres!$A$1:$I$89,3,0)*0.475*44/12</f>
        <v>0.44602106927662571</v>
      </c>
      <c r="DH185" s="21">
        <f>EXP(-LN(2)/2)*DH184+(1-EXP(-LN(2)/2))/(LN(2)/2)*DB185*DE185*VLOOKUP('Données projet'!$B$13,Paramètres!$A$1:$I$89,3,0)*0.475*44/12</f>
        <v>4.3042625567616513E-22</v>
      </c>
      <c r="DI185" s="22">
        <f t="shared" si="175"/>
        <v>0.67112890349249843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-2.7193891583010558E-13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247.30892363953825</v>
      </c>
      <c r="DU185" s="59">
        <f t="shared" si="152"/>
        <v>248.38414731596578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0.18993975059406906</v>
      </c>
      <c r="EC185" s="21">
        <f>EXP(-LN(2)/2)*EC184+(1-EXP(-LN(2)/2))/(LN(2)/2)*DW185*DZ185*VLOOKUP('Données projet'!$B$14,Paramètres!$A$1:$I$89,3,0)*0.475*44/12</f>
        <v>3.14055462974669E-22</v>
      </c>
      <c r="ED185" s="22">
        <f t="shared" si="178"/>
        <v>0.18993975059406906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-4.5474735088646412E-13</v>
      </c>
      <c r="EK185" s="17">
        <f>EJ185*VLOOKUP('Données projet'!$B$15,Paramètres!$A$1:$I$89,3,0)*VLOOKUP('Données projet'!$B$15,Paramètres!$A$1:$I$89,5,0)</f>
        <v>-2.7193891583010558E-13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247.30892363953825</v>
      </c>
      <c r="EP185" s="59">
        <f t="shared" si="154"/>
        <v>248.38414731596578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0.18993975059406906</v>
      </c>
      <c r="EX185" s="21">
        <f>EXP(-LN(2)/2)*EX184+(1-EXP(-LN(2)/2))/(LN(2)/2)*ER185*EU185*VLOOKUP('Données projet'!$B$15,Paramètres!$A$1:$I$89,3,0)*0.475*44/12</f>
        <v>3.14055462974669E-22</v>
      </c>
      <c r="EY185" s="22">
        <f t="shared" si="181"/>
        <v>0.18993975059406906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6.8212102632969618E-13</v>
      </c>
      <c r="FF185" s="17">
        <f>FE185*VLOOKUP('Données projet'!$B$16,Paramètres!$A$1:$I$89,3,0)*VLOOKUP('Données projet'!$B$16,Paramètres!$A$1:$I$89,5,0)</f>
        <v>3.2810021366458383E-13</v>
      </c>
      <c r="FG185" s="13">
        <f t="shared" si="182"/>
        <v>4.2923528923937213E-12</v>
      </c>
      <c r="FH185" s="20">
        <f t="shared" si="183"/>
        <v>8.0472891597182151E-12</v>
      </c>
      <c r="FI185" s="59">
        <f t="shared" si="131"/>
        <v>293.33333333334139</v>
      </c>
      <c r="FJ185" s="59">
        <f ca="1">AVERAGE(OFFSET($FI$3,0,0,'Données projet'!$E$16+1,1))-AVERAGE(OFFSET($H$3,0,0,'Données projet'!$E$16+1,1))</f>
        <v>322.54393676667081</v>
      </c>
      <c r="FK185" s="59">
        <f t="shared" si="156"/>
        <v>296.73904998640018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0.33205275213238372</v>
      </c>
      <c r="FR185" s="21">
        <f>EXP(-LN(2)/25)*FR184+(1-EXP(-LN(2)/25))/(LN(2)/25)*Calculateur!FM185*Calculateur!FO185*VLOOKUP('Données projet'!$B$16,Paramètres!$A$1:$I$89,3,0)*0.475*44/12</f>
        <v>0.19842281877799753</v>
      </c>
      <c r="FS185" s="21">
        <f>EXP(-LN(2)/2)*FS184+(1-EXP(-LN(2)/2))/(LN(2)/2)*FM185*FP185*VLOOKUP('Données projet'!$B$16,Paramètres!$A$1:$I$89,3,0)*0.475*44/12</f>
        <v>2.7677838410167108E-22</v>
      </c>
      <c r="FT185" s="22">
        <f t="shared" si="184"/>
        <v>0.53047557091038122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293.33333333333974</v>
      </c>
      <c r="S186" s="59">
        <f ca="1">AVERAGE(OFFSET($R$3,0,0,'Données projet'!$E$9+1,1))-AVERAGE(OFFSET($H$3,0,0,'Données projet'!$E$9+1,1))</f>
        <v>401.06118089678654</v>
      </c>
      <c r="T186" s="59">
        <f t="shared" si="142"/>
        <v>399.58193819355591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6.2527760746888816E-13</v>
      </c>
      <c r="AJ186" s="13">
        <f>AI186*VLOOKUP('Données projet'!$B$10,Paramètres!$A$1:$I$89,3,0)*VLOOKUP('Données projet'!$B$10,Paramètres!$A$1:$I$89,5,0)</f>
        <v>3.9017322706058616E-13</v>
      </c>
      <c r="AK186" s="13">
        <f t="shared" si="164"/>
        <v>5.0025007393608908E-12</v>
      </c>
      <c r="AL186" s="20">
        <f t="shared" si="165"/>
        <v>9.3922404915174053E-12</v>
      </c>
      <c r="AM186" s="59">
        <f t="shared" si="113"/>
        <v>293.33333333334269</v>
      </c>
      <c r="AN186" s="59">
        <f ca="1">AVERAGE(OFFSET($AM$3,0,0,'Données projet'!$E$10+1,1))-AVERAGE(OFFSET($H$3,0,0,'Données projet'!$E$10+1,1))</f>
        <v>240.30073883588199</v>
      </c>
      <c r="AO186" s="59">
        <f t="shared" si="144"/>
        <v>263.20351282678843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0.33593952845701269</v>
      </c>
      <c r="AV186" s="21">
        <f>EXP(-LN(2)/25)*AV185+(1-EXP(-LN(2)/25))/(LN(2)/25)*Calculateur!AQ186*Calculateur!AS186*VLOOKUP('Données projet'!$B$10,Paramètres!$A$1:$I$89,3,0)*0.475*44/12</f>
        <v>0.29888713508165005</v>
      </c>
      <c r="AW186" s="21">
        <f>EXP(-LN(2)/2)*AW185+(1-EXP(-LN(2)/2))/(LN(2)/2)*AQ186*AT186*VLOOKUP('Données projet'!$B$10,Paramètres!$A$1:$I$89,3,0)*0.475*44/12</f>
        <v>1.8895534966622908E-22</v>
      </c>
      <c r="AX186" s="21">
        <f t="shared" si="166"/>
        <v>0.63482666353866279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-1.0936673788819462E-13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364.67510777943329</v>
      </c>
      <c r="BJ186" s="59">
        <f t="shared" si="146"/>
        <v>352.13878061387169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0.42727308775626327</v>
      </c>
      <c r="BQ186" s="21">
        <f>EXP(-LN(2)/25)*BQ185+(1-EXP(-LN(2)/25))/(LN(2)/25)*Calculateur!BL186*Calculateur!BN186*VLOOKUP('Données projet'!$B$11,Paramètres!$A$1:$I$89,3,0)*0.475*44/12</f>
        <v>0.25902192924584655</v>
      </c>
      <c r="BR186" s="21">
        <f>EXP(-LN(2)/2)*BR185+(1-EXP(-LN(2)/2))/(LN(2)/2)*BL186*BO186*VLOOKUP('Données projet'!$B$11,Paramètres!$A$1:$I$89,3,0)*0.475*44/12</f>
        <v>2.5711073846703953E-22</v>
      </c>
      <c r="BS186" s="22">
        <f t="shared" si="169"/>
        <v>0.68629501700210982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-5.3205440053716299E-14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252.98248842635206</v>
      </c>
      <c r="CE186" s="59">
        <f t="shared" si="148"/>
        <v>207.11938580878308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0.15144273921245158</v>
      </c>
      <c r="CL186" s="21">
        <f>EXP(-LN(2)/25)*CL185+(1-EXP(-LN(2)/25))/(LN(2)/25)*Calculateur!CG186*Calculateur!CI186*VLOOKUP('Données projet'!$B$12,Paramètres!$A$1:$I$89,3,0)*0.475*44/12</f>
        <v>0.11294533263232001</v>
      </c>
      <c r="CM186" s="21">
        <f>EXP(-LN(2)/2)*CM185+(1-EXP(-LN(2)/2))/(LN(2)/2)*CG186*CJ186*VLOOKUP('Données projet'!$B$12,Paramètres!$A$1:$I$89,3,0)*0.475*44/12</f>
        <v>9.2014230156902789E-23</v>
      </c>
      <c r="CN186" s="22">
        <f t="shared" si="172"/>
        <v>0.26438807184477159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-5.6843418860808015E-13</v>
      </c>
      <c r="CU186" s="17">
        <f>CT186*VLOOKUP('Données projet'!$B$13,Paramètres!$A$1:$I$89,3,0)*VLOOKUP('Données projet'!$B$13,Paramètres!$A$1:$I$89,5,0)</f>
        <v>-3.177547114319168E-13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356.67698551373468</v>
      </c>
      <c r="CZ186" s="59">
        <f t="shared" si="150"/>
        <v>353.21836615408171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0.22069360688912087</v>
      </c>
      <c r="DG186" s="21">
        <f>EXP(-LN(2)/25)*DG185+(1-EXP(-LN(2)/25))/(LN(2)/25)*Calculateur!DB186*Calculateur!DD186*VLOOKUP('Données projet'!$B$13,Paramètres!$A$1:$I$89,3,0)*0.475*44/12</f>
        <v>0.43382459968202775</v>
      </c>
      <c r="DH186" s="21">
        <f>EXP(-LN(2)/2)*DH185+(1-EXP(-LN(2)/2))/(LN(2)/2)*DB186*DE186*VLOOKUP('Données projet'!$B$13,Paramètres!$A$1:$I$89,3,0)*0.475*44/12</f>
        <v>3.0435732418935106E-22</v>
      </c>
      <c r="DI186" s="22">
        <f t="shared" si="175"/>
        <v>0.65451820657114856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-2.7193891583010558E-13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247.30892363953825</v>
      </c>
      <c r="DU186" s="59">
        <f t="shared" si="152"/>
        <v>248.38414731596578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0.18474583812557688</v>
      </c>
      <c r="EC186" s="21">
        <f>EXP(-LN(2)/2)*EC185+(1-EXP(-LN(2)/2))/(LN(2)/2)*DW186*DZ186*VLOOKUP('Données projet'!$B$14,Paramètres!$A$1:$I$89,3,0)*0.475*44/12</f>
        <v>2.2207074753806914E-22</v>
      </c>
      <c r="ED186" s="22">
        <f t="shared" si="178"/>
        <v>0.18474583812557688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-4.5474735088646412E-13</v>
      </c>
      <c r="EK186" s="17">
        <f>EJ186*VLOOKUP('Données projet'!$B$15,Paramètres!$A$1:$I$89,3,0)*VLOOKUP('Données projet'!$B$15,Paramètres!$A$1:$I$89,5,0)</f>
        <v>-2.7193891583010558E-13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247.30892363953825</v>
      </c>
      <c r="EP186" s="59">
        <f t="shared" si="154"/>
        <v>248.38414731596578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0.18474583812557688</v>
      </c>
      <c r="EX186" s="21">
        <f>EXP(-LN(2)/2)*EX185+(1-EXP(-LN(2)/2))/(LN(2)/2)*ER186*EU186*VLOOKUP('Données projet'!$B$15,Paramètres!$A$1:$I$89,3,0)*0.475*44/12</f>
        <v>2.2207074753806914E-22</v>
      </c>
      <c r="EY186" s="22">
        <f t="shared" si="181"/>
        <v>0.18474583812557688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6.8212102632969618E-13</v>
      </c>
      <c r="FF186" s="17">
        <f>FE186*VLOOKUP('Données projet'!$B$16,Paramètres!$A$1:$I$89,3,0)*VLOOKUP('Données projet'!$B$16,Paramètres!$A$1:$I$89,5,0)</f>
        <v>3.2810021366458383E-13</v>
      </c>
      <c r="FG186" s="13">
        <f t="shared" si="182"/>
        <v>4.2923528923937213E-12</v>
      </c>
      <c r="FH186" s="20">
        <f t="shared" si="183"/>
        <v>8.0472891597182151E-12</v>
      </c>
      <c r="FI186" s="59">
        <f t="shared" si="131"/>
        <v>293.33333333334139</v>
      </c>
      <c r="FJ186" s="59">
        <f ca="1">AVERAGE(OFFSET($FI$3,0,0,'Données projet'!$E$16+1,1))-AVERAGE(OFFSET($H$3,0,0,'Données projet'!$E$16+1,1))</f>
        <v>322.54393676667081</v>
      </c>
      <c r="FK186" s="59">
        <f t="shared" si="156"/>
        <v>296.73904998640018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0.32554140019524808</v>
      </c>
      <c r="FR186" s="21">
        <f>EXP(-LN(2)/25)*FR185+(1-EXP(-LN(2)/25))/(LN(2)/25)*Calculateur!FM186*Calculateur!FO186*VLOOKUP('Données projet'!$B$16,Paramètres!$A$1:$I$89,3,0)*0.475*44/12</f>
        <v>0.19299693636391066</v>
      </c>
      <c r="FS186" s="21">
        <f>EXP(-LN(2)/2)*FS185+(1-EXP(-LN(2)/2))/(LN(2)/2)*FM186*FP186*VLOOKUP('Données projet'!$B$16,Paramètres!$A$1:$I$89,3,0)*0.475*44/12</f>
        <v>1.9571187228414654E-22</v>
      </c>
      <c r="FT186" s="22">
        <f t="shared" si="184"/>
        <v>0.51853833655915871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293.33333333333974</v>
      </c>
      <c r="S187" s="59">
        <f ca="1">AVERAGE(OFFSET($R$3,0,0,'Données projet'!$E$9+1,1))-AVERAGE(OFFSET($H$3,0,0,'Données projet'!$E$9+1,1))</f>
        <v>401.06118089678654</v>
      </c>
      <c r="T187" s="59">
        <f t="shared" si="142"/>
        <v>399.58193819355591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6.2527760746888816E-13</v>
      </c>
      <c r="AJ187" s="13">
        <f>AI187*VLOOKUP('Données projet'!$B$10,Paramètres!$A$1:$I$89,3,0)*VLOOKUP('Données projet'!$B$10,Paramètres!$A$1:$I$89,5,0)</f>
        <v>3.9017322706058616E-13</v>
      </c>
      <c r="AK187" s="13">
        <f t="shared" si="164"/>
        <v>5.0025007393608908E-12</v>
      </c>
      <c r="AL187" s="20">
        <f t="shared" si="165"/>
        <v>9.3922404915174053E-12</v>
      </c>
      <c r="AM187" s="59">
        <f t="shared" si="113"/>
        <v>293.33333333334269</v>
      </c>
      <c r="AN187" s="59">
        <f ca="1">AVERAGE(OFFSET($AM$3,0,0,'Données projet'!$E$10+1,1))-AVERAGE(OFFSET($H$3,0,0,'Données projet'!$E$10+1,1))</f>
        <v>240.30073883588199</v>
      </c>
      <c r="AO187" s="59">
        <f t="shared" si="144"/>
        <v>263.20351282678843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0.32935195920685056</v>
      </c>
      <c r="AV187" s="21">
        <f>EXP(-LN(2)/25)*AV186+(1-EXP(-LN(2)/25))/(LN(2)/25)*Calculateur!AQ187*Calculateur!AS187*VLOOKUP('Données projet'!$B$10,Paramètres!$A$1:$I$89,3,0)*0.475*44/12</f>
        <v>0.29071405065505102</v>
      </c>
      <c r="AW187" s="21">
        <f>EXP(-LN(2)/2)*AW186+(1-EXP(-LN(2)/2))/(LN(2)/2)*AQ187*AT187*VLOOKUP('Données projet'!$B$10,Paramètres!$A$1:$I$89,3,0)*0.475*44/12</f>
        <v>1.3361160909046582E-22</v>
      </c>
      <c r="AX187" s="21">
        <f t="shared" si="166"/>
        <v>0.62006600986190152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-1.0936673788819462E-13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364.67510777943329</v>
      </c>
      <c r="BJ187" s="59">
        <f t="shared" si="146"/>
        <v>352.13878061387169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0.41889452311621328</v>
      </c>
      <c r="BQ187" s="21">
        <f>EXP(-LN(2)/25)*BQ186+(1-EXP(-LN(2)/25))/(LN(2)/25)*Calculateur!BL187*Calculateur!BN187*VLOOKUP('Données projet'!$B$11,Paramètres!$A$1:$I$89,3,0)*0.475*44/12</f>
        <v>0.25193896096924762</v>
      </c>
      <c r="BR187" s="21">
        <f>EXP(-LN(2)/2)*BR186+(1-EXP(-LN(2)/2))/(LN(2)/2)*BL187*BO187*VLOOKUP('Données projet'!$B$11,Paramètres!$A$1:$I$89,3,0)*0.475*44/12</f>
        <v>1.8180474668592457E-22</v>
      </c>
      <c r="BS187" s="22">
        <f t="shared" si="169"/>
        <v>0.67083348408546084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-5.3205440053716299E-14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252.98248842635206</v>
      </c>
      <c r="CE187" s="59">
        <f t="shared" si="148"/>
        <v>207.11938580878308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0.14847303946744544</v>
      </c>
      <c r="CL187" s="21">
        <f>EXP(-LN(2)/25)*CL186+(1-EXP(-LN(2)/25))/(LN(2)/25)*Calculateur!CG187*Calculateur!CI187*VLOOKUP('Données projet'!$B$12,Paramètres!$A$1:$I$89,3,0)*0.475*44/12</f>
        <v>0.10985683657195232</v>
      </c>
      <c r="CM187" s="21">
        <f>EXP(-LN(2)/2)*CM186+(1-EXP(-LN(2)/2))/(LN(2)/2)*CG187*CJ187*VLOOKUP('Données projet'!$B$12,Paramètres!$A$1:$I$89,3,0)*0.475*44/12</f>
        <v>6.5063886109605682E-23</v>
      </c>
      <c r="CN187" s="22">
        <f t="shared" si="172"/>
        <v>0.25832987603939778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-5.6843418860808015E-13</v>
      </c>
      <c r="CU187" s="17">
        <f>CT187*VLOOKUP('Données projet'!$B$13,Paramètres!$A$1:$I$89,3,0)*VLOOKUP('Données projet'!$B$13,Paramètres!$A$1:$I$89,5,0)</f>
        <v>-3.177547114319168E-13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356.67698551373468</v>
      </c>
      <c r="CZ187" s="59">
        <f t="shared" si="150"/>
        <v>353.21836615408171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0.21636593986783381</v>
      </c>
      <c r="DG187" s="21">
        <f>EXP(-LN(2)/25)*DG186+(1-EXP(-LN(2)/25))/(LN(2)/25)*Calculateur!DB187*Calculateur!DD187*VLOOKUP('Données projet'!$B$13,Paramètres!$A$1:$I$89,3,0)*0.475*44/12</f>
        <v>0.4219616431898785</v>
      </c>
      <c r="DH187" s="21">
        <f>EXP(-LN(2)/2)*DH186+(1-EXP(-LN(2)/2))/(LN(2)/2)*DB187*DE187*VLOOKUP('Données projet'!$B$13,Paramètres!$A$1:$I$89,3,0)*0.475*44/12</f>
        <v>2.1521312783808257E-22</v>
      </c>
      <c r="DI187" s="22">
        <f t="shared" si="175"/>
        <v>0.63832758305771231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-2.7193891583010558E-13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247.30892363953825</v>
      </c>
      <c r="DU187" s="59">
        <f t="shared" si="152"/>
        <v>248.38414731596578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0.17969395346667158</v>
      </c>
      <c r="EC187" s="21">
        <f>EXP(-LN(2)/2)*EC186+(1-EXP(-LN(2)/2))/(LN(2)/2)*DW187*DZ187*VLOOKUP('Données projet'!$B$14,Paramètres!$A$1:$I$89,3,0)*0.475*44/12</f>
        <v>1.570277314873345E-22</v>
      </c>
      <c r="ED187" s="22">
        <f t="shared" si="178"/>
        <v>0.17969395346667158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-4.5474735088646412E-13</v>
      </c>
      <c r="EK187" s="17">
        <f>EJ187*VLOOKUP('Données projet'!$B$15,Paramètres!$A$1:$I$89,3,0)*VLOOKUP('Données projet'!$B$15,Paramètres!$A$1:$I$89,5,0)</f>
        <v>-2.7193891583010558E-13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247.30892363953825</v>
      </c>
      <c r="EP187" s="59">
        <f t="shared" si="154"/>
        <v>248.38414731596578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0.17969395346667158</v>
      </c>
      <c r="EX187" s="21">
        <f>EXP(-LN(2)/2)*EX186+(1-EXP(-LN(2)/2))/(LN(2)/2)*ER187*EU187*VLOOKUP('Données projet'!$B$15,Paramètres!$A$1:$I$89,3,0)*0.475*44/12</f>
        <v>1.570277314873345E-22</v>
      </c>
      <c r="EY187" s="22">
        <f t="shared" si="181"/>
        <v>0.17969395346667158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6.8212102632969618E-13</v>
      </c>
      <c r="FF187" s="17">
        <f>FE187*VLOOKUP('Données projet'!$B$16,Paramètres!$A$1:$I$89,3,0)*VLOOKUP('Données projet'!$B$16,Paramètres!$A$1:$I$89,5,0)</f>
        <v>3.2810021366458383E-13</v>
      </c>
      <c r="FG187" s="13">
        <f t="shared" si="182"/>
        <v>4.2923528923937213E-12</v>
      </c>
      <c r="FH187" s="20">
        <f t="shared" si="183"/>
        <v>8.0472891597182151E-12</v>
      </c>
      <c r="FI187" s="59">
        <f t="shared" si="131"/>
        <v>293.33333333334139</v>
      </c>
      <c r="FJ187" s="59">
        <f ca="1">AVERAGE(OFFSET($FI$3,0,0,'Données projet'!$E$16+1,1))-AVERAGE(OFFSET($H$3,0,0,'Données projet'!$E$16+1,1))</f>
        <v>322.54393676667081</v>
      </c>
      <c r="FK187" s="59">
        <f t="shared" si="156"/>
        <v>296.73904998640018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0.31915773189806712</v>
      </c>
      <c r="FR187" s="21">
        <f>EXP(-LN(2)/25)*FR186+(1-EXP(-LN(2)/25))/(LN(2)/25)*Calculateur!FM187*Calculateur!FO187*VLOOKUP('Données projet'!$B$16,Paramètres!$A$1:$I$89,3,0)*0.475*44/12</f>
        <v>0.18771942498977173</v>
      </c>
      <c r="FS187" s="21">
        <f>EXP(-LN(2)/2)*FS186+(1-EXP(-LN(2)/2))/(LN(2)/2)*FM187*FP187*VLOOKUP('Données projet'!$B$16,Paramètres!$A$1:$I$89,3,0)*0.475*44/12</f>
        <v>1.3838919205083554E-22</v>
      </c>
      <c r="FT187" s="22">
        <f t="shared" si="184"/>
        <v>0.50687715688783885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293.33333333333974</v>
      </c>
      <c r="S188" s="59">
        <f ca="1">AVERAGE(OFFSET($R$3,0,0,'Données projet'!$E$9+1,1))-AVERAGE(OFFSET($H$3,0,0,'Données projet'!$E$9+1,1))</f>
        <v>401.06118089678654</v>
      </c>
      <c r="T188" s="59">
        <f t="shared" si="142"/>
        <v>399.58193819355591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6.2527760746888816E-13</v>
      </c>
      <c r="AJ188" s="13">
        <f>AI188*VLOOKUP('Données projet'!$B$10,Paramètres!$A$1:$I$89,3,0)*VLOOKUP('Données projet'!$B$10,Paramètres!$A$1:$I$89,5,0)</f>
        <v>3.9017322706058616E-13</v>
      </c>
      <c r="AK188" s="13">
        <f t="shared" si="164"/>
        <v>5.0025007393608908E-12</v>
      </c>
      <c r="AL188" s="20">
        <f t="shared" si="165"/>
        <v>9.3922404915174053E-12</v>
      </c>
      <c r="AM188" s="59">
        <f t="shared" si="113"/>
        <v>293.33333333334269</v>
      </c>
      <c r="AN188" s="59">
        <f ca="1">AVERAGE(OFFSET($AM$3,0,0,'Données projet'!$E$10+1,1))-AVERAGE(OFFSET($H$3,0,0,'Données projet'!$E$10+1,1))</f>
        <v>240.30073883588199</v>
      </c>
      <c r="AO188" s="59">
        <f t="shared" si="144"/>
        <v>263.20351282678843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0.32289356817166359</v>
      </c>
      <c r="AV188" s="21">
        <f>EXP(-LN(2)/25)*AV187+(1-EXP(-LN(2)/25))/(LN(2)/25)*Calculateur!AQ188*Calculateur!AS188*VLOOKUP('Données projet'!$B$10,Paramètres!$A$1:$I$89,3,0)*0.475*44/12</f>
        <v>0.28276445965190117</v>
      </c>
      <c r="AW188" s="21">
        <f>EXP(-LN(2)/2)*AW187+(1-EXP(-LN(2)/2))/(LN(2)/2)*AQ188*AT188*VLOOKUP('Données projet'!$B$10,Paramètres!$A$1:$I$89,3,0)*0.475*44/12</f>
        <v>9.4477674833114541E-23</v>
      </c>
      <c r="AX188" s="21">
        <f t="shared" si="166"/>
        <v>0.60565802782356482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-1.0936673788819462E-13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364.67510777943329</v>
      </c>
      <c r="BJ188" s="59">
        <f t="shared" si="146"/>
        <v>352.13878061387169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0.41068025701833488</v>
      </c>
      <c r="BQ188" s="21">
        <f>EXP(-LN(2)/25)*BQ187+(1-EXP(-LN(2)/25))/(LN(2)/25)*Calculateur!BL188*Calculateur!BN188*VLOOKUP('Données projet'!$B$11,Paramètres!$A$1:$I$89,3,0)*0.475*44/12</f>
        <v>0.24504967683264939</v>
      </c>
      <c r="BR188" s="21">
        <f>EXP(-LN(2)/2)*BR187+(1-EXP(-LN(2)/2))/(LN(2)/2)*BL188*BO188*VLOOKUP('Données projet'!$B$11,Paramètres!$A$1:$I$89,3,0)*0.475*44/12</f>
        <v>1.2855536923351976E-22</v>
      </c>
      <c r="BS188" s="22">
        <f t="shared" si="169"/>
        <v>0.65572993385098433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-5.3205440053716299E-14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252.98248842635206</v>
      </c>
      <c r="CE188" s="59">
        <f t="shared" si="148"/>
        <v>207.11938580878308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0.14556157372310088</v>
      </c>
      <c r="CL188" s="21">
        <f>EXP(-LN(2)/25)*CL187+(1-EXP(-LN(2)/25))/(LN(2)/25)*Calculateur!CG188*Calculateur!CI188*VLOOKUP('Données projet'!$B$12,Paramètres!$A$1:$I$89,3,0)*0.475*44/12</f>
        <v>0.10685279559877232</v>
      </c>
      <c r="CM188" s="21">
        <f>EXP(-LN(2)/2)*CM187+(1-EXP(-LN(2)/2))/(LN(2)/2)*CG188*CJ188*VLOOKUP('Données projet'!$B$12,Paramètres!$A$1:$I$89,3,0)*0.475*44/12</f>
        <v>4.6007115078451394E-23</v>
      </c>
      <c r="CN188" s="22">
        <f t="shared" si="172"/>
        <v>0.25241436932187322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-5.6843418860808015E-13</v>
      </c>
      <c r="CU188" s="17">
        <f>CT188*VLOOKUP('Données projet'!$B$13,Paramètres!$A$1:$I$89,3,0)*VLOOKUP('Données projet'!$B$13,Paramètres!$A$1:$I$89,5,0)</f>
        <v>-3.177547114319168E-13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356.67698551373468</v>
      </c>
      <c r="CZ188" s="59">
        <f t="shared" si="150"/>
        <v>353.21836615408171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0.21212313575721795</v>
      </c>
      <c r="DG188" s="21">
        <f>EXP(-LN(2)/25)*DG187+(1-EXP(-LN(2)/25))/(LN(2)/25)*Calculateur!DB188*Calculateur!DD188*VLOOKUP('Données projet'!$B$13,Paramètres!$A$1:$I$89,3,0)*0.475*44/12</f>
        <v>0.41042307986685284</v>
      </c>
      <c r="DH188" s="21">
        <f>EXP(-LN(2)/2)*DH187+(1-EXP(-LN(2)/2))/(LN(2)/2)*DB188*DE188*VLOOKUP('Données projet'!$B$13,Paramètres!$A$1:$I$89,3,0)*0.475*44/12</f>
        <v>1.5217866209467553E-22</v>
      </c>
      <c r="DI188" s="22">
        <f t="shared" si="175"/>
        <v>0.62254621562407075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-2.7193891583010558E-13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247.30892363953825</v>
      </c>
      <c r="DU188" s="59">
        <f t="shared" si="152"/>
        <v>248.38414731596578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0.17478021285943113</v>
      </c>
      <c r="EC188" s="21">
        <f>EXP(-LN(2)/2)*EC187+(1-EXP(-LN(2)/2))/(LN(2)/2)*DW188*DZ188*VLOOKUP('Données projet'!$B$14,Paramètres!$A$1:$I$89,3,0)*0.475*44/12</f>
        <v>1.1103537376903457E-22</v>
      </c>
      <c r="ED188" s="22">
        <f t="shared" si="178"/>
        <v>0.17478021285943113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-4.5474735088646412E-13</v>
      </c>
      <c r="EK188" s="17">
        <f>EJ188*VLOOKUP('Données projet'!$B$15,Paramètres!$A$1:$I$89,3,0)*VLOOKUP('Données projet'!$B$15,Paramètres!$A$1:$I$89,5,0)</f>
        <v>-2.7193891583010558E-13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247.30892363953825</v>
      </c>
      <c r="EP188" s="59">
        <f t="shared" si="154"/>
        <v>248.38414731596578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0.17478021285943113</v>
      </c>
      <c r="EX188" s="21">
        <f>EXP(-LN(2)/2)*EX187+(1-EXP(-LN(2)/2))/(LN(2)/2)*ER188*EU188*VLOOKUP('Données projet'!$B$15,Paramètres!$A$1:$I$89,3,0)*0.475*44/12</f>
        <v>1.1103537376903457E-22</v>
      </c>
      <c r="EY188" s="22">
        <f t="shared" si="181"/>
        <v>0.17478021285943113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6.8212102632969618E-13</v>
      </c>
      <c r="FF188" s="17">
        <f>FE188*VLOOKUP('Données projet'!$B$16,Paramètres!$A$1:$I$89,3,0)*VLOOKUP('Données projet'!$B$16,Paramètres!$A$1:$I$89,5,0)</f>
        <v>3.2810021366458383E-13</v>
      </c>
      <c r="FG188" s="13">
        <f t="shared" si="182"/>
        <v>4.2923528923937213E-12</v>
      </c>
      <c r="FH188" s="20">
        <f t="shared" si="183"/>
        <v>8.0472891597182151E-12</v>
      </c>
      <c r="FI188" s="59">
        <f t="shared" si="131"/>
        <v>293.33333333334139</v>
      </c>
      <c r="FJ188" s="59">
        <f ca="1">AVERAGE(OFFSET($FI$3,0,0,'Données projet'!$E$16+1,1))-AVERAGE(OFFSET($H$3,0,0,'Données projet'!$E$16+1,1))</f>
        <v>322.54393676667081</v>
      </c>
      <c r="FK188" s="59">
        <f t="shared" si="156"/>
        <v>296.73904998640018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0.31289924344254072</v>
      </c>
      <c r="FR188" s="21">
        <f>EXP(-LN(2)/25)*FR187+(1-EXP(-LN(2)/25))/(LN(2)/25)*Calculateur!FM188*Calculateur!FO188*VLOOKUP('Données projet'!$B$16,Paramètres!$A$1:$I$89,3,0)*0.475*44/12</f>
        <v>0.1825862274416909</v>
      </c>
      <c r="FS188" s="21">
        <f>EXP(-LN(2)/2)*FS187+(1-EXP(-LN(2)/2))/(LN(2)/2)*FM188*FP188*VLOOKUP('Données projet'!$B$16,Paramètres!$A$1:$I$89,3,0)*0.475*44/12</f>
        <v>9.785593614207327E-23</v>
      </c>
      <c r="FT188" s="22">
        <f t="shared" si="184"/>
        <v>0.49548547088423162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293.33333333333974</v>
      </c>
      <c r="S189" s="59">
        <f ca="1">AVERAGE(OFFSET($R$3,0,0,'Données projet'!$E$9+1,1))-AVERAGE(OFFSET($H$3,0,0,'Données projet'!$E$9+1,1))</f>
        <v>401.06118089678654</v>
      </c>
      <c r="T189" s="59">
        <f t="shared" si="142"/>
        <v>399.58193819355591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6.2527760746888816E-13</v>
      </c>
      <c r="AJ189" s="13">
        <f>AI189*VLOOKUP('Données projet'!$B$10,Paramètres!$A$1:$I$89,3,0)*VLOOKUP('Données projet'!$B$10,Paramètres!$A$1:$I$89,5,0)</f>
        <v>3.9017322706058616E-13</v>
      </c>
      <c r="AK189" s="13">
        <f t="shared" si="164"/>
        <v>5.0025007393608908E-12</v>
      </c>
      <c r="AL189" s="20">
        <f t="shared" si="165"/>
        <v>9.3922404915174053E-12</v>
      </c>
      <c r="AM189" s="59">
        <f t="shared" si="113"/>
        <v>293.33333333334269</v>
      </c>
      <c r="AN189" s="59">
        <f ca="1">AVERAGE(OFFSET($AM$3,0,0,'Données projet'!$E$10+1,1))-AVERAGE(OFFSET($H$3,0,0,'Données projet'!$E$10+1,1))</f>
        <v>240.30073883588199</v>
      </c>
      <c r="AO189" s="59">
        <f t="shared" si="144"/>
        <v>263.20351282678843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0.3165618222454471</v>
      </c>
      <c r="AV189" s="21">
        <f>EXP(-LN(2)/25)*AV188+(1-EXP(-LN(2)/25))/(LN(2)/25)*Calculateur!AQ189*Calculateur!AS189*VLOOKUP('Données projet'!$B$10,Paramètres!$A$1:$I$89,3,0)*0.475*44/12</f>
        <v>0.27503225063278325</v>
      </c>
      <c r="AW189" s="21">
        <f>EXP(-LN(2)/2)*AW188+(1-EXP(-LN(2)/2))/(LN(2)/2)*AQ189*AT189*VLOOKUP('Données projet'!$B$10,Paramètres!$A$1:$I$89,3,0)*0.475*44/12</f>
        <v>6.6805804545232911E-23</v>
      </c>
      <c r="AX189" s="21">
        <f t="shared" si="166"/>
        <v>0.59159407287823029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-1.0936673788819462E-13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364.67510777943329</v>
      </c>
      <c r="BJ189" s="59">
        <f t="shared" si="146"/>
        <v>352.13878061387169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0.40262706766842826</v>
      </c>
      <c r="BQ189" s="21">
        <f>EXP(-LN(2)/25)*BQ188+(1-EXP(-LN(2)/25))/(LN(2)/25)*Calculateur!BL189*Calculateur!BN189*VLOOKUP('Données projet'!$B$11,Paramètres!$A$1:$I$89,3,0)*0.475*44/12</f>
        <v>0.23834878053305816</v>
      </c>
      <c r="BR189" s="21">
        <f>EXP(-LN(2)/2)*BR188+(1-EXP(-LN(2)/2))/(LN(2)/2)*BL189*BO189*VLOOKUP('Données projet'!$B$11,Paramètres!$A$1:$I$89,3,0)*0.475*44/12</f>
        <v>9.0902373342962286E-23</v>
      </c>
      <c r="BS189" s="22">
        <f t="shared" si="169"/>
        <v>0.64097584820148645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-5.3205440053716299E-14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252.98248842635206</v>
      </c>
      <c r="CE189" s="59">
        <f t="shared" si="148"/>
        <v>207.11938580878308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0.14270720004618417</v>
      </c>
      <c r="CL189" s="21">
        <f>EXP(-LN(2)/25)*CL188+(1-EXP(-LN(2)/25))/(LN(2)/25)*Calculateur!CG189*Calculateur!CI189*VLOOKUP('Données projet'!$B$12,Paramètres!$A$1:$I$89,3,0)*0.475*44/12</f>
        <v>0.10393090028397958</v>
      </c>
      <c r="CM189" s="21">
        <f>EXP(-LN(2)/2)*CM188+(1-EXP(-LN(2)/2))/(LN(2)/2)*CG189*CJ189*VLOOKUP('Données projet'!$B$12,Paramètres!$A$1:$I$89,3,0)*0.475*44/12</f>
        <v>3.2531943054802841E-23</v>
      </c>
      <c r="CN189" s="22">
        <f t="shared" si="172"/>
        <v>0.24663810033016376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-5.6843418860808015E-13</v>
      </c>
      <c r="CU189" s="17">
        <f>CT189*VLOOKUP('Données projet'!$B$13,Paramètres!$A$1:$I$89,3,0)*VLOOKUP('Données projet'!$B$13,Paramètres!$A$1:$I$89,5,0)</f>
        <v>-3.177547114319168E-13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356.67698551373468</v>
      </c>
      <c r="CZ189" s="59">
        <f t="shared" si="150"/>
        <v>353.21836615408171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0.20796353044735627</v>
      </c>
      <c r="DG189" s="21">
        <f>EXP(-LN(2)/25)*DG188+(1-EXP(-LN(2)/25))/(LN(2)/25)*Calculateur!DB189*Calculateur!DD189*VLOOKUP('Données projet'!$B$13,Paramètres!$A$1:$I$89,3,0)*0.475*44/12</f>
        <v>0.399200039164682</v>
      </c>
      <c r="DH189" s="21">
        <f>EXP(-LN(2)/2)*DH188+(1-EXP(-LN(2)/2))/(LN(2)/2)*DB189*DE189*VLOOKUP('Données projet'!$B$13,Paramètres!$A$1:$I$89,3,0)*0.475*44/12</f>
        <v>1.0760656391904128E-22</v>
      </c>
      <c r="DI189" s="22">
        <f t="shared" si="175"/>
        <v>0.60716356961203832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-2.7193891583010558E-13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247.30892363953825</v>
      </c>
      <c r="DU189" s="59">
        <f t="shared" si="152"/>
        <v>248.38414731596578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0.17000083874749805</v>
      </c>
      <c r="EC189" s="21">
        <f>EXP(-LN(2)/2)*EC188+(1-EXP(-LN(2)/2))/(LN(2)/2)*DW189*DZ189*VLOOKUP('Données projet'!$B$14,Paramètres!$A$1:$I$89,3,0)*0.475*44/12</f>
        <v>7.8513865743667249E-23</v>
      </c>
      <c r="ED189" s="22">
        <f t="shared" si="178"/>
        <v>0.17000083874749805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-4.5474735088646412E-13</v>
      </c>
      <c r="EK189" s="17">
        <f>EJ189*VLOOKUP('Données projet'!$B$15,Paramètres!$A$1:$I$89,3,0)*VLOOKUP('Données projet'!$B$15,Paramètres!$A$1:$I$89,5,0)</f>
        <v>-2.7193891583010558E-13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247.30892363953825</v>
      </c>
      <c r="EP189" s="59">
        <f t="shared" si="154"/>
        <v>248.38414731596578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0.17000083874749805</v>
      </c>
      <c r="EX189" s="21">
        <f>EXP(-LN(2)/2)*EX188+(1-EXP(-LN(2)/2))/(LN(2)/2)*ER189*EU189*VLOOKUP('Données projet'!$B$15,Paramètres!$A$1:$I$89,3,0)*0.475*44/12</f>
        <v>7.8513865743667249E-23</v>
      </c>
      <c r="EY189" s="22">
        <f t="shared" si="181"/>
        <v>0.17000083874749805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6.8212102632969618E-13</v>
      </c>
      <c r="FF189" s="17">
        <f>FE189*VLOOKUP('Données projet'!$B$16,Paramètres!$A$1:$I$89,3,0)*VLOOKUP('Données projet'!$B$16,Paramètres!$A$1:$I$89,5,0)</f>
        <v>3.2810021366458383E-13</v>
      </c>
      <c r="FG189" s="13">
        <f t="shared" si="182"/>
        <v>4.2923528923937213E-12</v>
      </c>
      <c r="FH189" s="20">
        <f t="shared" si="183"/>
        <v>8.0472891597182151E-12</v>
      </c>
      <c r="FI189" s="59">
        <f t="shared" si="131"/>
        <v>293.33333333334139</v>
      </c>
      <c r="FJ189" s="59">
        <f ca="1">AVERAGE(OFFSET($FI$3,0,0,'Données projet'!$E$16+1,1))-AVERAGE(OFFSET($H$3,0,0,'Données projet'!$E$16+1,1))</f>
        <v>322.54393676667081</v>
      </c>
      <c r="FK189" s="59">
        <f t="shared" si="156"/>
        <v>296.73904998640018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0.30676348012832616</v>
      </c>
      <c r="FR189" s="21">
        <f>EXP(-LN(2)/25)*FR188+(1-EXP(-LN(2)/25))/(LN(2)/25)*Calculateur!FM189*Calculateur!FO189*VLOOKUP('Données projet'!$B$16,Paramètres!$A$1:$I$89,3,0)*0.475*44/12</f>
        <v>0.17759339745050545</v>
      </c>
      <c r="FS189" s="21">
        <f>EXP(-LN(2)/2)*FS188+(1-EXP(-LN(2)/2))/(LN(2)/2)*FM189*FP189*VLOOKUP('Données projet'!$B$16,Paramètres!$A$1:$I$89,3,0)*0.475*44/12</f>
        <v>6.919459602541777E-23</v>
      </c>
      <c r="FT189" s="22">
        <f t="shared" si="184"/>
        <v>0.48435687757883161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293.33333333333974</v>
      </c>
      <c r="S190" s="59">
        <f ca="1">AVERAGE(OFFSET($R$3,0,0,'Données projet'!$E$9+1,1))-AVERAGE(OFFSET($H$3,0,0,'Données projet'!$E$9+1,1))</f>
        <v>401.06118089678654</v>
      </c>
      <c r="T190" s="59">
        <f t="shared" si="142"/>
        <v>399.58193819355591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6.2527760746888816E-13</v>
      </c>
      <c r="AJ190" s="13">
        <f>AI190*VLOOKUP('Données projet'!$B$10,Paramètres!$A$1:$I$89,3,0)*VLOOKUP('Données projet'!$B$10,Paramètres!$A$1:$I$89,5,0)</f>
        <v>3.9017322706058616E-13</v>
      </c>
      <c r="AK190" s="13">
        <f t="shared" si="164"/>
        <v>5.0025007393608908E-12</v>
      </c>
      <c r="AL190" s="20">
        <f t="shared" si="165"/>
        <v>9.3922404915174053E-12</v>
      </c>
      <c r="AM190" s="59">
        <f t="shared" si="113"/>
        <v>293.33333333334269</v>
      </c>
      <c r="AN190" s="59">
        <f ca="1">AVERAGE(OFFSET($AM$3,0,0,'Données projet'!$E$10+1,1))-AVERAGE(OFFSET($H$3,0,0,'Données projet'!$E$10+1,1))</f>
        <v>240.30073883588199</v>
      </c>
      <c r="AO190" s="59">
        <f t="shared" si="144"/>
        <v>263.20351282678843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0.31035423799486</v>
      </c>
      <c r="AV190" s="21">
        <f>EXP(-LN(2)/25)*AV189+(1-EXP(-LN(2)/25))/(LN(2)/25)*Calculateur!AQ190*Calculateur!AS190*VLOOKUP('Données projet'!$B$10,Paramètres!$A$1:$I$89,3,0)*0.475*44/12</f>
        <v>0.26751147927591234</v>
      </c>
      <c r="AW190" s="21">
        <f>EXP(-LN(2)/2)*AW189+(1-EXP(-LN(2)/2))/(LN(2)/2)*AQ190*AT190*VLOOKUP('Données projet'!$B$10,Paramètres!$A$1:$I$89,3,0)*0.475*44/12</f>
        <v>4.7238837416557271E-23</v>
      </c>
      <c r="AX190" s="21">
        <f t="shared" si="166"/>
        <v>0.57786571727077241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-1.0936673788819462E-13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364.67510777943329</v>
      </c>
      <c r="BJ190" s="59">
        <f t="shared" si="146"/>
        <v>352.13878061387169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0.39473179644971285</v>
      </c>
      <c r="BQ190" s="21">
        <f>EXP(-LN(2)/25)*BQ189+(1-EXP(-LN(2)/25))/(LN(2)/25)*Calculateur!BL190*Calculateur!BN190*VLOOKUP('Données projet'!$B$11,Paramètres!$A$1:$I$89,3,0)*0.475*44/12</f>
        <v>0.23183112059516409</v>
      </c>
      <c r="BR190" s="21">
        <f>EXP(-LN(2)/2)*BR189+(1-EXP(-LN(2)/2))/(LN(2)/2)*BL190*BO190*VLOOKUP('Données projet'!$B$11,Paramètres!$A$1:$I$89,3,0)*0.475*44/12</f>
        <v>6.4277684616759882E-23</v>
      </c>
      <c r="BS190" s="22">
        <f t="shared" si="169"/>
        <v>0.62656291704487699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-5.3205440053716299E-14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252.98248842635206</v>
      </c>
      <c r="CE190" s="59">
        <f t="shared" si="148"/>
        <v>207.11938580878308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0.13990879889607577</v>
      </c>
      <c r="CL190" s="21">
        <f>EXP(-LN(2)/25)*CL189+(1-EXP(-LN(2)/25))/(LN(2)/25)*Calculateur!CG190*Calculateur!CI190*VLOOKUP('Données projet'!$B$12,Paramètres!$A$1:$I$89,3,0)*0.475*44/12</f>
        <v>0.10108890435022565</v>
      </c>
      <c r="CM190" s="21">
        <f>EXP(-LN(2)/2)*CM189+(1-EXP(-LN(2)/2))/(LN(2)/2)*CG190*CJ190*VLOOKUP('Données projet'!$B$12,Paramètres!$A$1:$I$89,3,0)*0.475*44/12</f>
        <v>2.3003557539225697E-23</v>
      </c>
      <c r="CN190" s="22">
        <f t="shared" si="172"/>
        <v>0.24099770324630143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-5.6843418860808015E-13</v>
      </c>
      <c r="CU190" s="17">
        <f>CT190*VLOOKUP('Données projet'!$B$13,Paramètres!$A$1:$I$89,3,0)*VLOOKUP('Données projet'!$B$13,Paramètres!$A$1:$I$89,5,0)</f>
        <v>-3.177547114319168E-13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356.67698551373468</v>
      </c>
      <c r="CZ190" s="59">
        <f t="shared" si="150"/>
        <v>353.21836615408171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0.20388549246051227</v>
      </c>
      <c r="DG190" s="21">
        <f>EXP(-LN(2)/25)*DG189+(1-EXP(-LN(2)/25))/(LN(2)/25)*Calculateur!DB190*Calculateur!DD190*VLOOKUP('Données projet'!$B$13,Paramètres!$A$1:$I$89,3,0)*0.475*44/12</f>
        <v>0.3882838931007061</v>
      </c>
      <c r="DH190" s="21">
        <f>EXP(-LN(2)/2)*DH189+(1-EXP(-LN(2)/2))/(LN(2)/2)*DB190*DE190*VLOOKUP('Données projet'!$B$13,Paramètres!$A$1:$I$89,3,0)*0.475*44/12</f>
        <v>7.6089331047337764E-23</v>
      </c>
      <c r="DI190" s="22">
        <f t="shared" si="175"/>
        <v>0.59216938556121834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-2.7193891583010558E-13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247.30892363953825</v>
      </c>
      <c r="DU190" s="59">
        <f t="shared" si="152"/>
        <v>248.38414731596578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0.16535215687199215</v>
      </c>
      <c r="EC190" s="21">
        <f>EXP(-LN(2)/2)*EC189+(1-EXP(-LN(2)/2))/(LN(2)/2)*DW190*DZ190*VLOOKUP('Données projet'!$B$14,Paramètres!$A$1:$I$89,3,0)*0.475*44/12</f>
        <v>5.5517686884517286E-23</v>
      </c>
      <c r="ED190" s="22">
        <f t="shared" si="178"/>
        <v>0.16535215687199215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-4.5474735088646412E-13</v>
      </c>
      <c r="EK190" s="17">
        <f>EJ190*VLOOKUP('Données projet'!$B$15,Paramètres!$A$1:$I$89,3,0)*VLOOKUP('Données projet'!$B$15,Paramètres!$A$1:$I$89,5,0)</f>
        <v>-2.7193891583010558E-13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247.30892363953825</v>
      </c>
      <c r="EP190" s="59">
        <f t="shared" si="154"/>
        <v>248.38414731596578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0.16535215687199215</v>
      </c>
      <c r="EX190" s="21">
        <f>EXP(-LN(2)/2)*EX189+(1-EXP(-LN(2)/2))/(LN(2)/2)*ER190*EU190*VLOOKUP('Données projet'!$B$15,Paramètres!$A$1:$I$89,3,0)*0.475*44/12</f>
        <v>5.5517686884517286E-23</v>
      </c>
      <c r="EY190" s="22">
        <f t="shared" si="181"/>
        <v>0.16535215687199215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6.8212102632969618E-13</v>
      </c>
      <c r="FF190" s="17">
        <f>FE190*VLOOKUP('Données projet'!$B$16,Paramètres!$A$1:$I$89,3,0)*VLOOKUP('Données projet'!$B$16,Paramètres!$A$1:$I$89,5,0)</f>
        <v>3.2810021366458383E-13</v>
      </c>
      <c r="FG190" s="13">
        <f t="shared" si="182"/>
        <v>4.2923528923937213E-12</v>
      </c>
      <c r="FH190" s="20">
        <f t="shared" si="183"/>
        <v>8.0472891597182151E-12</v>
      </c>
      <c r="FI190" s="59">
        <f t="shared" si="131"/>
        <v>293.33333333334139</v>
      </c>
      <c r="FJ190" s="59">
        <f ca="1">AVERAGE(OFFSET($FI$3,0,0,'Données projet'!$E$16+1,1))-AVERAGE(OFFSET($H$3,0,0,'Données projet'!$E$16+1,1))</f>
        <v>322.54393676667081</v>
      </c>
      <c r="FK190" s="59">
        <f t="shared" si="156"/>
        <v>296.73904998640018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0.30074803539025724</v>
      </c>
      <c r="FR190" s="21">
        <f>EXP(-LN(2)/25)*FR189+(1-EXP(-LN(2)/25))/(LN(2)/25)*Calculateur!FM190*Calculateur!FO190*VLOOKUP('Données projet'!$B$16,Paramètres!$A$1:$I$89,3,0)*0.475*44/12</f>
        <v>0.1727370966579905</v>
      </c>
      <c r="FS190" s="21">
        <f>EXP(-LN(2)/2)*FS189+(1-EXP(-LN(2)/2))/(LN(2)/2)*FM190*FP190*VLOOKUP('Données projet'!$B$16,Paramètres!$A$1:$I$89,3,0)*0.475*44/12</f>
        <v>4.8927968071036635E-23</v>
      </c>
      <c r="FT190" s="22">
        <f t="shared" si="184"/>
        <v>0.47348513204824771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293.33333333333974</v>
      </c>
      <c r="S191" s="59">
        <f ca="1">AVERAGE(OFFSET($R$3,0,0,'Données projet'!$E$9+1,1))-AVERAGE(OFFSET($H$3,0,0,'Données projet'!$E$9+1,1))</f>
        <v>401.06118089678654</v>
      </c>
      <c r="T191" s="59">
        <f t="shared" si="142"/>
        <v>399.58193819355591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6.2527760746888816E-13</v>
      </c>
      <c r="AJ191" s="13">
        <f>AI191*VLOOKUP('Données projet'!$B$10,Paramètres!$A$1:$I$89,3,0)*VLOOKUP('Données projet'!$B$10,Paramètres!$A$1:$I$89,5,0)</f>
        <v>3.9017322706058616E-13</v>
      </c>
      <c r="AK191" s="13">
        <f t="shared" si="164"/>
        <v>5.0025007393608908E-12</v>
      </c>
      <c r="AL191" s="20">
        <f t="shared" si="165"/>
        <v>9.3922404915174053E-12</v>
      </c>
      <c r="AM191" s="59">
        <f t="shared" si="113"/>
        <v>293.33333333334269</v>
      </c>
      <c r="AN191" s="59">
        <f ca="1">AVERAGE(OFFSET($AM$3,0,0,'Données projet'!$E$10+1,1))-AVERAGE(OFFSET($H$3,0,0,'Données projet'!$E$10+1,1))</f>
        <v>240.30073883588199</v>
      </c>
      <c r="AO191" s="59">
        <f t="shared" si="144"/>
        <v>263.20351282678843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0.30426838068517442</v>
      </c>
      <c r="AV191" s="21">
        <f>EXP(-LN(2)/25)*AV190+(1-EXP(-LN(2)/25))/(LN(2)/25)*Calculateur!AQ191*Calculateur!AS191*VLOOKUP('Données projet'!$B$10,Paramètres!$A$1:$I$89,3,0)*0.475*44/12</f>
        <v>0.26019636380729522</v>
      </c>
      <c r="AW191" s="21">
        <f>EXP(-LN(2)/2)*AW190+(1-EXP(-LN(2)/2))/(LN(2)/2)*AQ191*AT191*VLOOKUP('Données projet'!$B$10,Paramètres!$A$1:$I$89,3,0)*0.475*44/12</f>
        <v>3.3402902272616456E-23</v>
      </c>
      <c r="AX191" s="21">
        <f t="shared" si="166"/>
        <v>0.56446474449246964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-1.0936673788819462E-13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364.67510777943329</v>
      </c>
      <c r="BJ191" s="59">
        <f t="shared" si="146"/>
        <v>352.13878061387169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0.38699134668395646</v>
      </c>
      <c r="BQ191" s="21">
        <f>EXP(-LN(2)/25)*BQ190+(1-EXP(-LN(2)/25))/(LN(2)/25)*Calculateur!BL191*Calculateur!BN191*VLOOKUP('Données projet'!$B$11,Paramètres!$A$1:$I$89,3,0)*0.475*44/12</f>
        <v>0.22549168641102055</v>
      </c>
      <c r="BR191" s="21">
        <f>EXP(-LN(2)/2)*BR190+(1-EXP(-LN(2)/2))/(LN(2)/2)*BL191*BO191*VLOOKUP('Données projet'!$B$11,Paramètres!$A$1:$I$89,3,0)*0.475*44/12</f>
        <v>4.5451186671481143E-23</v>
      </c>
      <c r="BS191" s="22">
        <f t="shared" si="169"/>
        <v>0.61248303309497698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-5.3205440053716299E-14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252.98248842635206</v>
      </c>
      <c r="CE191" s="59">
        <f t="shared" si="148"/>
        <v>207.11938580878308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0.13716527268566484</v>
      </c>
      <c r="CL191" s="21">
        <f>EXP(-LN(2)/25)*CL190+(1-EXP(-LN(2)/25))/(LN(2)/25)*Calculateur!CG191*Calculateur!CI191*VLOOKUP('Données projet'!$B$12,Paramètres!$A$1:$I$89,3,0)*0.475*44/12</f>
        <v>9.8324622944734291E-2</v>
      </c>
      <c r="CM191" s="21">
        <f>EXP(-LN(2)/2)*CM190+(1-EXP(-LN(2)/2))/(LN(2)/2)*CG191*CJ191*VLOOKUP('Données projet'!$B$12,Paramètres!$A$1:$I$89,3,0)*0.475*44/12</f>
        <v>1.626597152740142E-23</v>
      </c>
      <c r="CN191" s="22">
        <f t="shared" si="172"/>
        <v>0.23548989563039913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-5.6843418860808015E-13</v>
      </c>
      <c r="CU191" s="17">
        <f>CT191*VLOOKUP('Données projet'!$B$13,Paramètres!$A$1:$I$89,3,0)*VLOOKUP('Données projet'!$B$13,Paramètres!$A$1:$I$89,5,0)</f>
        <v>-3.177547114319168E-13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356.67698551373468</v>
      </c>
      <c r="CZ191" s="59">
        <f t="shared" si="150"/>
        <v>353.21836615408171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0.19988742231123272</v>
      </c>
      <c r="DG191" s="21">
        <f>EXP(-LN(2)/25)*DG190+(1-EXP(-LN(2)/25))/(LN(2)/25)*Calculateur!DB191*Calculateur!DD191*VLOOKUP('Données projet'!$B$13,Paramètres!$A$1:$I$89,3,0)*0.475*44/12</f>
        <v>0.3776662496249048</v>
      </c>
      <c r="DH191" s="21">
        <f>EXP(-LN(2)/2)*DH190+(1-EXP(-LN(2)/2))/(LN(2)/2)*DB191*DE191*VLOOKUP('Données projet'!$B$13,Paramètres!$A$1:$I$89,3,0)*0.475*44/12</f>
        <v>5.3803281959520642E-23</v>
      </c>
      <c r="DI191" s="22">
        <f t="shared" si="175"/>
        <v>0.57755367193613749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-2.7193891583010558E-13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247.30892363953825</v>
      </c>
      <c r="DU191" s="59">
        <f t="shared" si="152"/>
        <v>248.38414731596578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0.16083059344683551</v>
      </c>
      <c r="EC191" s="21">
        <f>EXP(-LN(2)/2)*EC190+(1-EXP(-LN(2)/2))/(LN(2)/2)*DW191*DZ191*VLOOKUP('Données projet'!$B$14,Paramètres!$A$1:$I$89,3,0)*0.475*44/12</f>
        <v>3.9256932871833625E-23</v>
      </c>
      <c r="ED191" s="22">
        <f t="shared" si="178"/>
        <v>0.16083059344683551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-4.5474735088646412E-13</v>
      </c>
      <c r="EK191" s="17">
        <f>EJ191*VLOOKUP('Données projet'!$B$15,Paramètres!$A$1:$I$89,3,0)*VLOOKUP('Données projet'!$B$15,Paramètres!$A$1:$I$89,5,0)</f>
        <v>-2.7193891583010558E-13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247.30892363953825</v>
      </c>
      <c r="EP191" s="59">
        <f t="shared" si="154"/>
        <v>248.38414731596578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0.16083059344683551</v>
      </c>
      <c r="EX191" s="21">
        <f>EXP(-LN(2)/2)*EX190+(1-EXP(-LN(2)/2))/(LN(2)/2)*ER191*EU191*VLOOKUP('Données projet'!$B$15,Paramètres!$A$1:$I$89,3,0)*0.475*44/12</f>
        <v>3.9256932871833625E-23</v>
      </c>
      <c r="EY191" s="22">
        <f t="shared" si="181"/>
        <v>0.16083059344683551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6.8212102632969618E-13</v>
      </c>
      <c r="FF191" s="17">
        <f>FE191*VLOOKUP('Données projet'!$B$16,Paramètres!$A$1:$I$89,3,0)*VLOOKUP('Données projet'!$B$16,Paramètres!$A$1:$I$89,5,0)</f>
        <v>3.2810021366458383E-13</v>
      </c>
      <c r="FG191" s="13">
        <f t="shared" si="182"/>
        <v>4.2923528923937213E-12</v>
      </c>
      <c r="FH191" s="20">
        <f t="shared" si="183"/>
        <v>8.0472891597182151E-12</v>
      </c>
      <c r="FI191" s="59">
        <f t="shared" si="131"/>
        <v>293.33333333334139</v>
      </c>
      <c r="FJ191" s="59">
        <f ca="1">AVERAGE(OFFSET($FI$3,0,0,'Données projet'!$E$16+1,1))-AVERAGE(OFFSET($H$3,0,0,'Données projet'!$E$16+1,1))</f>
        <v>322.54393676667081</v>
      </c>
      <c r="FK191" s="59">
        <f t="shared" si="156"/>
        <v>296.73904998640018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0.29485054985444287</v>
      </c>
      <c r="FR191" s="21">
        <f>EXP(-LN(2)/25)*FR190+(1-EXP(-LN(2)/25))/(LN(2)/25)*Calculateur!FM191*Calculateur!FO191*VLOOKUP('Données projet'!$B$16,Paramètres!$A$1:$I$89,3,0)*0.475*44/12</f>
        <v>0.16801359166602864</v>
      </c>
      <c r="FS191" s="21">
        <f>EXP(-LN(2)/2)*FS190+(1-EXP(-LN(2)/2))/(LN(2)/2)*FM191*FP191*VLOOKUP('Données projet'!$B$16,Paramètres!$A$1:$I$89,3,0)*0.475*44/12</f>
        <v>3.4597298012708885E-23</v>
      </c>
      <c r="FT191" s="22">
        <f t="shared" si="184"/>
        <v>0.46286414152047151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293.33333333333974</v>
      </c>
      <c r="S192" s="59">
        <f ca="1">AVERAGE(OFFSET($R$3,0,0,'Données projet'!$E$9+1,1))-AVERAGE(OFFSET($H$3,0,0,'Données projet'!$E$9+1,1))</f>
        <v>401.06118089678654</v>
      </c>
      <c r="T192" s="59">
        <f t="shared" si="142"/>
        <v>399.58193819355591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6.2527760746888816E-13</v>
      </c>
      <c r="AJ192" s="13">
        <f>AI192*VLOOKUP('Données projet'!$B$10,Paramètres!$A$1:$I$89,3,0)*VLOOKUP('Données projet'!$B$10,Paramètres!$A$1:$I$89,5,0)</f>
        <v>3.9017322706058616E-13</v>
      </c>
      <c r="AK192" s="13">
        <f t="shared" si="164"/>
        <v>5.0025007393608908E-12</v>
      </c>
      <c r="AL192" s="20">
        <f t="shared" si="165"/>
        <v>9.3922404915174053E-12</v>
      </c>
      <c r="AM192" s="59">
        <f t="shared" si="113"/>
        <v>293.33333333334269</v>
      </c>
      <c r="AN192" s="59">
        <f ca="1">AVERAGE(OFFSET($AM$3,0,0,'Données projet'!$E$10+1,1))-AVERAGE(OFFSET($H$3,0,0,'Données projet'!$E$10+1,1))</f>
        <v>240.30073883588199</v>
      </c>
      <c r="AO192" s="59">
        <f t="shared" si="144"/>
        <v>263.20351282678843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0.29830186332532532</v>
      </c>
      <c r="AV192" s="21">
        <f>EXP(-LN(2)/25)*AV191+(1-EXP(-LN(2)/25))/(LN(2)/25)*Calculateur!AQ192*Calculateur!AS192*VLOOKUP('Données projet'!$B$10,Paramètres!$A$1:$I$89,3,0)*0.475*44/12</f>
        <v>0.25308128055585266</v>
      </c>
      <c r="AW192" s="21">
        <f>EXP(-LN(2)/2)*AW191+(1-EXP(-LN(2)/2))/(LN(2)/2)*AQ192*AT192*VLOOKUP('Données projet'!$B$10,Paramètres!$A$1:$I$89,3,0)*0.475*44/12</f>
        <v>2.3619418708278635E-23</v>
      </c>
      <c r="AX192" s="21">
        <f t="shared" si="166"/>
        <v>0.55138314388117804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-1.0936673788819462E-13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364.67510777943329</v>
      </c>
      <c r="BJ192" s="59">
        <f t="shared" si="146"/>
        <v>352.13878061387169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0.3794026824168984</v>
      </c>
      <c r="BQ192" s="21">
        <f>EXP(-LN(2)/25)*BQ191+(1-EXP(-LN(2)/25))/(LN(2)/25)*Calculateur!BL192*Calculateur!BN192*VLOOKUP('Données projet'!$B$11,Paramètres!$A$1:$I$89,3,0)*0.475*44/12</f>
        <v>0.21932560438801876</v>
      </c>
      <c r="BR192" s="21">
        <f>EXP(-LN(2)/2)*BR191+(1-EXP(-LN(2)/2))/(LN(2)/2)*BL192*BO192*VLOOKUP('Données projet'!$B$11,Paramètres!$A$1:$I$89,3,0)*0.475*44/12</f>
        <v>3.2138842308379941E-23</v>
      </c>
      <c r="BS192" s="22">
        <f t="shared" si="169"/>
        <v>0.59872828680491719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-5.3205440053716299E-14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252.98248842635206</v>
      </c>
      <c r="CE192" s="59">
        <f t="shared" si="148"/>
        <v>207.11938580878308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0.13447554535085429</v>
      </c>
      <c r="CL192" s="21">
        <f>EXP(-LN(2)/25)*CL191+(1-EXP(-LN(2)/25))/(LN(2)/25)*Calculateur!CG192*Calculateur!CI192*VLOOKUP('Données projet'!$B$12,Paramètres!$A$1:$I$89,3,0)*0.475*44/12</f>
        <v>9.5635930959643331E-2</v>
      </c>
      <c r="CM192" s="21">
        <f>EXP(-LN(2)/2)*CM191+(1-EXP(-LN(2)/2))/(LN(2)/2)*CG192*CJ192*VLOOKUP('Données projet'!$B$12,Paramètres!$A$1:$I$89,3,0)*0.475*44/12</f>
        <v>1.1501778769612849E-23</v>
      </c>
      <c r="CN192" s="22">
        <f t="shared" si="172"/>
        <v>0.23011147631049761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-5.6843418860808015E-13</v>
      </c>
      <c r="CU192" s="17">
        <f>CT192*VLOOKUP('Données projet'!$B$13,Paramètres!$A$1:$I$89,3,0)*VLOOKUP('Données projet'!$B$13,Paramètres!$A$1:$I$89,5,0)</f>
        <v>-3.177547114319168E-13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356.67698551373468</v>
      </c>
      <c r="CZ192" s="59">
        <f t="shared" si="150"/>
        <v>353.21836615408171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0.19596775187899851</v>
      </c>
      <c r="DG192" s="21">
        <f>EXP(-LN(2)/25)*DG191+(1-EXP(-LN(2)/25))/(LN(2)/25)*Calculateur!DB192*Calculateur!DD192*VLOOKUP('Données projet'!$B$13,Paramètres!$A$1:$I$89,3,0)*0.475*44/12</f>
        <v>0.36733894616830687</v>
      </c>
      <c r="DH192" s="21">
        <f>EXP(-LN(2)/2)*DH191+(1-EXP(-LN(2)/2))/(LN(2)/2)*DB192*DE192*VLOOKUP('Données projet'!$B$13,Paramètres!$A$1:$I$89,3,0)*0.475*44/12</f>
        <v>3.8044665523668882E-23</v>
      </c>
      <c r="DI192" s="22">
        <f t="shared" si="175"/>
        <v>0.56330669804730538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-2.7193891583010558E-13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247.30892363953825</v>
      </c>
      <c r="DU192" s="59">
        <f t="shared" si="152"/>
        <v>248.38414731596578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0.15643267241131847</v>
      </c>
      <c r="EC192" s="21">
        <f>EXP(-LN(2)/2)*EC191+(1-EXP(-LN(2)/2))/(LN(2)/2)*DW192*DZ192*VLOOKUP('Données projet'!$B$14,Paramètres!$A$1:$I$89,3,0)*0.475*44/12</f>
        <v>2.7758843442258643E-23</v>
      </c>
      <c r="ED192" s="22">
        <f t="shared" si="178"/>
        <v>0.15643267241131847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-4.5474735088646412E-13</v>
      </c>
      <c r="EK192" s="17">
        <f>EJ192*VLOOKUP('Données projet'!$B$15,Paramètres!$A$1:$I$89,3,0)*VLOOKUP('Données projet'!$B$15,Paramètres!$A$1:$I$89,5,0)</f>
        <v>-2.7193891583010558E-13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247.30892363953825</v>
      </c>
      <c r="EP192" s="59">
        <f t="shared" si="154"/>
        <v>248.38414731596578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0.15643267241131847</v>
      </c>
      <c r="EX192" s="21">
        <f>EXP(-LN(2)/2)*EX191+(1-EXP(-LN(2)/2))/(LN(2)/2)*ER192*EU192*VLOOKUP('Données projet'!$B$15,Paramètres!$A$1:$I$89,3,0)*0.475*44/12</f>
        <v>2.7758843442258643E-23</v>
      </c>
      <c r="EY192" s="22">
        <f t="shared" si="181"/>
        <v>0.15643267241131847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6.8212102632969618E-13</v>
      </c>
      <c r="FF192" s="17">
        <f>FE192*VLOOKUP('Données projet'!$B$16,Paramètres!$A$1:$I$89,3,0)*VLOOKUP('Données projet'!$B$16,Paramètres!$A$1:$I$89,5,0)</f>
        <v>3.2810021366458383E-13</v>
      </c>
      <c r="FG192" s="13">
        <f t="shared" si="182"/>
        <v>4.2923528923937213E-12</v>
      </c>
      <c r="FH192" s="20">
        <f t="shared" si="183"/>
        <v>8.0472891597182151E-12</v>
      </c>
      <c r="FI192" s="59">
        <f t="shared" si="131"/>
        <v>293.33333333334139</v>
      </c>
      <c r="FJ192" s="59">
        <f ca="1">AVERAGE(OFFSET($FI$3,0,0,'Données projet'!$E$16+1,1))-AVERAGE(OFFSET($H$3,0,0,'Données projet'!$E$16+1,1))</f>
        <v>322.54393676667081</v>
      </c>
      <c r="FK192" s="59">
        <f t="shared" si="156"/>
        <v>296.73904998640018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0.2890687104128748</v>
      </c>
      <c r="FR192" s="21">
        <f>EXP(-LN(2)/25)*FR191+(1-EXP(-LN(2)/25))/(LN(2)/25)*Calculateur!FM192*Calculateur!FO192*VLOOKUP('Données projet'!$B$16,Paramètres!$A$1:$I$89,3,0)*0.475*44/12</f>
        <v>0.1634192511664703</v>
      </c>
      <c r="FS192" s="21">
        <f>EXP(-LN(2)/2)*FS191+(1-EXP(-LN(2)/2))/(LN(2)/2)*FM192*FP192*VLOOKUP('Données projet'!$B$16,Paramètres!$A$1:$I$89,3,0)*0.475*44/12</f>
        <v>2.4463984035518318E-23</v>
      </c>
      <c r="FT192" s="22">
        <f t="shared" si="184"/>
        <v>0.45248796157934512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293.33333333333974</v>
      </c>
      <c r="S193" s="59">
        <f ca="1">AVERAGE(OFFSET($R$3,0,0,'Données projet'!$E$9+1,1))-AVERAGE(OFFSET($H$3,0,0,'Données projet'!$E$9+1,1))</f>
        <v>401.06118089678654</v>
      </c>
      <c r="T193" s="59">
        <f t="shared" si="142"/>
        <v>399.58193819355591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6.2527760746888816E-13</v>
      </c>
      <c r="AJ193" s="13">
        <f>AI193*VLOOKUP('Données projet'!$B$10,Paramètres!$A$1:$I$89,3,0)*VLOOKUP('Données projet'!$B$10,Paramètres!$A$1:$I$89,5,0)</f>
        <v>3.9017322706058616E-13</v>
      </c>
      <c r="AK193" s="13">
        <f t="shared" si="164"/>
        <v>5.0025007393608908E-12</v>
      </c>
      <c r="AL193" s="20">
        <f t="shared" si="165"/>
        <v>9.3922404915174053E-12</v>
      </c>
      <c r="AM193" s="59">
        <f t="shared" si="113"/>
        <v>293.33333333334269</v>
      </c>
      <c r="AN193" s="59">
        <f ca="1">AVERAGE(OFFSET($AM$3,0,0,'Données projet'!$E$10+1,1))-AVERAGE(OFFSET($H$3,0,0,'Données projet'!$E$10+1,1))</f>
        <v>240.30073883588199</v>
      </c>
      <c r="AO193" s="59">
        <f t="shared" si="144"/>
        <v>263.20351282678843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0.2924523457316866</v>
      </c>
      <c r="AV193" s="21">
        <f>EXP(-LN(2)/25)*AV192+(1-EXP(-LN(2)/25))/(LN(2)/25)*Calculateur!AQ193*Calculateur!AS193*VLOOKUP('Données projet'!$B$10,Paramètres!$A$1:$I$89,3,0)*0.475*44/12</f>
        <v>0.24616075963008674</v>
      </c>
      <c r="AW193" s="21">
        <f>EXP(-LN(2)/2)*AW192+(1-EXP(-LN(2)/2))/(LN(2)/2)*AQ193*AT193*VLOOKUP('Données projet'!$B$10,Paramètres!$A$1:$I$89,3,0)*0.475*44/12</f>
        <v>1.6701451136308228E-23</v>
      </c>
      <c r="AX193" s="21">
        <f t="shared" si="166"/>
        <v>0.53861310536177331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-1.0936673788819462E-13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364.67510777943329</v>
      </c>
      <c r="BJ193" s="59">
        <f t="shared" si="146"/>
        <v>352.13878061387169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0.37196282722748919</v>
      </c>
      <c r="BQ193" s="21">
        <f>EXP(-LN(2)/25)*BQ192+(1-EXP(-LN(2)/25))/(LN(2)/25)*Calculateur!BL193*Calculateur!BN193*VLOOKUP('Données projet'!$B$11,Paramètres!$A$1:$I$89,3,0)*0.475*44/12</f>
        <v>0.21332813420219612</v>
      </c>
      <c r="BR193" s="21">
        <f>EXP(-LN(2)/2)*BR192+(1-EXP(-LN(2)/2))/(LN(2)/2)*BL193*BO193*VLOOKUP('Données projet'!$B$11,Paramètres!$A$1:$I$89,3,0)*0.475*44/12</f>
        <v>2.2725593335740571E-23</v>
      </c>
      <c r="BS193" s="22">
        <f t="shared" si="169"/>
        <v>0.58529096142968529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-5.3205440053716299E-14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252.98248842635206</v>
      </c>
      <c r="CE193" s="59">
        <f t="shared" si="148"/>
        <v>207.11938580878308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0.13183856192850771</v>
      </c>
      <c r="CL193" s="21">
        <f>EXP(-LN(2)/25)*CL192+(1-EXP(-LN(2)/25))/(LN(2)/25)*Calculateur!CG193*Calculateur!CI193*VLOOKUP('Données projet'!$B$12,Paramètres!$A$1:$I$89,3,0)*0.475*44/12</f>
        <v>9.3020761398276849E-2</v>
      </c>
      <c r="CM193" s="21">
        <f>EXP(-LN(2)/2)*CM192+(1-EXP(-LN(2)/2))/(LN(2)/2)*CG193*CJ193*VLOOKUP('Données projet'!$B$12,Paramètres!$A$1:$I$89,3,0)*0.475*44/12</f>
        <v>8.1329857637007102E-24</v>
      </c>
      <c r="CN193" s="22">
        <f t="shared" si="172"/>
        <v>0.22485932332678454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-5.6843418860808015E-13</v>
      </c>
      <c r="CU193" s="17">
        <f>CT193*VLOOKUP('Données projet'!$B$13,Paramètres!$A$1:$I$89,3,0)*VLOOKUP('Données projet'!$B$13,Paramètres!$A$1:$I$89,5,0)</f>
        <v>-3.177547114319168E-13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356.67698551373468</v>
      </c>
      <c r="CZ193" s="59">
        <f t="shared" si="150"/>
        <v>353.21836615408171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0.19212494379317754</v>
      </c>
      <c r="DG193" s="21">
        <f>EXP(-LN(2)/25)*DG192+(1-EXP(-LN(2)/25))/(LN(2)/25)*Calculateur!DB193*Calculateur!DD193*VLOOKUP('Données projet'!$B$13,Paramètres!$A$1:$I$89,3,0)*0.475*44/12</f>
        <v>0.35729404336781889</v>
      </c>
      <c r="DH193" s="21">
        <f>EXP(-LN(2)/2)*DH192+(1-EXP(-LN(2)/2))/(LN(2)/2)*DB193*DE193*VLOOKUP('Données projet'!$B$13,Paramètres!$A$1:$I$89,3,0)*0.475*44/12</f>
        <v>2.6901640979760321E-23</v>
      </c>
      <c r="DI193" s="22">
        <f t="shared" si="175"/>
        <v>0.54941898716099646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-2.7193891583010558E-13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247.30892363953825</v>
      </c>
      <c r="DU193" s="59">
        <f t="shared" si="152"/>
        <v>248.38414731596578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0.15215501275779425</v>
      </c>
      <c r="EC193" s="21">
        <f>EXP(-LN(2)/2)*EC192+(1-EXP(-LN(2)/2))/(LN(2)/2)*DW193*DZ193*VLOOKUP('Données projet'!$B$14,Paramètres!$A$1:$I$89,3,0)*0.475*44/12</f>
        <v>1.9628466435916812E-23</v>
      </c>
      <c r="ED193" s="22">
        <f t="shared" si="178"/>
        <v>0.15215501275779425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-4.5474735088646412E-13</v>
      </c>
      <c r="EK193" s="17">
        <f>EJ193*VLOOKUP('Données projet'!$B$15,Paramètres!$A$1:$I$89,3,0)*VLOOKUP('Données projet'!$B$15,Paramètres!$A$1:$I$89,5,0)</f>
        <v>-2.7193891583010558E-13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247.30892363953825</v>
      </c>
      <c r="EP193" s="59">
        <f t="shared" si="154"/>
        <v>248.38414731596578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0.15215501275779425</v>
      </c>
      <c r="EX193" s="21">
        <f>EXP(-LN(2)/2)*EX192+(1-EXP(-LN(2)/2))/(LN(2)/2)*ER193*EU193*VLOOKUP('Données projet'!$B$15,Paramètres!$A$1:$I$89,3,0)*0.475*44/12</f>
        <v>1.9628466435916812E-23</v>
      </c>
      <c r="EY193" s="22">
        <f t="shared" si="181"/>
        <v>0.15215501275779425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6.8212102632969618E-13</v>
      </c>
      <c r="FF193" s="17">
        <f>FE193*VLOOKUP('Données projet'!$B$16,Paramètres!$A$1:$I$89,3,0)*VLOOKUP('Données projet'!$B$16,Paramètres!$A$1:$I$89,5,0)</f>
        <v>3.2810021366458383E-13</v>
      </c>
      <c r="FG193" s="13">
        <f t="shared" si="182"/>
        <v>4.2923528923937213E-12</v>
      </c>
      <c r="FH193" s="20">
        <f t="shared" si="183"/>
        <v>8.0472891597182151E-12</v>
      </c>
      <c r="FI193" s="59">
        <f t="shared" si="131"/>
        <v>293.33333333334139</v>
      </c>
      <c r="FJ193" s="59">
        <f ca="1">AVERAGE(OFFSET($FI$3,0,0,'Données projet'!$E$16+1,1))-AVERAGE(OFFSET($H$3,0,0,'Données projet'!$E$16+1,1))</f>
        <v>322.54393676667081</v>
      </c>
      <c r="FK193" s="59">
        <f t="shared" si="156"/>
        <v>296.73904998640018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0.28340024931618207</v>
      </c>
      <c r="FR193" s="21">
        <f>EXP(-LN(2)/25)*FR192+(1-EXP(-LN(2)/25))/(LN(2)/25)*Calculateur!FM193*Calculateur!FO193*VLOOKUP('Données projet'!$B$16,Paramètres!$A$1:$I$89,3,0)*0.475*44/12</f>
        <v>0.15895054314947824</v>
      </c>
      <c r="FS193" s="21">
        <f>EXP(-LN(2)/2)*FS192+(1-EXP(-LN(2)/2))/(LN(2)/2)*FM193*FP193*VLOOKUP('Données projet'!$B$16,Paramètres!$A$1:$I$89,3,0)*0.475*44/12</f>
        <v>1.7298649006354443E-23</v>
      </c>
      <c r="FT193" s="22">
        <f t="shared" si="184"/>
        <v>0.44235079246566034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293.33333333333974</v>
      </c>
      <c r="S194" s="59">
        <f ca="1">AVERAGE(OFFSET($R$3,0,0,'Données projet'!$E$9+1,1))-AVERAGE(OFFSET($H$3,0,0,'Données projet'!$E$9+1,1))</f>
        <v>401.06118089678654</v>
      </c>
      <c r="T194" s="59">
        <f t="shared" si="142"/>
        <v>399.58193819355591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6.2527760746888816E-13</v>
      </c>
      <c r="AJ194" s="13">
        <f>AI194*VLOOKUP('Données projet'!$B$10,Paramètres!$A$1:$I$89,3,0)*VLOOKUP('Données projet'!$B$10,Paramètres!$A$1:$I$89,5,0)</f>
        <v>3.9017322706058616E-13</v>
      </c>
      <c r="AK194" s="13">
        <f t="shared" si="164"/>
        <v>5.0025007393608908E-12</v>
      </c>
      <c r="AL194" s="20">
        <f t="shared" si="165"/>
        <v>9.3922404915174053E-12</v>
      </c>
      <c r="AM194" s="59">
        <f t="shared" si="113"/>
        <v>293.33333333334269</v>
      </c>
      <c r="AN194" s="59">
        <f ca="1">AVERAGE(OFFSET($AM$3,0,0,'Données projet'!$E$10+1,1))-AVERAGE(OFFSET($H$3,0,0,'Données projet'!$E$10+1,1))</f>
        <v>240.30073883588199</v>
      </c>
      <c r="AO194" s="59">
        <f t="shared" si="144"/>
        <v>263.20351282678843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0.28671753361020574</v>
      </c>
      <c r="AV194" s="21">
        <f>EXP(-LN(2)/25)*AV193+(1-EXP(-LN(2)/25))/(LN(2)/25)*Calculateur!AQ194*Calculateur!AS194*VLOOKUP('Données projet'!$B$10,Paramètres!$A$1:$I$89,3,0)*0.475*44/12</f>
        <v>0.23942948071297027</v>
      </c>
      <c r="AW194" s="21">
        <f>EXP(-LN(2)/2)*AW193+(1-EXP(-LN(2)/2))/(LN(2)/2)*AQ194*AT194*VLOOKUP('Données projet'!$B$10,Paramètres!$A$1:$I$89,3,0)*0.475*44/12</f>
        <v>1.1809709354139318E-23</v>
      </c>
      <c r="AX194" s="21">
        <f t="shared" si="166"/>
        <v>0.52614701432317601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-1.0936673788819462E-13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364.67510777943329</v>
      </c>
      <c r="BJ194" s="59">
        <f t="shared" si="146"/>
        <v>352.13878061387169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0.36466886306048069</v>
      </c>
      <c r="BQ194" s="21">
        <f>EXP(-LN(2)/25)*BQ193+(1-EXP(-LN(2)/25))/(LN(2)/25)*Calculateur!BL194*Calculateur!BN194*VLOOKUP('Données projet'!$B$11,Paramètres!$A$1:$I$89,3,0)*0.475*44/12</f>
        <v>0.20749466515399806</v>
      </c>
      <c r="BR194" s="21">
        <f>EXP(-LN(2)/2)*BR193+(1-EXP(-LN(2)/2))/(LN(2)/2)*BL194*BO194*VLOOKUP('Données projet'!$B$11,Paramètres!$A$1:$I$89,3,0)*0.475*44/12</f>
        <v>1.606942115418997E-23</v>
      </c>
      <c r="BS194" s="22">
        <f t="shared" si="169"/>
        <v>0.5721635282144788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-5.3205440053716299E-14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252.98248842635206</v>
      </c>
      <c r="CE194" s="59">
        <f t="shared" si="148"/>
        <v>207.11938580878308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0.12925328814267226</v>
      </c>
      <c r="CL194" s="21">
        <f>EXP(-LN(2)/25)*CL193+(1-EXP(-LN(2)/25))/(LN(2)/25)*Calculateur!CG194*Calculateur!CI194*VLOOKUP('Données projet'!$B$12,Paramètres!$A$1:$I$89,3,0)*0.475*44/12</f>
        <v>9.0477103786091723E-2</v>
      </c>
      <c r="CM194" s="21">
        <f>EXP(-LN(2)/2)*CM193+(1-EXP(-LN(2)/2))/(LN(2)/2)*CG194*CJ194*VLOOKUP('Données projet'!$B$12,Paramètres!$A$1:$I$89,3,0)*0.475*44/12</f>
        <v>5.7508893848064243E-24</v>
      </c>
      <c r="CN194" s="22">
        <f t="shared" si="172"/>
        <v>0.21973039192876398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-5.6843418860808015E-13</v>
      </c>
      <c r="CU194" s="17">
        <f>CT194*VLOOKUP('Données projet'!$B$13,Paramètres!$A$1:$I$89,3,0)*VLOOKUP('Données projet'!$B$13,Paramètres!$A$1:$I$89,5,0)</f>
        <v>-3.177547114319168E-13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356.67698551373468</v>
      </c>
      <c r="CZ194" s="59">
        <f t="shared" si="150"/>
        <v>353.21836615408171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0.18835749083003803</v>
      </c>
      <c r="DG194" s="21">
        <f>EXP(-LN(2)/25)*DG193+(1-EXP(-LN(2)/25))/(LN(2)/25)*Calculateur!DB194*Calculateur!DD194*VLOOKUP('Données projet'!$B$13,Paramètres!$A$1:$I$89,3,0)*0.475*44/12</f>
        <v>0.34752381896264872</v>
      </c>
      <c r="DH194" s="21">
        <f>EXP(-LN(2)/2)*DH193+(1-EXP(-LN(2)/2))/(LN(2)/2)*DB194*DE194*VLOOKUP('Données projet'!$B$13,Paramètres!$A$1:$I$89,3,0)*0.475*44/12</f>
        <v>1.9022332761834441E-23</v>
      </c>
      <c r="DI194" s="22">
        <f t="shared" si="175"/>
        <v>0.53588130979268678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-2.7193891583010558E-13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247.30892363953825</v>
      </c>
      <c r="DU194" s="59">
        <f t="shared" si="152"/>
        <v>248.38414731596578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0.14799432593244799</v>
      </c>
      <c r="EC194" s="21">
        <f>EXP(-LN(2)/2)*EC193+(1-EXP(-LN(2)/2))/(LN(2)/2)*DW194*DZ194*VLOOKUP('Données projet'!$B$14,Paramètres!$A$1:$I$89,3,0)*0.475*44/12</f>
        <v>1.3879421721129321E-23</v>
      </c>
      <c r="ED194" s="22">
        <f t="shared" si="178"/>
        <v>0.14799432593244799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-4.5474735088646412E-13</v>
      </c>
      <c r="EK194" s="17">
        <f>EJ194*VLOOKUP('Données projet'!$B$15,Paramètres!$A$1:$I$89,3,0)*VLOOKUP('Données projet'!$B$15,Paramètres!$A$1:$I$89,5,0)</f>
        <v>-2.7193891583010558E-13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247.30892363953825</v>
      </c>
      <c r="EP194" s="59">
        <f t="shared" si="154"/>
        <v>248.38414731596578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0.14799432593244799</v>
      </c>
      <c r="EX194" s="21">
        <f>EXP(-LN(2)/2)*EX193+(1-EXP(-LN(2)/2))/(LN(2)/2)*ER194*EU194*VLOOKUP('Données projet'!$B$15,Paramètres!$A$1:$I$89,3,0)*0.475*44/12</f>
        <v>1.3879421721129321E-23</v>
      </c>
      <c r="EY194" s="22">
        <f t="shared" si="181"/>
        <v>0.14799432593244799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6.8212102632969618E-13</v>
      </c>
      <c r="FF194" s="17">
        <f>FE194*VLOOKUP('Données projet'!$B$16,Paramètres!$A$1:$I$89,3,0)*VLOOKUP('Données projet'!$B$16,Paramètres!$A$1:$I$89,5,0)</f>
        <v>3.2810021366458383E-13</v>
      </c>
      <c r="FG194" s="13">
        <f t="shared" si="182"/>
        <v>4.2923528923937213E-12</v>
      </c>
      <c r="FH194" s="20">
        <f t="shared" si="183"/>
        <v>8.0472891597182151E-12</v>
      </c>
      <c r="FI194" s="59">
        <f t="shared" si="131"/>
        <v>293.33333333334139</v>
      </c>
      <c r="FJ194" s="59">
        <f ca="1">AVERAGE(OFFSET($FI$3,0,0,'Données projet'!$E$16+1,1))-AVERAGE(OFFSET($H$3,0,0,'Données projet'!$E$16+1,1))</f>
        <v>322.54393676667081</v>
      </c>
      <c r="FK194" s="59">
        <f t="shared" si="156"/>
        <v>296.73904998640018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0.27784294328417558</v>
      </c>
      <c r="FR194" s="21">
        <f>EXP(-LN(2)/25)*FR193+(1-EXP(-LN(2)/25))/(LN(2)/25)*Calculateur!FM194*Calculateur!FO194*VLOOKUP('Données projet'!$B$16,Paramètres!$A$1:$I$89,3,0)*0.475*44/12</f>
        <v>0.15460403218820998</v>
      </c>
      <c r="FS194" s="21">
        <f>EXP(-LN(2)/2)*FS193+(1-EXP(-LN(2)/2))/(LN(2)/2)*FM194*FP194*VLOOKUP('Données projet'!$B$16,Paramètres!$A$1:$I$89,3,0)*0.475*44/12</f>
        <v>1.2231992017759159E-23</v>
      </c>
      <c r="FT194" s="22">
        <f t="shared" si="184"/>
        <v>0.43244697547238553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293.33333333333974</v>
      </c>
      <c r="S195" s="59">
        <f ca="1">AVERAGE(OFFSET($R$3,0,0,'Données projet'!$E$9+1,1))-AVERAGE(OFFSET($H$3,0,0,'Données projet'!$E$9+1,1))</f>
        <v>401.06118089678654</v>
      </c>
      <c r="T195" s="59">
        <f t="shared" si="142"/>
        <v>399.58193819355591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6.2527760746888816E-13</v>
      </c>
      <c r="AJ195" s="13">
        <f>AI195*VLOOKUP('Données projet'!$B$10,Paramètres!$A$1:$I$89,3,0)*VLOOKUP('Données projet'!$B$10,Paramètres!$A$1:$I$89,5,0)</f>
        <v>3.9017322706058616E-13</v>
      </c>
      <c r="AK195" s="13">
        <f t="shared" si="164"/>
        <v>5.0025007393608908E-12</v>
      </c>
      <c r="AL195" s="20">
        <f t="shared" si="165"/>
        <v>9.3922404915174053E-12</v>
      </c>
      <c r="AM195" s="59">
        <f t="shared" si="113"/>
        <v>293.33333333334269</v>
      </c>
      <c r="AN195" s="59">
        <f ca="1">AVERAGE(OFFSET($AM$3,0,0,'Données projet'!$E$10+1,1))-AVERAGE(OFFSET($H$3,0,0,'Données projet'!$E$10+1,1))</f>
        <v>240.30073883588199</v>
      </c>
      <c r="AO195" s="59">
        <f t="shared" si="144"/>
        <v>263.20351282678843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0.28109517765653708</v>
      </c>
      <c r="AV195" s="21">
        <f>EXP(-LN(2)/25)*AV194+(1-EXP(-LN(2)/25))/(LN(2)/25)*Calculateur!AQ195*Calculateur!AS195*VLOOKUP('Données projet'!$B$10,Paramètres!$A$1:$I$89,3,0)*0.475*44/12</f>
        <v>0.23288226897182493</v>
      </c>
      <c r="AW195" s="21">
        <f>EXP(-LN(2)/2)*AW194+(1-EXP(-LN(2)/2))/(LN(2)/2)*AQ195*AT195*VLOOKUP('Données projet'!$B$10,Paramètres!$A$1:$I$89,3,0)*0.475*44/12</f>
        <v>8.3507255681541139E-24</v>
      </c>
      <c r="AX195" s="21">
        <f t="shared" si="166"/>
        <v>0.51397744662836198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-1.0936673788819462E-13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364.67510777943329</v>
      </c>
      <c r="BJ195" s="59">
        <f t="shared" si="146"/>
        <v>352.13878061387169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0.35751792908190838</v>
      </c>
      <c r="BQ195" s="21">
        <f>EXP(-LN(2)/25)*BQ194+(1-EXP(-LN(2)/25))/(LN(2)/25)*Calculateur!BL195*Calculateur!BN195*VLOOKUP('Données projet'!$B$11,Paramètres!$A$1:$I$89,3,0)*0.475*44/12</f>
        <v>0.20182071262369178</v>
      </c>
      <c r="BR195" s="21">
        <f>EXP(-LN(2)/2)*BR194+(1-EXP(-LN(2)/2))/(LN(2)/2)*BL195*BO195*VLOOKUP('Données projet'!$B$11,Paramètres!$A$1:$I$89,3,0)*0.475*44/12</f>
        <v>1.1362796667870286E-23</v>
      </c>
      <c r="BS195" s="22">
        <f t="shared" si="169"/>
        <v>0.5593386417056001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-5.3205440053716299E-14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252.98248842635206</v>
      </c>
      <c r="CE195" s="59">
        <f t="shared" si="148"/>
        <v>207.11938580878308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0.12671870999891574</v>
      </c>
      <c r="CL195" s="21">
        <f>EXP(-LN(2)/25)*CL194+(1-EXP(-LN(2)/25))/(LN(2)/25)*Calculateur!CG195*Calculateur!CI195*VLOOKUP('Données projet'!$B$12,Paramètres!$A$1:$I$89,3,0)*0.475*44/12</f>
        <v>8.8003002625076945E-2</v>
      </c>
      <c r="CM195" s="21">
        <f>EXP(-LN(2)/2)*CM194+(1-EXP(-LN(2)/2))/(LN(2)/2)*CG195*CJ195*VLOOKUP('Données projet'!$B$12,Paramètres!$A$1:$I$89,3,0)*0.475*44/12</f>
        <v>4.0664928818503551E-24</v>
      </c>
      <c r="CN195" s="22">
        <f t="shared" si="172"/>
        <v>0.2147217126239927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-5.6843418860808015E-13</v>
      </c>
      <c r="CU195" s="17">
        <f>CT195*VLOOKUP('Données projet'!$B$13,Paramètres!$A$1:$I$89,3,0)*VLOOKUP('Données projet'!$B$13,Paramètres!$A$1:$I$89,5,0)</f>
        <v>-3.177547114319168E-13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356.67698551373468</v>
      </c>
      <c r="CZ195" s="59">
        <f t="shared" si="150"/>
        <v>353.21836615408171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0.18466391532158627</v>
      </c>
      <c r="DG195" s="21">
        <f>EXP(-LN(2)/25)*DG194+(1-EXP(-LN(2)/25))/(LN(2)/25)*Calculateur!DB195*Calculateur!DD195*VLOOKUP('Données projet'!$B$13,Paramètres!$A$1:$I$89,3,0)*0.475*44/12</f>
        <v>0.33802076185763175</v>
      </c>
      <c r="DH195" s="21">
        <f>EXP(-LN(2)/2)*DH194+(1-EXP(-LN(2)/2))/(LN(2)/2)*DB195*DE195*VLOOKUP('Données projet'!$B$13,Paramètres!$A$1:$I$89,3,0)*0.475*44/12</f>
        <v>1.345082048988016E-23</v>
      </c>
      <c r="DI195" s="22">
        <f t="shared" si="175"/>
        <v>0.52268467717921796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-2.7193891583010558E-13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247.30892363953825</v>
      </c>
      <c r="DU195" s="59">
        <f t="shared" si="152"/>
        <v>248.38414731596578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0.14394741330714184</v>
      </c>
      <c r="EC195" s="21">
        <f>EXP(-LN(2)/2)*EC194+(1-EXP(-LN(2)/2))/(LN(2)/2)*DW195*DZ195*VLOOKUP('Données projet'!$B$14,Paramètres!$A$1:$I$89,3,0)*0.475*44/12</f>
        <v>9.8142332179584062E-24</v>
      </c>
      <c r="ED195" s="22">
        <f t="shared" si="178"/>
        <v>0.14394741330714184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-4.5474735088646412E-13</v>
      </c>
      <c r="EK195" s="17">
        <f>EJ195*VLOOKUP('Données projet'!$B$15,Paramètres!$A$1:$I$89,3,0)*VLOOKUP('Données projet'!$B$15,Paramètres!$A$1:$I$89,5,0)</f>
        <v>-2.7193891583010558E-13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247.30892363953825</v>
      </c>
      <c r="EP195" s="59">
        <f t="shared" si="154"/>
        <v>248.38414731596578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0.14394741330714184</v>
      </c>
      <c r="EX195" s="21">
        <f>EXP(-LN(2)/2)*EX194+(1-EXP(-LN(2)/2))/(LN(2)/2)*ER195*EU195*VLOOKUP('Données projet'!$B$15,Paramètres!$A$1:$I$89,3,0)*0.475*44/12</f>
        <v>9.8142332179584062E-24</v>
      </c>
      <c r="EY195" s="22">
        <f t="shared" si="181"/>
        <v>0.14394741330714184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6.8212102632969618E-13</v>
      </c>
      <c r="FF195" s="17">
        <f>FE195*VLOOKUP('Données projet'!$B$16,Paramètres!$A$1:$I$89,3,0)*VLOOKUP('Données projet'!$B$16,Paramètres!$A$1:$I$89,5,0)</f>
        <v>3.2810021366458383E-13</v>
      </c>
      <c r="FG195" s="13">
        <f t="shared" si="182"/>
        <v>4.2923528923937213E-12</v>
      </c>
      <c r="FH195" s="20">
        <f t="shared" si="183"/>
        <v>8.0472891597182151E-12</v>
      </c>
      <c r="FI195" s="59">
        <f t="shared" si="131"/>
        <v>293.33333333334139</v>
      </c>
      <c r="FJ195" s="59">
        <f ca="1">AVERAGE(OFFSET($FI$3,0,0,'Données projet'!$E$16+1,1))-AVERAGE(OFFSET($H$3,0,0,'Données projet'!$E$16+1,1))</f>
        <v>322.54393676667081</v>
      </c>
      <c r="FK195" s="59">
        <f t="shared" si="156"/>
        <v>296.73904998640018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0.2723946126338348</v>
      </c>
      <c r="FR195" s="21">
        <f>EXP(-LN(2)/25)*FR194+(1-EXP(-LN(2)/25))/(LN(2)/25)*Calculateur!FM195*Calculateur!FO195*VLOOKUP('Données projet'!$B$16,Paramètres!$A$1:$I$89,3,0)*0.475*44/12</f>
        <v>0.15037637679775068</v>
      </c>
      <c r="FS195" s="21">
        <f>EXP(-LN(2)/2)*FS194+(1-EXP(-LN(2)/2))/(LN(2)/2)*FM195*FP195*VLOOKUP('Données projet'!$B$16,Paramètres!$A$1:$I$89,3,0)*0.475*44/12</f>
        <v>8.6493245031772213E-24</v>
      </c>
      <c r="FT195" s="22">
        <f t="shared" si="184"/>
        <v>0.42277098943158548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293.33333333333974</v>
      </c>
      <c r="S196" s="59">
        <f ca="1">AVERAGE(OFFSET($R$3,0,0,'Données projet'!$E$9+1,1))-AVERAGE(OFFSET($H$3,0,0,'Données projet'!$E$9+1,1))</f>
        <v>401.06118089678654</v>
      </c>
      <c r="T196" s="59">
        <f t="shared" si="142"/>
        <v>399.58193819355591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6.2527760746888816E-13</v>
      </c>
      <c r="AJ196" s="13">
        <f>AI196*VLOOKUP('Données projet'!$B$10,Paramètres!$A$1:$I$89,3,0)*VLOOKUP('Données projet'!$B$10,Paramètres!$A$1:$I$89,5,0)</f>
        <v>3.9017322706058616E-13</v>
      </c>
      <c r="AK196" s="13">
        <f t="shared" si="164"/>
        <v>5.0025007393608908E-12</v>
      </c>
      <c r="AL196" s="20">
        <f t="shared" si="165"/>
        <v>9.3922404915174053E-12</v>
      </c>
      <c r="AM196" s="59">
        <f t="shared" ref="AM196:AM203" si="193">AL196+(AD196+AE196)*44/12</f>
        <v>293.33333333334269</v>
      </c>
      <c r="AN196" s="59">
        <f ca="1">AVERAGE(OFFSET($AM$3,0,0,'Données projet'!$E$10+1,1))-AVERAGE(OFFSET($H$3,0,0,'Données projet'!$E$10+1,1))</f>
        <v>240.30073883588199</v>
      </c>
      <c r="AO196" s="59">
        <f t="shared" si="144"/>
        <v>263.20351282678843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0.27558307267382137</v>
      </c>
      <c r="AV196" s="21">
        <f>EXP(-LN(2)/25)*AV195+(1-EXP(-LN(2)/25))/(LN(2)/25)*Calculateur!AQ196*Calculateur!AS196*VLOOKUP('Données projet'!$B$10,Paramètres!$A$1:$I$89,3,0)*0.475*44/12</f>
        <v>0.22651409108004411</v>
      </c>
      <c r="AW196" s="21">
        <f>EXP(-LN(2)/2)*AW195+(1-EXP(-LN(2)/2))/(LN(2)/2)*AQ196*AT196*VLOOKUP('Données projet'!$B$10,Paramètres!$A$1:$I$89,3,0)*0.475*44/12</f>
        <v>5.9048546770696588E-24</v>
      </c>
      <c r="AX196" s="21">
        <f t="shared" si="166"/>
        <v>0.50209716375386548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-1.0936673788819462E-13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364.67510777943329</v>
      </c>
      <c r="BJ196" s="59">
        <f t="shared" si="146"/>
        <v>352.13878061387169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0.35050722055701683</v>
      </c>
      <c r="BQ196" s="21">
        <f>EXP(-LN(2)/25)*BQ195+(1-EXP(-LN(2)/25))/(LN(2)/25)*Calculateur!BL196*Calculateur!BN196*VLOOKUP('Données projet'!$B$11,Paramètres!$A$1:$I$89,3,0)*0.475*44/12</f>
        <v>0.19630191462370691</v>
      </c>
      <c r="BR196" s="21">
        <f>EXP(-LN(2)/2)*BR195+(1-EXP(-LN(2)/2))/(LN(2)/2)*BL196*BO196*VLOOKUP('Données projet'!$B$11,Paramètres!$A$1:$I$89,3,0)*0.475*44/12</f>
        <v>8.0347105770949852E-24</v>
      </c>
      <c r="BS196" s="22">
        <f t="shared" si="169"/>
        <v>0.54680913518072372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-5.3205440053716299E-14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252.98248842635206</v>
      </c>
      <c r="CE196" s="59">
        <f t="shared" si="148"/>
        <v>207.11938580878308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0.12423383338661827</v>
      </c>
      <c r="CL196" s="21">
        <f>EXP(-LN(2)/25)*CL195+(1-EXP(-LN(2)/25))/(LN(2)/25)*Calculateur!CG196*Calculateur!CI196*VLOOKUP('Données projet'!$B$12,Paramètres!$A$1:$I$89,3,0)*0.475*44/12</f>
        <v>8.5596555890417439E-2</v>
      </c>
      <c r="CM196" s="21">
        <f>EXP(-LN(2)/2)*CM195+(1-EXP(-LN(2)/2))/(LN(2)/2)*CG196*CJ196*VLOOKUP('Données projet'!$B$12,Paramètres!$A$1:$I$89,3,0)*0.475*44/12</f>
        <v>2.8754446924032122E-24</v>
      </c>
      <c r="CN196" s="22">
        <f t="shared" si="172"/>
        <v>0.20983038927703571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-5.6843418860808015E-13</v>
      </c>
      <c r="CU196" s="17">
        <f>CT196*VLOOKUP('Données projet'!$B$13,Paramètres!$A$1:$I$89,3,0)*VLOOKUP('Données projet'!$B$13,Paramètres!$A$1:$I$89,5,0)</f>
        <v>-3.177547114319168E-13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356.67698551373468</v>
      </c>
      <c r="CZ196" s="59">
        <f t="shared" si="150"/>
        <v>353.21836615408171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0.18104276857599663</v>
      </c>
      <c r="DG196" s="21">
        <f>EXP(-LN(2)/25)*DG195+(1-EXP(-LN(2)/25))/(LN(2)/25)*Calculateur!DB196*Calculateur!DD196*VLOOKUP('Données projet'!$B$13,Paramètres!$A$1:$I$89,3,0)*0.475*44/12</f>
        <v>0.32877756634889549</v>
      </c>
      <c r="DH196" s="21">
        <f>EXP(-LN(2)/2)*DH195+(1-EXP(-LN(2)/2))/(LN(2)/2)*DB196*DE196*VLOOKUP('Données projet'!$B$13,Paramètres!$A$1:$I$89,3,0)*0.475*44/12</f>
        <v>9.5111663809172205E-24</v>
      </c>
      <c r="DI196" s="22">
        <f t="shared" si="175"/>
        <v>0.50982033492489209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-2.7193891583010558E-13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247.30892363953825</v>
      </c>
      <c r="DU196" s="59">
        <f t="shared" si="152"/>
        <v>248.38414731596578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0.14001116372039257</v>
      </c>
      <c r="EC196" s="21">
        <f>EXP(-LN(2)/2)*EC195+(1-EXP(-LN(2)/2))/(LN(2)/2)*DW196*DZ196*VLOOKUP('Données projet'!$B$14,Paramètres!$A$1:$I$89,3,0)*0.475*44/12</f>
        <v>6.9397108605646607E-24</v>
      </c>
      <c r="ED196" s="22">
        <f t="shared" si="178"/>
        <v>0.14001116372039257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-4.5474735088646412E-13</v>
      </c>
      <c r="EK196" s="17">
        <f>EJ196*VLOOKUP('Données projet'!$B$15,Paramètres!$A$1:$I$89,3,0)*VLOOKUP('Données projet'!$B$15,Paramètres!$A$1:$I$89,5,0)</f>
        <v>-2.7193891583010558E-13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247.30892363953825</v>
      </c>
      <c r="EP196" s="59">
        <f t="shared" si="154"/>
        <v>248.38414731596578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0.14001116372039257</v>
      </c>
      <c r="EX196" s="21">
        <f>EXP(-LN(2)/2)*EX195+(1-EXP(-LN(2)/2))/(LN(2)/2)*ER196*EU196*VLOOKUP('Données projet'!$B$15,Paramètres!$A$1:$I$89,3,0)*0.475*44/12</f>
        <v>6.9397108605646607E-24</v>
      </c>
      <c r="EY196" s="22">
        <f t="shared" si="181"/>
        <v>0.14001116372039257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6.8212102632969618E-13</v>
      </c>
      <c r="FF196" s="17">
        <f>FE196*VLOOKUP('Données projet'!$B$16,Paramètres!$A$1:$I$89,3,0)*VLOOKUP('Données projet'!$B$16,Paramètres!$A$1:$I$89,5,0)</f>
        <v>3.2810021366458383E-13</v>
      </c>
      <c r="FG196" s="13">
        <f t="shared" si="182"/>
        <v>4.2923528923937213E-12</v>
      </c>
      <c r="FH196" s="20">
        <f t="shared" si="183"/>
        <v>8.0472891597182151E-12</v>
      </c>
      <c r="FI196" s="59">
        <f t="shared" ref="FI196:FI203" si="199">FH196+(EZ196+FA196)*44/12</f>
        <v>293.33333333334139</v>
      </c>
      <c r="FJ196" s="59">
        <f ca="1">AVERAGE(OFFSET($FI$3,0,0,'Données projet'!$E$16+1,1))-AVERAGE(OFFSET($H$3,0,0,'Données projet'!$E$16+1,1))</f>
        <v>322.54393676667081</v>
      </c>
      <c r="FK196" s="59">
        <f t="shared" si="156"/>
        <v>296.73904998640018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0.26705312042439361</v>
      </c>
      <c r="FR196" s="21">
        <f>EXP(-LN(2)/25)*FR195+(1-EXP(-LN(2)/25))/(LN(2)/25)*Calculateur!FM196*Calculateur!FO196*VLOOKUP('Données projet'!$B$16,Paramètres!$A$1:$I$89,3,0)*0.475*44/12</f>
        <v>0.14626432686626623</v>
      </c>
      <c r="FS196" s="21">
        <f>EXP(-LN(2)/2)*FS195+(1-EXP(-LN(2)/2))/(LN(2)/2)*FM196*FP196*VLOOKUP('Données projet'!$B$16,Paramètres!$A$1:$I$89,3,0)*0.475*44/12</f>
        <v>6.1159960088795794E-24</v>
      </c>
      <c r="FT196" s="22">
        <f t="shared" si="184"/>
        <v>0.41331744729065983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293.33333333333974</v>
      </c>
      <c r="S197" s="59">
        <f ca="1">AVERAGE(OFFSET($R$3,0,0,'Données projet'!$E$9+1,1))-AVERAGE(OFFSET($H$3,0,0,'Données projet'!$E$9+1,1))</f>
        <v>401.06118089678654</v>
      </c>
      <c r="T197" s="59">
        <f t="shared" ref="T197:T203" si="204">$T$3</f>
        <v>399.58193819355591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6.2527760746888816E-13</v>
      </c>
      <c r="AJ197" s="13">
        <f>AI197*VLOOKUP('Données projet'!$B$10,Paramètres!$A$1:$I$89,3,0)*VLOOKUP('Données projet'!$B$10,Paramètres!$A$1:$I$89,5,0)</f>
        <v>3.9017322706058616E-13</v>
      </c>
      <c r="AK197" s="13">
        <f t="shared" si="164"/>
        <v>5.0025007393608908E-12</v>
      </c>
      <c r="AL197" s="20">
        <f t="shared" si="165"/>
        <v>9.3922404915174053E-12</v>
      </c>
      <c r="AM197" s="59">
        <f t="shared" si="193"/>
        <v>293.33333333334269</v>
      </c>
      <c r="AN197" s="59">
        <f ca="1">AVERAGE(OFFSET($AM$3,0,0,'Données projet'!$E$10+1,1))-AVERAGE(OFFSET($H$3,0,0,'Données projet'!$E$10+1,1))</f>
        <v>240.30073883588199</v>
      </c>
      <c r="AO197" s="59">
        <f t="shared" ref="AO197:AO203" si="205">$AO$3</f>
        <v>263.20351282678843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0.27017905670776465</v>
      </c>
      <c r="AV197" s="21">
        <f>EXP(-LN(2)/25)*AV196+(1-EXP(-LN(2)/25))/(LN(2)/25)*Calculateur!AQ197*Calculateur!AS197*VLOOKUP('Données projet'!$B$10,Paramètres!$A$1:$I$89,3,0)*0.475*44/12</f>
        <v>0.22032005134760196</v>
      </c>
      <c r="AW197" s="21">
        <f>EXP(-LN(2)/2)*AW196+(1-EXP(-LN(2)/2))/(LN(2)/2)*AQ197*AT197*VLOOKUP('Données projet'!$B$10,Paramètres!$A$1:$I$89,3,0)*0.475*44/12</f>
        <v>4.1753627840770569E-24</v>
      </c>
      <c r="AX197" s="21">
        <f t="shared" si="166"/>
        <v>0.49049910805536662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-1.0936673788819462E-13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364.67510777943329</v>
      </c>
      <c r="BJ197" s="59">
        <f t="shared" ref="BJ197:BJ203" si="206">$BJ$3</f>
        <v>352.13878061387169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0.34363398775018844</v>
      </c>
      <c r="BQ197" s="21">
        <f>EXP(-LN(2)/25)*BQ196+(1-EXP(-LN(2)/25))/(LN(2)/25)*Calculateur!BL197*Calculateur!BN197*VLOOKUP('Données projet'!$B$11,Paramètres!$A$1:$I$89,3,0)*0.475*44/12</f>
        <v>0.19093402844525262</v>
      </c>
      <c r="BR197" s="21">
        <f>EXP(-LN(2)/2)*BR196+(1-EXP(-LN(2)/2))/(LN(2)/2)*BL197*BO197*VLOOKUP('Données projet'!$B$11,Paramètres!$A$1:$I$89,3,0)*0.475*44/12</f>
        <v>5.6813983339351428E-24</v>
      </c>
      <c r="BS197" s="22">
        <f t="shared" si="169"/>
        <v>0.53456801619544103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-5.3205440053716299E-14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252.98248842635206</v>
      </c>
      <c r="CE197" s="59">
        <f t="shared" ref="CE197:CE203" si="207">$CE$3</f>
        <v>207.11938580878308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0.12179768368906288</v>
      </c>
      <c r="CL197" s="21">
        <f>EXP(-LN(2)/25)*CL196+(1-EXP(-LN(2)/25))/(LN(2)/25)*Calculateur!CG197*Calculateur!CI197*VLOOKUP('Données projet'!$B$12,Paramètres!$A$1:$I$89,3,0)*0.475*44/12</f>
        <v>8.325591356826674E-2</v>
      </c>
      <c r="CM197" s="21">
        <f>EXP(-LN(2)/2)*CM196+(1-EXP(-LN(2)/2))/(LN(2)/2)*CG197*CJ197*VLOOKUP('Données projet'!$B$12,Paramètres!$A$1:$I$89,3,0)*0.475*44/12</f>
        <v>2.0332464409251776E-24</v>
      </c>
      <c r="CN197" s="22">
        <f t="shared" si="172"/>
        <v>0.20505359725732963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-5.6843418860808015E-13</v>
      </c>
      <c r="CU197" s="17">
        <f>CT197*VLOOKUP('Données projet'!$B$13,Paramètres!$A$1:$I$89,3,0)*VLOOKUP('Données projet'!$B$13,Paramètres!$A$1:$I$89,5,0)</f>
        <v>-3.177547114319168E-13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356.67698551373468</v>
      </c>
      <c r="CZ197" s="59">
        <f t="shared" ref="CZ197:CZ203" si="208">$CZ$3</f>
        <v>353.21836615408171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0.1774926303094066</v>
      </c>
      <c r="DG197" s="21">
        <f>EXP(-LN(2)/25)*DG196+(1-EXP(-LN(2)/25))/(LN(2)/25)*Calculateur!DB197*Calculateur!DD197*VLOOKUP('Données projet'!$B$13,Paramètres!$A$1:$I$89,3,0)*0.475*44/12</f>
        <v>0.31978712650742414</v>
      </c>
      <c r="DH197" s="21">
        <f>EXP(-LN(2)/2)*DH196+(1-EXP(-LN(2)/2))/(LN(2)/2)*DB197*DE197*VLOOKUP('Données projet'!$B$13,Paramètres!$A$1:$I$89,3,0)*0.475*44/12</f>
        <v>6.7254102449400802E-24</v>
      </c>
      <c r="DI197" s="22">
        <f t="shared" si="175"/>
        <v>0.49727975681683073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-2.7193891583010558E-13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247.30892363953825</v>
      </c>
      <c r="DU197" s="59">
        <f t="shared" ref="DU197:DU203" si="209">$DU$3</f>
        <v>248.38414731596578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0.13618255108559132</v>
      </c>
      <c r="EC197" s="21">
        <f>EXP(-LN(2)/2)*EC196+(1-EXP(-LN(2)/2))/(LN(2)/2)*DW197*DZ197*VLOOKUP('Données projet'!$B$14,Paramètres!$A$1:$I$89,3,0)*0.475*44/12</f>
        <v>4.9071166089792031E-24</v>
      </c>
      <c r="ED197" s="22">
        <f t="shared" si="178"/>
        <v>0.13618255108559132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-4.5474735088646412E-13</v>
      </c>
      <c r="EK197" s="17">
        <f>EJ197*VLOOKUP('Données projet'!$B$15,Paramètres!$A$1:$I$89,3,0)*VLOOKUP('Données projet'!$B$15,Paramètres!$A$1:$I$89,5,0)</f>
        <v>-2.7193891583010558E-13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247.30892363953825</v>
      </c>
      <c r="EP197" s="59">
        <f t="shared" ref="EP197:EP203" si="210">$EP$3</f>
        <v>248.38414731596578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0.13618255108559132</v>
      </c>
      <c r="EX197" s="21">
        <f>EXP(-LN(2)/2)*EX196+(1-EXP(-LN(2)/2))/(LN(2)/2)*ER197*EU197*VLOOKUP('Données projet'!$B$15,Paramètres!$A$1:$I$89,3,0)*0.475*44/12</f>
        <v>4.9071166089792031E-24</v>
      </c>
      <c r="EY197" s="22">
        <f t="shared" si="181"/>
        <v>0.13618255108559132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6.8212102632969618E-13</v>
      </c>
      <c r="FF197" s="17">
        <f>FE197*VLOOKUP('Données projet'!$B$16,Paramètres!$A$1:$I$89,3,0)*VLOOKUP('Données projet'!$B$16,Paramètres!$A$1:$I$89,5,0)</f>
        <v>3.2810021366458383E-13</v>
      </c>
      <c r="FG197" s="13">
        <f t="shared" si="182"/>
        <v>4.2923528923937213E-12</v>
      </c>
      <c r="FH197" s="20">
        <f t="shared" si="183"/>
        <v>8.0472891597182151E-12</v>
      </c>
      <c r="FI197" s="59">
        <f t="shared" si="199"/>
        <v>293.33333333334139</v>
      </c>
      <c r="FJ197" s="59">
        <f ca="1">AVERAGE(OFFSET($FI$3,0,0,'Données projet'!$E$16+1,1))-AVERAGE(OFFSET($H$3,0,0,'Données projet'!$E$16+1,1))</f>
        <v>322.54393676667081</v>
      </c>
      <c r="FK197" s="59">
        <f t="shared" ref="FK197:FK203" si="211">$FK$3</f>
        <v>296.73904998640018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0.26181637161919102</v>
      </c>
      <c r="FR197" s="21">
        <f>EXP(-LN(2)/25)*FR196+(1-EXP(-LN(2)/25))/(LN(2)/25)*Calculateur!FM197*Calculateur!FO197*VLOOKUP('Données projet'!$B$16,Paramètres!$A$1:$I$89,3,0)*0.475*44/12</f>
        <v>0.14226472115640151</v>
      </c>
      <c r="FS197" s="21">
        <f>EXP(-LN(2)/2)*FS196+(1-EXP(-LN(2)/2))/(LN(2)/2)*FM197*FP197*VLOOKUP('Données projet'!$B$16,Paramètres!$A$1:$I$89,3,0)*0.475*44/12</f>
        <v>4.3246622515886107E-24</v>
      </c>
      <c r="FT197" s="22">
        <f t="shared" si="184"/>
        <v>0.40408109277559257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293.33333333333974</v>
      </c>
      <c r="S198" s="59">
        <f ca="1">AVERAGE(OFFSET($R$3,0,0,'Données projet'!$E$9+1,1))-AVERAGE(OFFSET($H$3,0,0,'Données projet'!$E$9+1,1))</f>
        <v>401.06118089678654</v>
      </c>
      <c r="T198" s="59">
        <f t="shared" si="204"/>
        <v>399.58193819355591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6.2527760746888816E-13</v>
      </c>
      <c r="AJ198" s="13">
        <f>AI198*VLOOKUP('Données projet'!$B$10,Paramètres!$A$1:$I$89,3,0)*VLOOKUP('Données projet'!$B$10,Paramètres!$A$1:$I$89,5,0)</f>
        <v>3.9017322706058616E-13</v>
      </c>
      <c r="AK198" s="13">
        <f t="shared" si="164"/>
        <v>5.0025007393608908E-12</v>
      </c>
      <c r="AL198" s="20">
        <f t="shared" si="165"/>
        <v>9.3922404915174053E-12</v>
      </c>
      <c r="AM198" s="59">
        <f t="shared" si="193"/>
        <v>293.33333333334269</v>
      </c>
      <c r="AN198" s="59">
        <f ca="1">AVERAGE(OFFSET($AM$3,0,0,'Données projet'!$E$10+1,1))-AVERAGE(OFFSET($H$3,0,0,'Données projet'!$E$10+1,1))</f>
        <v>240.30073883588199</v>
      </c>
      <c r="AO198" s="59">
        <f t="shared" si="205"/>
        <v>263.20351282678843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0.26488101019867805</v>
      </c>
      <c r="AV198" s="21">
        <f>EXP(-LN(2)/25)*AV197+(1-EXP(-LN(2)/25))/(LN(2)/25)*Calculateur!AQ198*Calculateur!AS198*VLOOKUP('Données projet'!$B$10,Paramètres!$A$1:$I$89,3,0)*0.475*44/12</f>
        <v>0.21429538795737382</v>
      </c>
      <c r="AW198" s="21">
        <f>EXP(-LN(2)/2)*AW197+(1-EXP(-LN(2)/2))/(LN(2)/2)*AQ198*AT198*VLOOKUP('Données projet'!$B$10,Paramètres!$A$1:$I$89,3,0)*0.475*44/12</f>
        <v>2.9524273385348294E-24</v>
      </c>
      <c r="AX198" s="21">
        <f t="shared" si="166"/>
        <v>0.47917639815605184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-1.0936673788819462E-13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364.67510777943329</v>
      </c>
      <c r="BJ198" s="59">
        <f t="shared" si="206"/>
        <v>352.13878061387169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0.33689553484644386</v>
      </c>
      <c r="BQ198" s="21">
        <f>EXP(-LN(2)/25)*BQ197+(1-EXP(-LN(2)/25))/(LN(2)/25)*Calculateur!BL198*Calculateur!BN198*VLOOKUP('Données projet'!$B$11,Paramètres!$A$1:$I$89,3,0)*0.475*44/12</f>
        <v>0.185712927396633</v>
      </c>
      <c r="BR198" s="21">
        <f>EXP(-LN(2)/2)*BR197+(1-EXP(-LN(2)/2))/(LN(2)/2)*BL198*BO198*VLOOKUP('Données projet'!$B$11,Paramètres!$A$1:$I$89,3,0)*0.475*44/12</f>
        <v>4.0173552885474926E-24</v>
      </c>
      <c r="BS198" s="22">
        <f t="shared" si="169"/>
        <v>0.52260846224307689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-5.3205440053716299E-14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252.98248842635206</v>
      </c>
      <c r="CE198" s="59">
        <f t="shared" si="207"/>
        <v>207.11938580878308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0.11940930540117195</v>
      </c>
      <c r="CL198" s="21">
        <f>EXP(-LN(2)/25)*CL197+(1-EXP(-LN(2)/25))/(LN(2)/25)*Calculateur!CG198*Calculateur!CI198*VLOOKUP('Données projet'!$B$12,Paramètres!$A$1:$I$89,3,0)*0.475*44/12</f>
        <v>8.0979276233504274E-2</v>
      </c>
      <c r="CM198" s="21">
        <f>EXP(-LN(2)/2)*CM197+(1-EXP(-LN(2)/2))/(LN(2)/2)*CG198*CJ198*VLOOKUP('Données projet'!$B$12,Paramètres!$A$1:$I$89,3,0)*0.475*44/12</f>
        <v>1.4377223462016061E-24</v>
      </c>
      <c r="CN198" s="22">
        <f t="shared" si="172"/>
        <v>0.20038858163467621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-5.6843418860808015E-13</v>
      </c>
      <c r="CU198" s="17">
        <f>CT198*VLOOKUP('Données projet'!$B$13,Paramètres!$A$1:$I$89,3,0)*VLOOKUP('Données projet'!$B$13,Paramètres!$A$1:$I$89,5,0)</f>
        <v>-3.177547114319168E-13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356.67698551373468</v>
      </c>
      <c r="CZ198" s="59">
        <f t="shared" si="208"/>
        <v>353.21836615408171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0.17401210808885384</v>
      </c>
      <c r="DG198" s="21">
        <f>EXP(-LN(2)/25)*DG197+(1-EXP(-LN(2)/25))/(LN(2)/25)*Calculateur!DB198*Calculateur!DD198*VLOOKUP('Données projet'!$B$13,Paramètres!$A$1:$I$89,3,0)*0.475*44/12</f>
        <v>0.31104253071620452</v>
      </c>
      <c r="DH198" s="21">
        <f>EXP(-LN(2)/2)*DH197+(1-EXP(-LN(2)/2))/(LN(2)/2)*DB198*DE198*VLOOKUP('Données projet'!$B$13,Paramètres!$A$1:$I$89,3,0)*0.475*44/12</f>
        <v>4.7555831904586103E-24</v>
      </c>
      <c r="DI198" s="22">
        <f t="shared" si="175"/>
        <v>0.48505463880505839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-2.7193891583010558E-13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247.30892363953825</v>
      </c>
      <c r="DU198" s="59">
        <f t="shared" si="209"/>
        <v>248.38414731596578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0.13245863206462671</v>
      </c>
      <c r="EC198" s="21">
        <f>EXP(-LN(2)/2)*EC197+(1-EXP(-LN(2)/2))/(LN(2)/2)*DW198*DZ198*VLOOKUP('Données projet'!$B$14,Paramètres!$A$1:$I$89,3,0)*0.475*44/12</f>
        <v>3.4698554302823304E-24</v>
      </c>
      <c r="ED198" s="22">
        <f t="shared" si="178"/>
        <v>0.13245863206462671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-4.5474735088646412E-13</v>
      </c>
      <c r="EK198" s="17">
        <f>EJ198*VLOOKUP('Données projet'!$B$15,Paramètres!$A$1:$I$89,3,0)*VLOOKUP('Données projet'!$B$15,Paramètres!$A$1:$I$89,5,0)</f>
        <v>-2.7193891583010558E-13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247.30892363953825</v>
      </c>
      <c r="EP198" s="59">
        <f t="shared" si="210"/>
        <v>248.38414731596578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0.13245863206462671</v>
      </c>
      <c r="EX198" s="21">
        <f>EXP(-LN(2)/2)*EX197+(1-EXP(-LN(2)/2))/(LN(2)/2)*ER198*EU198*VLOOKUP('Données projet'!$B$15,Paramètres!$A$1:$I$89,3,0)*0.475*44/12</f>
        <v>3.4698554302823304E-24</v>
      </c>
      <c r="EY198" s="22">
        <f t="shared" si="181"/>
        <v>0.13245863206462671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6.8212102632969618E-13</v>
      </c>
      <c r="FF198" s="17">
        <f>FE198*VLOOKUP('Données projet'!$B$16,Paramètres!$A$1:$I$89,3,0)*VLOOKUP('Données projet'!$B$16,Paramètres!$A$1:$I$89,5,0)</f>
        <v>3.2810021366458383E-13</v>
      </c>
      <c r="FG198" s="13">
        <f t="shared" si="182"/>
        <v>4.2923528923937213E-12</v>
      </c>
      <c r="FH198" s="20">
        <f t="shared" si="183"/>
        <v>8.0472891597182151E-12</v>
      </c>
      <c r="FI198" s="59">
        <f t="shared" si="199"/>
        <v>293.33333333334139</v>
      </c>
      <c r="FJ198" s="59">
        <f ca="1">AVERAGE(OFFSET($FI$3,0,0,'Données projet'!$E$16+1,1))-AVERAGE(OFFSET($H$3,0,0,'Données projet'!$E$16+1,1))</f>
        <v>322.54393676667081</v>
      </c>
      <c r="FK198" s="59">
        <f t="shared" si="211"/>
        <v>296.73904998640018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0.2566823122639571</v>
      </c>
      <c r="FR198" s="21">
        <f>EXP(-LN(2)/25)*FR197+(1-EXP(-LN(2)/25))/(LN(2)/25)*Calculateur!FM198*Calculateur!FO198*VLOOKUP('Données projet'!$B$16,Paramètres!$A$1:$I$89,3,0)*0.475*44/12</f>
        <v>0.13837448487500317</v>
      </c>
      <c r="FS198" s="21">
        <f>EXP(-LN(2)/2)*FS197+(1-EXP(-LN(2)/2))/(LN(2)/2)*FM198*FP198*VLOOKUP('Données projet'!$B$16,Paramètres!$A$1:$I$89,3,0)*0.475*44/12</f>
        <v>3.0579980044397897E-24</v>
      </c>
      <c r="FT198" s="22">
        <f t="shared" si="184"/>
        <v>0.39505679713896025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293.33333333333974</v>
      </c>
      <c r="S199" s="59">
        <f ca="1">AVERAGE(OFFSET($R$3,0,0,'Données projet'!$E$9+1,1))-AVERAGE(OFFSET($H$3,0,0,'Données projet'!$E$9+1,1))</f>
        <v>401.06118089678654</v>
      </c>
      <c r="T199" s="59">
        <f t="shared" si="204"/>
        <v>399.58193819355591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6.2527760746888816E-13</v>
      </c>
      <c r="AJ199" s="13">
        <f>AI199*VLOOKUP('Données projet'!$B$10,Paramètres!$A$1:$I$89,3,0)*VLOOKUP('Données projet'!$B$10,Paramètres!$A$1:$I$89,5,0)</f>
        <v>3.9017322706058616E-13</v>
      </c>
      <c r="AK199" s="13">
        <f t="shared" si="164"/>
        <v>5.0025007393608908E-12</v>
      </c>
      <c r="AL199" s="20">
        <f t="shared" si="165"/>
        <v>9.3922404915174053E-12</v>
      </c>
      <c r="AM199" s="59">
        <f t="shared" si="193"/>
        <v>293.33333333334269</v>
      </c>
      <c r="AN199" s="59">
        <f ca="1">AVERAGE(OFFSET($AM$3,0,0,'Données projet'!$E$10+1,1))-AVERAGE(OFFSET($H$3,0,0,'Données projet'!$E$10+1,1))</f>
        <v>240.30073883588199</v>
      </c>
      <c r="AO199" s="59">
        <f t="shared" si="205"/>
        <v>263.20351282678843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0.25968685515014533</v>
      </c>
      <c r="AV199" s="21">
        <f>EXP(-LN(2)/25)*AV198+(1-EXP(-LN(2)/25))/(LN(2)/25)*Calculateur!AQ199*Calculateur!AS199*VLOOKUP('Données projet'!$B$10,Paramètres!$A$1:$I$89,3,0)*0.475*44/12</f>
        <v>0.20843546930437476</v>
      </c>
      <c r="AW199" s="21">
        <f>EXP(-LN(2)/2)*AW198+(1-EXP(-LN(2)/2))/(LN(2)/2)*AQ199*AT199*VLOOKUP('Données projet'!$B$10,Paramètres!$A$1:$I$89,3,0)*0.475*44/12</f>
        <v>2.0876813920385285E-24</v>
      </c>
      <c r="AX199" s="21">
        <f t="shared" si="166"/>
        <v>0.46812232445452007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-1.0936673788819462E-13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364.67510777943329</v>
      </c>
      <c r="BJ199" s="59">
        <f t="shared" si="206"/>
        <v>352.13878061387169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0.3302892188940913</v>
      </c>
      <c r="BQ199" s="21">
        <f>EXP(-LN(2)/25)*BQ198+(1-EXP(-LN(2)/25))/(LN(2)/25)*Calculateur!BL199*Calculateur!BN199*VLOOKUP('Données projet'!$B$11,Paramètres!$A$1:$I$89,3,0)*0.475*44/12</f>
        <v>0.18063459763075368</v>
      </c>
      <c r="BR199" s="21">
        <f>EXP(-LN(2)/2)*BR198+(1-EXP(-LN(2)/2))/(LN(2)/2)*BL199*BO199*VLOOKUP('Données projet'!$B$11,Paramètres!$A$1:$I$89,3,0)*0.475*44/12</f>
        <v>2.8406991669675714E-24</v>
      </c>
      <c r="BS199" s="22">
        <f t="shared" si="169"/>
        <v>0.51092381652484498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-5.3205440053716299E-14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252.98248842635206</v>
      </c>
      <c r="CE199" s="59">
        <f t="shared" si="207"/>
        <v>207.11938580878308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0.11706776175473965</v>
      </c>
      <c r="CL199" s="21">
        <f>EXP(-LN(2)/25)*CL198+(1-EXP(-LN(2)/25))/(LN(2)/25)*Calculateur!CG199*Calculateur!CI199*VLOOKUP('Données projet'!$B$12,Paramètres!$A$1:$I$89,3,0)*0.475*44/12</f>
        <v>7.8764893666384048E-2</v>
      </c>
      <c r="CM199" s="21">
        <f>EXP(-LN(2)/2)*CM198+(1-EXP(-LN(2)/2))/(LN(2)/2)*CG199*CJ199*VLOOKUP('Données projet'!$B$12,Paramètres!$A$1:$I$89,3,0)*0.475*44/12</f>
        <v>1.0166232204625888E-24</v>
      </c>
      <c r="CN199" s="22">
        <f t="shared" si="172"/>
        <v>0.19583265542112371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-5.6843418860808015E-13</v>
      </c>
      <c r="CU199" s="17">
        <f>CT199*VLOOKUP('Données projet'!$B$13,Paramètres!$A$1:$I$89,3,0)*VLOOKUP('Données projet'!$B$13,Paramètres!$A$1:$I$89,5,0)</f>
        <v>-3.177547114319168E-13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356.67698551373468</v>
      </c>
      <c r="CZ199" s="59">
        <f t="shared" si="208"/>
        <v>353.21836615408171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0.17059983678613719</v>
      </c>
      <c r="DG199" s="21">
        <f>EXP(-LN(2)/25)*DG198+(1-EXP(-LN(2)/25))/(LN(2)/25)*Calculateur!DB199*Calculateur!DD199*VLOOKUP('Données projet'!$B$13,Paramètres!$A$1:$I$89,3,0)*0.475*44/12</f>
        <v>0.3025370563567541</v>
      </c>
      <c r="DH199" s="21">
        <f>EXP(-LN(2)/2)*DH198+(1-EXP(-LN(2)/2))/(LN(2)/2)*DB199*DE199*VLOOKUP('Données projet'!$B$13,Paramètres!$A$1:$I$89,3,0)*0.475*44/12</f>
        <v>3.3627051224700401E-24</v>
      </c>
      <c r="DI199" s="22">
        <f t="shared" si="175"/>
        <v>0.47313689314289131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-2.7193891583010558E-13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247.30892363953825</v>
      </c>
      <c r="DU199" s="59">
        <f t="shared" si="209"/>
        <v>248.38414731596578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0.12883654380512277</v>
      </c>
      <c r="EC199" s="21">
        <f>EXP(-LN(2)/2)*EC198+(1-EXP(-LN(2)/2))/(LN(2)/2)*DW199*DZ199*VLOOKUP('Données projet'!$B$14,Paramètres!$A$1:$I$89,3,0)*0.475*44/12</f>
        <v>2.4535583044896015E-24</v>
      </c>
      <c r="ED199" s="22">
        <f t="shared" si="178"/>
        <v>0.12883654380512277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-4.5474735088646412E-13</v>
      </c>
      <c r="EK199" s="17">
        <f>EJ199*VLOOKUP('Données projet'!$B$15,Paramètres!$A$1:$I$89,3,0)*VLOOKUP('Données projet'!$B$15,Paramètres!$A$1:$I$89,5,0)</f>
        <v>-2.7193891583010558E-13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247.30892363953825</v>
      </c>
      <c r="EP199" s="59">
        <f t="shared" si="210"/>
        <v>248.38414731596578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0.12883654380512277</v>
      </c>
      <c r="EX199" s="21">
        <f>EXP(-LN(2)/2)*EX198+(1-EXP(-LN(2)/2))/(LN(2)/2)*ER199*EU199*VLOOKUP('Données projet'!$B$15,Paramètres!$A$1:$I$89,3,0)*0.475*44/12</f>
        <v>2.4535583044896015E-24</v>
      </c>
      <c r="EY199" s="22">
        <f t="shared" si="181"/>
        <v>0.12883654380512277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6.8212102632969618E-13</v>
      </c>
      <c r="FF199" s="17">
        <f>FE199*VLOOKUP('Données projet'!$B$16,Paramètres!$A$1:$I$89,3,0)*VLOOKUP('Données projet'!$B$16,Paramètres!$A$1:$I$89,5,0)</f>
        <v>3.2810021366458383E-13</v>
      </c>
      <c r="FG199" s="13">
        <f t="shared" si="182"/>
        <v>4.2923528923937213E-12</v>
      </c>
      <c r="FH199" s="20">
        <f t="shared" si="183"/>
        <v>8.0472891597182151E-12</v>
      </c>
      <c r="FI199" s="59">
        <f t="shared" si="199"/>
        <v>293.33333333334139</v>
      </c>
      <c r="FJ199" s="59">
        <f ca="1">AVERAGE(OFFSET($FI$3,0,0,'Données projet'!$E$16+1,1))-AVERAGE(OFFSET($H$3,0,0,'Données projet'!$E$16+1,1))</f>
        <v>322.54393676667081</v>
      </c>
      <c r="FK199" s="59">
        <f t="shared" si="211"/>
        <v>296.73904998640018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0.2516489286812123</v>
      </c>
      <c r="FR199" s="21">
        <f>EXP(-LN(2)/25)*FR198+(1-EXP(-LN(2)/25))/(LN(2)/25)*Calculateur!FM199*Calculateur!FO199*VLOOKUP('Données projet'!$B$16,Paramètres!$A$1:$I$89,3,0)*0.475*44/12</f>
        <v>0.1345906273092983</v>
      </c>
      <c r="FS199" s="21">
        <f>EXP(-LN(2)/2)*FS198+(1-EXP(-LN(2)/2))/(LN(2)/2)*FM199*FP199*VLOOKUP('Données projet'!$B$16,Paramètres!$A$1:$I$89,3,0)*0.475*44/12</f>
        <v>2.1623311257943053E-24</v>
      </c>
      <c r="FT199" s="22">
        <f t="shared" si="184"/>
        <v>0.38623955599051063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293.33333333333974</v>
      </c>
      <c r="S200" s="59">
        <f ca="1">AVERAGE(OFFSET($R$3,0,0,'Données projet'!$E$9+1,1))-AVERAGE(OFFSET($H$3,0,0,'Données projet'!$E$9+1,1))</f>
        <v>401.06118089678654</v>
      </c>
      <c r="T200" s="59">
        <f t="shared" si="204"/>
        <v>399.58193819355591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6.2527760746888816E-13</v>
      </c>
      <c r="AJ200" s="13">
        <f>AI200*VLOOKUP('Données projet'!$B$10,Paramètres!$A$1:$I$89,3,0)*VLOOKUP('Données projet'!$B$10,Paramètres!$A$1:$I$89,5,0)</f>
        <v>3.9017322706058616E-13</v>
      </c>
      <c r="AK200" s="13">
        <f t="shared" si="164"/>
        <v>5.0025007393608908E-12</v>
      </c>
      <c r="AL200" s="20">
        <f t="shared" si="165"/>
        <v>9.3922404915174053E-12</v>
      </c>
      <c r="AM200" s="59">
        <f t="shared" si="193"/>
        <v>293.33333333334269</v>
      </c>
      <c r="AN200" s="59">
        <f ca="1">AVERAGE(OFFSET($AM$3,0,0,'Données projet'!$E$10+1,1))-AVERAGE(OFFSET($H$3,0,0,'Données projet'!$E$10+1,1))</f>
        <v>240.30073883588199</v>
      </c>
      <c r="AO200" s="59">
        <f t="shared" si="205"/>
        <v>263.20351282678843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0.25459455431399258</v>
      </c>
      <c r="AV200" s="21">
        <f>EXP(-LN(2)/25)*AV199+(1-EXP(-LN(2)/25))/(LN(2)/25)*Calculateur!AQ200*Calculateur!AS200*VLOOKUP('Données projet'!$B$10,Paramètres!$A$1:$I$89,3,0)*0.475*44/12</f>
        <v>0.20273579043510168</v>
      </c>
      <c r="AW200" s="21">
        <f>EXP(-LN(2)/2)*AW199+(1-EXP(-LN(2)/2))/(LN(2)/2)*AQ200*AT200*VLOOKUP('Données projet'!$B$10,Paramètres!$A$1:$I$89,3,0)*0.475*44/12</f>
        <v>1.4762136692674147E-24</v>
      </c>
      <c r="AX200" s="21">
        <f t="shared" si="166"/>
        <v>0.45733034474909429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-1.0936673788819462E-13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364.67510777943329</v>
      </c>
      <c r="BJ200" s="59">
        <f t="shared" si="206"/>
        <v>352.13878061387169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0.3238124487681095</v>
      </c>
      <c r="BQ200" s="21">
        <f>EXP(-LN(2)/25)*BQ199+(1-EXP(-LN(2)/25))/(LN(2)/25)*Calculateur!BL200*Calculateur!BN200*VLOOKUP('Données projet'!$B$11,Paramètres!$A$1:$I$89,3,0)*0.475*44/12</f>
        <v>0.17569513505938009</v>
      </c>
      <c r="BR200" s="21">
        <f>EXP(-LN(2)/2)*BR199+(1-EXP(-LN(2)/2))/(LN(2)/2)*BL200*BO200*VLOOKUP('Données projet'!$B$11,Paramètres!$A$1:$I$89,3,0)*0.475*44/12</f>
        <v>2.0086776442737463E-24</v>
      </c>
      <c r="BS200" s="22">
        <f t="shared" si="169"/>
        <v>0.49950758382748961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-5.3205440053716299E-14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252.98248842635206</v>
      </c>
      <c r="CE200" s="59">
        <f t="shared" si="207"/>
        <v>207.11938580878308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0.11477213435101329</v>
      </c>
      <c r="CL200" s="21">
        <f>EXP(-LN(2)/25)*CL199+(1-EXP(-LN(2)/25))/(LN(2)/25)*Calculateur!CG200*Calculateur!CI200*VLOOKUP('Données projet'!$B$12,Paramètres!$A$1:$I$89,3,0)*0.475*44/12</f>
        <v>7.6611063507011037E-2</v>
      </c>
      <c r="CM200" s="21">
        <f>EXP(-LN(2)/2)*CM199+(1-EXP(-LN(2)/2))/(LN(2)/2)*CG200*CJ200*VLOOKUP('Données projet'!$B$12,Paramètres!$A$1:$I$89,3,0)*0.475*44/12</f>
        <v>7.1886117310080304E-25</v>
      </c>
      <c r="CN200" s="22">
        <f t="shared" si="172"/>
        <v>0.19138319785802432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-5.6843418860808015E-13</v>
      </c>
      <c r="CU200" s="17">
        <f>CT200*VLOOKUP('Données projet'!$B$13,Paramètres!$A$1:$I$89,3,0)*VLOOKUP('Données projet'!$B$13,Paramètres!$A$1:$I$89,5,0)</f>
        <v>-3.177547114319168E-13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356.67698551373468</v>
      </c>
      <c r="CZ200" s="59">
        <f t="shared" si="208"/>
        <v>353.21836615408171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0.16725447804238683</v>
      </c>
      <c r="DG200" s="21">
        <f>EXP(-LN(2)/25)*DG199+(1-EXP(-LN(2)/25))/(LN(2)/25)*Calculateur!DB200*Calculateur!DD200*VLOOKUP('Données projet'!$B$13,Paramètres!$A$1:$I$89,3,0)*0.475*44/12</f>
        <v>0.29426416464094635</v>
      </c>
      <c r="DH200" s="21">
        <f>EXP(-LN(2)/2)*DH199+(1-EXP(-LN(2)/2))/(LN(2)/2)*DB200*DE200*VLOOKUP('Données projet'!$B$13,Paramètres!$A$1:$I$89,3,0)*0.475*44/12</f>
        <v>2.3777915952293051E-24</v>
      </c>
      <c r="DI200" s="22">
        <f t="shared" si="175"/>
        <v>0.4615186426833332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-2.7193891583010558E-13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247.30892363953825</v>
      </c>
      <c r="DU200" s="59">
        <f t="shared" si="209"/>
        <v>248.38414731596578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0.1253135017395523</v>
      </c>
      <c r="EC200" s="21">
        <f>EXP(-LN(2)/2)*EC199+(1-EXP(-LN(2)/2))/(LN(2)/2)*DW200*DZ200*VLOOKUP('Données projet'!$B$14,Paramètres!$A$1:$I$89,3,0)*0.475*44/12</f>
        <v>1.7349277151411652E-24</v>
      </c>
      <c r="ED200" s="22">
        <f t="shared" si="178"/>
        <v>0.1253135017395523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-4.5474735088646412E-13</v>
      </c>
      <c r="EK200" s="17">
        <f>EJ200*VLOOKUP('Données projet'!$B$15,Paramètres!$A$1:$I$89,3,0)*VLOOKUP('Données projet'!$B$15,Paramètres!$A$1:$I$89,5,0)</f>
        <v>-2.7193891583010558E-13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247.30892363953825</v>
      </c>
      <c r="EP200" s="59">
        <f t="shared" si="210"/>
        <v>248.38414731596578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0.1253135017395523</v>
      </c>
      <c r="EX200" s="21">
        <f>EXP(-LN(2)/2)*EX199+(1-EXP(-LN(2)/2))/(LN(2)/2)*ER200*EU200*VLOOKUP('Données projet'!$B$15,Paramètres!$A$1:$I$89,3,0)*0.475*44/12</f>
        <v>1.7349277151411652E-24</v>
      </c>
      <c r="EY200" s="22">
        <f t="shared" si="181"/>
        <v>0.1253135017395523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6.8212102632969618E-13</v>
      </c>
      <c r="FF200" s="17">
        <f>FE200*VLOOKUP('Données projet'!$B$16,Paramètres!$A$1:$I$89,3,0)*VLOOKUP('Données projet'!$B$16,Paramètres!$A$1:$I$89,5,0)</f>
        <v>3.2810021366458383E-13</v>
      </c>
      <c r="FG200" s="13">
        <f t="shared" si="182"/>
        <v>4.2923528923937213E-12</v>
      </c>
      <c r="FH200" s="20">
        <f t="shared" si="183"/>
        <v>8.0472891597182151E-12</v>
      </c>
      <c r="FI200" s="59">
        <f t="shared" si="199"/>
        <v>293.33333333334139</v>
      </c>
      <c r="FJ200" s="59">
        <f ca="1">AVERAGE(OFFSET($FI$3,0,0,'Données projet'!$E$16+1,1))-AVERAGE(OFFSET($H$3,0,0,'Données projet'!$E$16+1,1))</f>
        <v>322.54393676667081</v>
      </c>
      <c r="FK200" s="59">
        <f t="shared" si="211"/>
        <v>296.73904998640018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0.24671424668046427</v>
      </c>
      <c r="FR200" s="21">
        <f>EXP(-LN(2)/25)*FR199+(1-EXP(-LN(2)/25))/(LN(2)/25)*Calculateur!FM200*Calculateur!FO200*VLOOKUP('Données projet'!$B$16,Paramètres!$A$1:$I$89,3,0)*0.475*44/12</f>
        <v>0.13091023952771205</v>
      </c>
      <c r="FS200" s="21">
        <f>EXP(-LN(2)/2)*FS199+(1-EXP(-LN(2)/2))/(LN(2)/2)*FM200*FP200*VLOOKUP('Données projet'!$B$16,Paramètres!$A$1:$I$89,3,0)*0.475*44/12</f>
        <v>1.5289990022198948E-24</v>
      </c>
      <c r="FT200" s="22">
        <f t="shared" si="184"/>
        <v>0.37762448620817635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293.33333333333974</v>
      </c>
      <c r="S201" s="59">
        <f ca="1">AVERAGE(OFFSET($R$3,0,0,'Données projet'!$E$9+1,1))-AVERAGE(OFFSET($H$3,0,0,'Données projet'!$E$9+1,1))</f>
        <v>401.06118089678654</v>
      </c>
      <c r="T201" s="59">
        <f t="shared" si="204"/>
        <v>399.58193819355591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6.2527760746888816E-13</v>
      </c>
      <c r="AJ201" s="13">
        <f>AI201*VLOOKUP('Données projet'!$B$10,Paramètres!$A$1:$I$89,3,0)*VLOOKUP('Données projet'!$B$10,Paramètres!$A$1:$I$89,5,0)</f>
        <v>3.9017322706058616E-13</v>
      </c>
      <c r="AK201" s="13">
        <f t="shared" si="164"/>
        <v>5.0025007393608908E-12</v>
      </c>
      <c r="AL201" s="20">
        <f t="shared" si="165"/>
        <v>9.3922404915174053E-12</v>
      </c>
      <c r="AM201" s="59">
        <f t="shared" si="193"/>
        <v>293.33333333334269</v>
      </c>
      <c r="AN201" s="59">
        <f ca="1">AVERAGE(OFFSET($AM$3,0,0,'Données projet'!$E$10+1,1))-AVERAGE(OFFSET($H$3,0,0,'Données projet'!$E$10+1,1))</f>
        <v>240.30073883588199</v>
      </c>
      <c r="AO201" s="59">
        <f t="shared" si="205"/>
        <v>263.20351282678843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0.24960211039123997</v>
      </c>
      <c r="AV201" s="21">
        <f>EXP(-LN(2)/25)*AV200+(1-EXP(-LN(2)/25))/(LN(2)/25)*Calculateur!AQ201*Calculateur!AS201*VLOOKUP('Données projet'!$B$10,Paramètres!$A$1:$I$89,3,0)*0.475*44/12</f>
        <v>0.19719196958424196</v>
      </c>
      <c r="AW201" s="21">
        <f>EXP(-LN(2)/2)*AW200+(1-EXP(-LN(2)/2))/(LN(2)/2)*AQ201*AT201*VLOOKUP('Données projet'!$B$10,Paramètres!$A$1:$I$89,3,0)*0.475*44/12</f>
        <v>1.0438406960192642E-24</v>
      </c>
      <c r="AX201" s="21">
        <f t="shared" si="166"/>
        <v>0.44679407997548193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-1.0936673788819462E-13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364.67510777943329</v>
      </c>
      <c r="BJ201" s="59">
        <f t="shared" si="206"/>
        <v>352.13878061387169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0.31746268415385853</v>
      </c>
      <c r="BQ201" s="21">
        <f>EXP(-LN(2)/25)*BQ200+(1-EXP(-LN(2)/25))/(LN(2)/25)*Calculateur!BL201*Calculateur!BN201*VLOOKUP('Données projet'!$B$11,Paramètres!$A$1:$I$89,3,0)*0.475*44/12</f>
        <v>0.17089074235177573</v>
      </c>
      <c r="BR201" s="21">
        <f>EXP(-LN(2)/2)*BR200+(1-EXP(-LN(2)/2))/(LN(2)/2)*BL201*BO201*VLOOKUP('Données projet'!$B$11,Paramètres!$A$1:$I$89,3,0)*0.475*44/12</f>
        <v>1.4203495834837857E-24</v>
      </c>
      <c r="BS201" s="22">
        <f t="shared" si="169"/>
        <v>0.48835342650563429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-5.3205440053716299E-14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252.98248842635206</v>
      </c>
      <c r="CE201" s="59">
        <f t="shared" si="207"/>
        <v>207.11938580878308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0.11252152280047954</v>
      </c>
      <c r="CL201" s="21">
        <f>EXP(-LN(2)/25)*CL200+(1-EXP(-LN(2)/25))/(LN(2)/25)*Calculateur!CG201*Calculateur!CI201*VLOOKUP('Données projet'!$B$12,Paramètres!$A$1:$I$89,3,0)*0.475*44/12</f>
        <v>7.4516129946611082E-2</v>
      </c>
      <c r="CM201" s="21">
        <f>EXP(-LN(2)/2)*CM200+(1-EXP(-LN(2)/2))/(LN(2)/2)*CG201*CJ201*VLOOKUP('Données projet'!$B$12,Paramètres!$A$1:$I$89,3,0)*0.475*44/12</f>
        <v>5.0831161023129439E-25</v>
      </c>
      <c r="CN201" s="22">
        <f t="shared" si="172"/>
        <v>0.18703765274709061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-5.6843418860808015E-13</v>
      </c>
      <c r="CU201" s="17">
        <f>CT201*VLOOKUP('Données projet'!$B$13,Paramètres!$A$1:$I$89,3,0)*VLOOKUP('Données projet'!$B$13,Paramètres!$A$1:$I$89,5,0)</f>
        <v>-3.177547114319168E-13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356.67698551373468</v>
      </c>
      <c r="CZ201" s="59">
        <f t="shared" si="208"/>
        <v>353.21836615408171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0.16397471974313407</v>
      </c>
      <c r="DG201" s="21">
        <f>EXP(-LN(2)/25)*DG200+(1-EXP(-LN(2)/25))/(LN(2)/25)*Calculateur!DB201*Calculateur!DD201*VLOOKUP('Données projet'!$B$13,Paramètres!$A$1:$I$89,3,0)*0.475*44/12</f>
        <v>0.28621749558415982</v>
      </c>
      <c r="DH201" s="21">
        <f>EXP(-LN(2)/2)*DH200+(1-EXP(-LN(2)/2))/(LN(2)/2)*DB201*DE201*VLOOKUP('Données projet'!$B$13,Paramètres!$A$1:$I$89,3,0)*0.475*44/12</f>
        <v>1.6813525612350201E-24</v>
      </c>
      <c r="DI201" s="22">
        <f t="shared" si="175"/>
        <v>0.45019221532729392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-2.7193891583010558E-13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247.30892363953825</v>
      </c>
      <c r="DU201" s="59">
        <f t="shared" si="209"/>
        <v>248.38414731596578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0.1218867974445336</v>
      </c>
      <c r="EC201" s="21">
        <f>EXP(-LN(2)/2)*EC200+(1-EXP(-LN(2)/2))/(LN(2)/2)*DW201*DZ201*VLOOKUP('Données projet'!$B$14,Paramètres!$A$1:$I$89,3,0)*0.475*44/12</f>
        <v>1.2267791522448008E-24</v>
      </c>
      <c r="ED201" s="22">
        <f t="shared" si="178"/>
        <v>0.1218867974445336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-4.5474735088646412E-13</v>
      </c>
      <c r="EK201" s="17">
        <f>EJ201*VLOOKUP('Données projet'!$B$15,Paramètres!$A$1:$I$89,3,0)*VLOOKUP('Données projet'!$B$15,Paramètres!$A$1:$I$89,5,0)</f>
        <v>-2.7193891583010558E-13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247.30892363953825</v>
      </c>
      <c r="EP201" s="59">
        <f t="shared" si="210"/>
        <v>248.38414731596578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0.1218867974445336</v>
      </c>
      <c r="EX201" s="21">
        <f>EXP(-LN(2)/2)*EX200+(1-EXP(-LN(2)/2))/(LN(2)/2)*ER201*EU201*VLOOKUP('Données projet'!$B$15,Paramètres!$A$1:$I$89,3,0)*0.475*44/12</f>
        <v>1.2267791522448008E-24</v>
      </c>
      <c r="EY201" s="22">
        <f t="shared" si="181"/>
        <v>0.1218867974445336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6.8212102632969618E-13</v>
      </c>
      <c r="FF201" s="17">
        <f>FE201*VLOOKUP('Données projet'!$B$16,Paramètres!$A$1:$I$89,3,0)*VLOOKUP('Données projet'!$B$16,Paramètres!$A$1:$I$89,5,0)</f>
        <v>3.2810021366458383E-13</v>
      </c>
      <c r="FG201" s="13">
        <f t="shared" si="182"/>
        <v>4.2923528923937213E-12</v>
      </c>
      <c r="FH201" s="20">
        <f t="shared" si="183"/>
        <v>8.0472891597182151E-12</v>
      </c>
      <c r="FI201" s="59">
        <f t="shared" si="199"/>
        <v>293.33333333334139</v>
      </c>
      <c r="FJ201" s="59">
        <f ca="1">AVERAGE(OFFSET($FI$3,0,0,'Données projet'!$E$16+1,1))-AVERAGE(OFFSET($H$3,0,0,'Données projet'!$E$16+1,1))</f>
        <v>322.54393676667081</v>
      </c>
      <c r="FK201" s="59">
        <f t="shared" si="211"/>
        <v>296.73904998640018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0.24187633078389209</v>
      </c>
      <c r="FR201" s="21">
        <f>EXP(-LN(2)/25)*FR200+(1-EXP(-LN(2)/25))/(LN(2)/25)*Calculateur!FM201*Calculateur!FO201*VLOOKUP('Données projet'!$B$16,Paramètres!$A$1:$I$89,3,0)*0.475*44/12</f>
        <v>0.12733049214355646</v>
      </c>
      <c r="FS201" s="21">
        <f>EXP(-LN(2)/2)*FS200+(1-EXP(-LN(2)/2))/(LN(2)/2)*FM201*FP201*VLOOKUP('Données projet'!$B$16,Paramètres!$A$1:$I$89,3,0)*0.475*44/12</f>
        <v>1.0811655628971527E-24</v>
      </c>
      <c r="FT201" s="22">
        <f t="shared" si="184"/>
        <v>0.36920682292744855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293.33333333333974</v>
      </c>
      <c r="S202" s="59">
        <f ca="1">AVERAGE(OFFSET($R$3,0,0,'Données projet'!$E$9+1,1))-AVERAGE(OFFSET($H$3,0,0,'Données projet'!$E$9+1,1))</f>
        <v>401.06118089678654</v>
      </c>
      <c r="T202" s="59">
        <f t="shared" si="204"/>
        <v>399.58193819355591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6.2527760746888816E-13</v>
      </c>
      <c r="AJ202" s="13">
        <f>AI202*VLOOKUP('Données projet'!$B$10,Paramètres!$A$1:$I$89,3,0)*VLOOKUP('Données projet'!$B$10,Paramètres!$A$1:$I$89,5,0)</f>
        <v>3.9017322706058616E-13</v>
      </c>
      <c r="AK202" s="13">
        <f t="shared" si="164"/>
        <v>5.0025007393608908E-12</v>
      </c>
      <c r="AL202" s="20">
        <f t="shared" si="165"/>
        <v>9.3922404915174053E-12</v>
      </c>
      <c r="AM202" s="59">
        <f t="shared" si="193"/>
        <v>293.33333333334269</v>
      </c>
      <c r="AN202" s="59">
        <f ca="1">AVERAGE(OFFSET($AM$3,0,0,'Données projet'!$E$10+1,1))-AVERAGE(OFFSET($H$3,0,0,'Données projet'!$E$10+1,1))</f>
        <v>240.30073883588199</v>
      </c>
      <c r="AO202" s="59">
        <f t="shared" si="205"/>
        <v>263.20351282678843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0.24470756524872242</v>
      </c>
      <c r="AV202" s="21">
        <f>EXP(-LN(2)/25)*AV201+(1-EXP(-LN(2)/25))/(LN(2)/25)*Calculateur!AQ202*Calculateur!AS202*VLOOKUP('Données projet'!$B$10,Paramètres!$A$1:$I$89,3,0)*0.475*44/12</f>
        <v>0.19179974480608586</v>
      </c>
      <c r="AW202" s="21">
        <f>EXP(-LN(2)/2)*AW201+(1-EXP(-LN(2)/2))/(LN(2)/2)*AQ202*AT202*VLOOKUP('Données projet'!$B$10,Paramètres!$A$1:$I$89,3,0)*0.475*44/12</f>
        <v>7.3810683463370735E-25</v>
      </c>
      <c r="AX202" s="21">
        <f t="shared" si="166"/>
        <v>0.43650731005480825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-1.0936673788819462E-13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364.67510777943329</v>
      </c>
      <c r="BJ202" s="59">
        <f t="shared" si="206"/>
        <v>352.13878061387169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0.31123743455071901</v>
      </c>
      <c r="BQ202" s="21">
        <f>EXP(-LN(2)/25)*BQ201+(1-EXP(-LN(2)/25))/(LN(2)/25)*Calculateur!BL202*Calculateur!BN202*VLOOKUP('Données projet'!$B$11,Paramètres!$A$1:$I$89,3,0)*0.475*44/12</f>
        <v>0.16621772601541285</v>
      </c>
      <c r="BR202" s="21">
        <f>EXP(-LN(2)/2)*BR201+(1-EXP(-LN(2)/2))/(LN(2)/2)*BL202*BO202*VLOOKUP('Données projet'!$B$11,Paramètres!$A$1:$I$89,3,0)*0.475*44/12</f>
        <v>1.0043388221368732E-24</v>
      </c>
      <c r="BS202" s="22">
        <f t="shared" si="169"/>
        <v>0.47745516056613185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-5.3205440053716299E-14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252.98248842635206</v>
      </c>
      <c r="CE202" s="59">
        <f t="shared" si="207"/>
        <v>207.11938580878308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0.11031504436971426</v>
      </c>
      <c r="CL202" s="21">
        <f>EXP(-LN(2)/25)*CL201+(1-EXP(-LN(2)/25))/(LN(2)/25)*Calculateur!CG202*Calculateur!CI202*VLOOKUP('Données projet'!$B$12,Paramètres!$A$1:$I$89,3,0)*0.475*44/12</f>
        <v>7.2478482454588031E-2</v>
      </c>
      <c r="CM202" s="21">
        <f>EXP(-LN(2)/2)*CM201+(1-EXP(-LN(2)/2))/(LN(2)/2)*CG202*CJ202*VLOOKUP('Données projet'!$B$12,Paramètres!$A$1:$I$89,3,0)*0.475*44/12</f>
        <v>3.5943058655040152E-25</v>
      </c>
      <c r="CN202" s="22">
        <f t="shared" si="172"/>
        <v>0.18279352682430228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-5.6843418860808015E-13</v>
      </c>
      <c r="CU202" s="17">
        <f>CT202*VLOOKUP('Données projet'!$B$13,Paramètres!$A$1:$I$89,3,0)*VLOOKUP('Données projet'!$B$13,Paramètres!$A$1:$I$89,5,0)</f>
        <v>-3.177547114319168E-13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356.67698551373468</v>
      </c>
      <c r="CZ202" s="59">
        <f t="shared" si="208"/>
        <v>353.21836615408171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0.16075927550367464</v>
      </c>
      <c r="DG202" s="21">
        <f>EXP(-LN(2)/25)*DG201+(1-EXP(-LN(2)/25))/(LN(2)/25)*Calculateur!DB202*Calculateur!DD202*VLOOKUP('Données projet'!$B$13,Paramètres!$A$1:$I$89,3,0)*0.475*44/12</f>
        <v>0.27839086311588701</v>
      </c>
      <c r="DH202" s="21">
        <f>EXP(-LN(2)/2)*DH201+(1-EXP(-LN(2)/2))/(LN(2)/2)*DB202*DE202*VLOOKUP('Données projet'!$B$13,Paramètres!$A$1:$I$89,3,0)*0.475*44/12</f>
        <v>1.1888957976146526E-24</v>
      </c>
      <c r="DI202" s="22">
        <f t="shared" si="175"/>
        <v>0.43915013861956165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-2.7193891583010558E-13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247.30892363953825</v>
      </c>
      <c r="DU202" s="59">
        <f t="shared" si="209"/>
        <v>248.38414731596578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0.11855379655866473</v>
      </c>
      <c r="EC202" s="21">
        <f>EXP(-LN(2)/2)*EC201+(1-EXP(-LN(2)/2))/(LN(2)/2)*DW202*DZ202*VLOOKUP('Données projet'!$B$14,Paramètres!$A$1:$I$89,3,0)*0.475*44/12</f>
        <v>8.6746385757058259E-25</v>
      </c>
      <c r="ED202" s="22">
        <f t="shared" si="178"/>
        <v>0.11855379655866473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-4.5474735088646412E-13</v>
      </c>
      <c r="EK202" s="17">
        <f>EJ202*VLOOKUP('Données projet'!$B$15,Paramètres!$A$1:$I$89,3,0)*VLOOKUP('Données projet'!$B$15,Paramètres!$A$1:$I$89,5,0)</f>
        <v>-2.7193891583010558E-13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247.30892363953825</v>
      </c>
      <c r="EP202" s="59">
        <f t="shared" si="210"/>
        <v>248.38414731596578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0.11855379655866473</v>
      </c>
      <c r="EX202" s="21">
        <f>EXP(-LN(2)/2)*EX201+(1-EXP(-LN(2)/2))/(LN(2)/2)*ER202*EU202*VLOOKUP('Données projet'!$B$15,Paramètres!$A$1:$I$89,3,0)*0.475*44/12</f>
        <v>8.6746385757058259E-25</v>
      </c>
      <c r="EY202" s="22">
        <f t="shared" si="181"/>
        <v>0.11855379655866473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6.8212102632969618E-13</v>
      </c>
      <c r="FF202" s="17">
        <f>FE202*VLOOKUP('Données projet'!$B$16,Paramètres!$A$1:$I$89,3,0)*VLOOKUP('Données projet'!$B$16,Paramètres!$A$1:$I$89,5,0)</f>
        <v>3.2810021366458383E-13</v>
      </c>
      <c r="FG202" s="13">
        <f t="shared" si="182"/>
        <v>4.2923528923937213E-12</v>
      </c>
      <c r="FH202" s="20">
        <f t="shared" si="183"/>
        <v>8.0472891597182151E-12</v>
      </c>
      <c r="FI202" s="59">
        <f t="shared" si="199"/>
        <v>293.33333333334139</v>
      </c>
      <c r="FJ202" s="59">
        <f ca="1">AVERAGE(OFFSET($FI$3,0,0,'Données projet'!$E$16+1,1))-AVERAGE(OFFSET($H$3,0,0,'Données projet'!$E$16+1,1))</f>
        <v>322.54393676667081</v>
      </c>
      <c r="FK202" s="59">
        <f t="shared" si="211"/>
        <v>296.73904998640018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0.23713328346721438</v>
      </c>
      <c r="FR202" s="21">
        <f>EXP(-LN(2)/25)*FR201+(1-EXP(-LN(2)/25))/(LN(2)/25)*Calculateur!FM202*Calculateur!FO202*VLOOKUP('Données projet'!$B$16,Paramètres!$A$1:$I$89,3,0)*0.475*44/12</f>
        <v>0.12384863313987135</v>
      </c>
      <c r="FS202" s="21">
        <f>EXP(-LN(2)/2)*FS201+(1-EXP(-LN(2)/2))/(LN(2)/2)*FM202*FP202*VLOOKUP('Données projet'!$B$16,Paramètres!$A$1:$I$89,3,0)*0.475*44/12</f>
        <v>7.6449950110994742E-25</v>
      </c>
      <c r="FT202" s="22">
        <f t="shared" si="184"/>
        <v>0.36098191660708573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293.33333333333974</v>
      </c>
      <c r="S203" s="59">
        <f ca="1">AVERAGE(OFFSET($R$3,0,0,'Données projet'!$E$9+1,1))-AVERAGE(OFFSET($H$3,0,0,'Données projet'!$E$9+1,1))</f>
        <v>401.06118089678654</v>
      </c>
      <c r="T203" s="59">
        <f t="shared" si="204"/>
        <v>399.58193819355591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6.2527760746888816E-13</v>
      </c>
      <c r="AJ203" s="13">
        <f>AI203*VLOOKUP('Données projet'!$B$10,Paramètres!$A$1:$I$89,3,0)*VLOOKUP('Données projet'!$B$10,Paramètres!$A$1:$I$89,5,0)</f>
        <v>3.9017322706058616E-13</v>
      </c>
      <c r="AK203" s="13">
        <f t="shared" si="164"/>
        <v>5.0025007393608908E-12</v>
      </c>
      <c r="AL203" s="20">
        <f t="shared" si="165"/>
        <v>9.3922404915174053E-12</v>
      </c>
      <c r="AM203" s="59">
        <f t="shared" si="193"/>
        <v>293.33333333334269</v>
      </c>
      <c r="AN203" s="59">
        <f ca="1">AVERAGE(OFFSET($AM$3,0,0,'Données projet'!$E$10+1,1))-AVERAGE(OFFSET($H$3,0,0,'Données projet'!$E$10+1,1))</f>
        <v>240.30073883588199</v>
      </c>
      <c r="AO203" s="59">
        <f t="shared" si="205"/>
        <v>263.20351282678843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0.23990899915107189</v>
      </c>
      <c r="AV203" s="21">
        <f>EXP(-LN(2)/25)*AV202+(1-EXP(-LN(2)/25))/(LN(2)/25)*Calculateur!AQ203*Calculateur!AS203*VLOOKUP('Données projet'!$B$10,Paramètres!$A$1:$I$89,3,0)*0.475*44/12</f>
        <v>0.18655497069805321</v>
      </c>
      <c r="AW203" s="21">
        <f>EXP(-LN(2)/2)*AW202+(1-EXP(-LN(2)/2))/(LN(2)/2)*AQ203*AT203*VLOOKUP('Données projet'!$B$10,Paramètres!$A$1:$I$89,3,0)*0.475*44/12</f>
        <v>5.2192034800963212E-25</v>
      </c>
      <c r="AX203" s="21">
        <f t="shared" si="166"/>
        <v>0.4264639698491251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-1.0936673788819462E-13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364.67510777943329</v>
      </c>
      <c r="BJ203" s="59">
        <f t="shared" si="206"/>
        <v>352.13878061387169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0.30513425829526974</v>
      </c>
      <c r="BQ203" s="21">
        <f>EXP(-LN(2)/25)*BQ202+(1-EXP(-LN(2)/25))/(LN(2)/25)*Calculateur!BL203*Calculateur!BN203*VLOOKUP('Données projet'!$B$11,Paramètres!$A$1:$I$89,3,0)*0.475*44/12</f>
        <v>0.16167249355651106</v>
      </c>
      <c r="BR203" s="21">
        <f>EXP(-LN(2)/2)*BR202+(1-EXP(-LN(2)/2))/(LN(2)/2)*BL203*BO203*VLOOKUP('Données projet'!$B$11,Paramètres!$A$1:$I$89,3,0)*0.475*44/12</f>
        <v>7.1017479174189286E-25</v>
      </c>
      <c r="BS203" s="22">
        <f t="shared" si="169"/>
        <v>0.46680675185178078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-5.3205440053716299E-14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252.98248842635206</v>
      </c>
      <c r="CE203" s="59">
        <f t="shared" si="207"/>
        <v>207.11938580878308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0.10815183363515733</v>
      </c>
      <c r="CL203" s="21">
        <f>EXP(-LN(2)/25)*CL202+(1-EXP(-LN(2)/25))/(LN(2)/25)*Calculateur!CG203*Calculateur!CI203*VLOOKUP('Données projet'!$B$12,Paramètres!$A$1:$I$89,3,0)*0.475*44/12</f>
        <v>7.0496554540389583E-2</v>
      </c>
      <c r="CM203" s="21">
        <f>EXP(-LN(2)/2)*CM202+(1-EXP(-LN(2)/2))/(LN(2)/2)*CG203*CJ203*VLOOKUP('Données projet'!$B$12,Paramètres!$A$1:$I$89,3,0)*0.475*44/12</f>
        <v>2.5415580511564719E-25</v>
      </c>
      <c r="CN203" s="22">
        <f t="shared" si="172"/>
        <v>0.1786483881755469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-5.6843418860808015E-13</v>
      </c>
      <c r="CU203" s="17">
        <f>CT203*VLOOKUP('Données projet'!$B$13,Paramètres!$A$1:$I$89,3,0)*VLOOKUP('Données projet'!$B$13,Paramètres!$A$1:$I$89,5,0)</f>
        <v>-3.177547114319168E-13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356.67698551373468</v>
      </c>
      <c r="CZ203" s="59">
        <f t="shared" si="208"/>
        <v>353.21836615408171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0.15760688416452365</v>
      </c>
      <c r="DG203" s="21">
        <f>EXP(-LN(2)/25)*DG202+(1-EXP(-LN(2)/25))/(LN(2)/25)*Calculateur!DB203*Calculateur!DD203*VLOOKUP('Données projet'!$B$13,Paramètres!$A$1:$I$89,3,0)*0.475*44/12</f>
        <v>0.27077825032404385</v>
      </c>
      <c r="DH203" s="21">
        <f>EXP(-LN(2)/2)*DH202+(1-EXP(-LN(2)/2))/(LN(2)/2)*DB203*DE203*VLOOKUP('Données projet'!$B$13,Paramètres!$A$1:$I$89,3,0)*0.475*44/12</f>
        <v>8.4067628061751003E-25</v>
      </c>
      <c r="DI203" s="22">
        <f t="shared" si="175"/>
        <v>0.42838513448856752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-2.7193891583010558E-13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247.30892363953825</v>
      </c>
      <c r="DU203" s="59">
        <f t="shared" si="209"/>
        <v>248.38414731596578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0.11531193675729484</v>
      </c>
      <c r="EC203" s="21">
        <f>EXP(-LN(2)/2)*EC202+(1-EXP(-LN(2)/2))/(LN(2)/2)*DW203*DZ203*VLOOKUP('Données projet'!$B$14,Paramètres!$A$1:$I$89,3,0)*0.475*44/12</f>
        <v>6.1338957612240039E-25</v>
      </c>
      <c r="ED203" s="22">
        <f t="shared" si="178"/>
        <v>0.11531193675729484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-4.5474735088646412E-13</v>
      </c>
      <c r="EK203" s="17">
        <f>EJ203*VLOOKUP('Données projet'!$B$15,Paramètres!$A$1:$I$89,3,0)*VLOOKUP('Données projet'!$B$15,Paramètres!$A$1:$I$89,5,0)</f>
        <v>-2.7193891583010558E-13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247.30892363953825</v>
      </c>
      <c r="EP203" s="59">
        <f t="shared" si="210"/>
        <v>248.38414731596578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0.11531193675729484</v>
      </c>
      <c r="EX203" s="21">
        <f>EXP(-LN(2)/2)*EX202+(1-EXP(-LN(2)/2))/(LN(2)/2)*ER203*EU203*VLOOKUP('Données projet'!$B$15,Paramètres!$A$1:$I$89,3,0)*0.475*44/12</f>
        <v>6.1338957612240039E-25</v>
      </c>
      <c r="EY203" s="22">
        <f t="shared" si="181"/>
        <v>0.11531193675729484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6.8212102632969618E-13</v>
      </c>
      <c r="FF203" s="17">
        <f>FE203*VLOOKUP('Données projet'!$B$16,Paramètres!$A$1:$I$89,3,0)*VLOOKUP('Données projet'!$B$16,Paramètres!$A$1:$I$89,5,0)</f>
        <v>3.2810021366458383E-13</v>
      </c>
      <c r="FG203" s="13">
        <f t="shared" si="182"/>
        <v>4.2923528923937213E-12</v>
      </c>
      <c r="FH203" s="20">
        <f t="shared" si="183"/>
        <v>8.0472891597182151E-12</v>
      </c>
      <c r="FI203" s="59">
        <f t="shared" si="199"/>
        <v>293.33333333334139</v>
      </c>
      <c r="FJ203" s="59">
        <f ca="1">AVERAGE(OFFSET($FI$3,0,0,'Données projet'!$E$16+1,1))-AVERAGE(OFFSET($H$3,0,0,'Données projet'!$E$16+1,1))</f>
        <v>322.54393676667081</v>
      </c>
      <c r="FK203" s="59">
        <f t="shared" si="211"/>
        <v>296.73904998640018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0.23248324441544349</v>
      </c>
      <c r="FR203" s="21">
        <f>EXP(-LN(2)/25)*FR202+(1-EXP(-LN(2)/25))/(LN(2)/25)*Calculateur!FM203*Calculateur!FO203*VLOOKUP('Données projet'!$B$16,Paramètres!$A$1:$I$89,3,0)*0.475*44/12</f>
        <v>0.120461985753745</v>
      </c>
      <c r="FS203" s="21">
        <f>EXP(-LN(2)/2)*FS202+(1-EXP(-LN(2)/2))/(LN(2)/2)*FM203*FP203*VLOOKUP('Données projet'!$B$16,Paramètres!$A$1:$I$89,3,0)*0.475*44/12</f>
        <v>5.4058278144857633E-25</v>
      </c>
      <c r="FT203" s="22">
        <f t="shared" si="184"/>
        <v>0.3529452301691885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1.3492828476735632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1.2693871579679339</v>
      </c>
      <c r="BA205" s="82">
        <f>EXP(LN('Données projet'!B88)/'Données projet'!A88)</f>
        <v>1.274560627319262</v>
      </c>
      <c r="BV205" s="82">
        <f>EXP(LN('Données projet'!B114)/'Données projet'!A114)</f>
        <v>1.2880503926580862</v>
      </c>
      <c r="CQ205" s="82">
        <f>EXP(LN('Données projet'!B140)/'Données projet'!A140)</f>
        <v>1.2820888539868154</v>
      </c>
      <c r="DL205" s="82">
        <f>EXP(LN('Données projet'!B166)/'Données projet'!A166)</f>
        <v>1.2530028811664373</v>
      </c>
      <c r="EG205" s="82">
        <f>EXP(LN('Données projet'!B192)/'Données projet'!A192)</f>
        <v>1.2530028811664373</v>
      </c>
      <c r="FB205" s="82">
        <f>EXP(LN('Données projet'!B218)/'Données projet'!A218)</f>
        <v>1.2563584400948855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A14" sqref="A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3.2800000000000002</v>
      </c>
      <c r="C6" s="147">
        <f ca="1">IF(OR('Données projet'!B9="",'Données projet'!C9="",'Données projet'!C9=0%),0,Calculateur!S3)</f>
        <v>401.06118089678654</v>
      </c>
      <c r="D6" s="147">
        <f>IF(OR('Données projet'!B9="",'Données projet'!C9="",'Données projet'!C9=0%),0,Calculateur!T3)</f>
        <v>399.58193819355591</v>
      </c>
      <c r="E6" s="147">
        <f ca="1">MIN(C6,D6)</f>
        <v>399.58193819355591</v>
      </c>
      <c r="F6" s="147">
        <f ca="1">E6*B6</f>
        <v>1310.6287572748636</v>
      </c>
      <c r="G6" s="147">
        <f ca="1">F6*(100%-'Données projet'!$C$24)*(100%-'Données projet'!$C$25)*(100%-'Données projet'!$C$26)*(100%-'Données projet'!$C$27)</f>
        <v>1179.5658815473773</v>
      </c>
      <c r="H6" s="148">
        <f>IF(OR('Données projet'!B9="",'Données projet'!C9="",'Données projet'!C9=0%),0,AVERAGE(Calculateur!$AC$3:$AC$33)*B6)</f>
        <v>33.373839523137043</v>
      </c>
      <c r="I6" s="149">
        <f>H6*(100%-'Données projet'!$C$24)*(100%-'Données projet'!$C$25)*(100%-'Données projet'!$C$26)*(100%-'Données projet'!$C$27)</f>
        <v>30.036455570823339</v>
      </c>
      <c r="J6" s="150">
        <f>IF(OR('Données projet'!B9="",'Données projet'!C9="",'Données projet'!C9=0%),0,SUM(Calculateur!$V$3:$V$33)*VLOOKUP('Données projet'!$B$9,Paramètres!$A$1:$I$89,9,0)*B6)</f>
        <v>296.18400000000003</v>
      </c>
      <c r="K6" s="151">
        <f>J6*(100%-'Données projet'!$C$24)*(100%-'Données projet'!$C$25)*(100%-'Données projet'!$C$26)*(100%-'Données projet'!$C$27)</f>
        <v>266.56560000000002</v>
      </c>
      <c r="L6" s="152">
        <f ca="1">G6+I6+K6</f>
        <v>1476.1679371182008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0.49</v>
      </c>
      <c r="C7" s="147">
        <f ca="1">IF(OR('Données projet'!B10="",'Données projet'!C10="",'Données projet'!C10=0%),0,Calculateur!AN3)</f>
        <v>240.30073883588199</v>
      </c>
      <c r="D7" s="147">
        <f>IF(OR('Données projet'!B10="",'Données projet'!C10="",'Données projet'!C10=0%),0,Calculateur!AO3)</f>
        <v>263.20351282678843</v>
      </c>
      <c r="E7" s="147">
        <f t="shared" ref="E7:E15" ca="1" si="0">MIN(C7,D7)</f>
        <v>240.30073883588199</v>
      </c>
      <c r="F7" s="147">
        <f t="shared" ref="F7:F15" ca="1" si="1">E7*B7</f>
        <v>117.74736202958218</v>
      </c>
      <c r="G7" s="147">
        <f ca="1">F7*(100%-'Données projet'!$C$24)*(100%-'Données projet'!$C$25)*(100%-'Données projet'!$C$26)*(100%-'Données projet'!$C$27)</f>
        <v>105.97262582662397</v>
      </c>
      <c r="H7" s="155">
        <f>IF(OR('Données projet'!B10="",'Données projet'!C10="",'Données projet'!C10=0%),0,AVERAGE(Calculateur!$AX$3:$AX$33)*B7)</f>
        <v>2.7219587325843393</v>
      </c>
      <c r="I7" s="149">
        <f>H7*(100%-'Données projet'!$C$24)*(100%-'Données projet'!$C$25)*(100%-'Données projet'!$C$26)*(100%-'Données projet'!$C$27)</f>
        <v>2.4497628593259053</v>
      </c>
      <c r="J7" s="150">
        <f>IF(OR('Données projet'!B10="",'Données projet'!C10="",'Données projet'!C10=0%),0,SUM(Calculateur!$AQ$3:$AQ$33)*VLOOKUP('Données projet'!$B$10,Paramètres!$A$1:$I$89,9,0)*B7)</f>
        <v>22.544899999999998</v>
      </c>
      <c r="K7" s="151">
        <f>J7*(100%-'Données projet'!$C$24)*(100%-'Données projet'!$C$25)*(100%-'Données projet'!$C$26)*(100%-'Données projet'!$C$27)</f>
        <v>20.290409999999998</v>
      </c>
      <c r="L7" s="152">
        <f t="shared" ref="L7:L15" ca="1" si="2">G7+I7+K7</f>
        <v>128.71279868594988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Sapin de Nordmann</v>
      </c>
      <c r="B8" s="154">
        <f>'Données projet'!D11</f>
        <v>0.33</v>
      </c>
      <c r="C8" s="147">
        <f ca="1">IF(OR('Données projet'!B11="",'Données projet'!C11="",'Données projet'!C11=0%),0,Calculateur!BI3)</f>
        <v>364.67510777943329</v>
      </c>
      <c r="D8" s="147">
        <f>IF(OR('Données projet'!B11="",'Données projet'!C11="",'Données projet'!C11=0%),0,Calculateur!BJ3)</f>
        <v>352.13878061387169</v>
      </c>
      <c r="E8" s="147">
        <f t="shared" ca="1" si="0"/>
        <v>352.13878061387169</v>
      </c>
      <c r="F8" s="147">
        <f t="shared" ca="1" si="1"/>
        <v>116.20579760257766</v>
      </c>
      <c r="G8" s="147">
        <f ca="1">F8*(100%-'Données projet'!$C$24)*(100%-'Données projet'!$C$25)*(100%-'Données projet'!$C$26)*(100%-'Données projet'!$C$27)</f>
        <v>104.58521784231989</v>
      </c>
      <c r="H8" s="155">
        <f>IF(OR('Données projet'!B11="",'Données projet'!C11="",'Données projet'!C11=0%),0,AVERAGE(Calculateur!$BS$3:$BS$33)*B8)</f>
        <v>0.65656747159859286</v>
      </c>
      <c r="I8" s="149">
        <f>H8*(100%-'Données projet'!$C$24)*(100%-'Données projet'!$C$25)*(100%-'Données projet'!$C$26)*(100%-'Données projet'!$C$27)</f>
        <v>0.5909107244387336</v>
      </c>
      <c r="J8" s="150">
        <f>IF(OR('Données projet'!B11="",'Données projet'!C11="",'Données projet'!C11=0%),0,SUM(Calculateur!$BL$3:$BL$33)*VLOOKUP('Données projet'!$B$11,Paramètres!$A$1:$I$89,9,0)*B8)</f>
        <v>18.305099999999999</v>
      </c>
      <c r="K8" s="151">
        <f>J8*(100%-'Données projet'!$C$24)*(100%-'Données projet'!$C$25)*(100%-'Données projet'!$C$26)*(100%-'Données projet'!$C$27)</f>
        <v>16.474589999999999</v>
      </c>
      <c r="L8" s="152">
        <f t="shared" ca="1" si="2"/>
        <v>121.65071856675863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6.42</v>
      </c>
      <c r="C9" s="147">
        <f ca="1">IF(OR('Données projet'!B12="",'Données projet'!C12="",'Données projet'!C12=0%),0,Calculateur!CD3)</f>
        <v>252.98248842635206</v>
      </c>
      <c r="D9" s="147">
        <f>IF(OR('Données projet'!B12="",'Données projet'!C12="",'Données projet'!C12=0%),0,Calculateur!CE3)</f>
        <v>207.11938580878308</v>
      </c>
      <c r="E9" s="147">
        <f t="shared" ca="1" si="0"/>
        <v>207.11938580878308</v>
      </c>
      <c r="F9" s="147">
        <f t="shared" ca="1" si="1"/>
        <v>1329.7064568923875</v>
      </c>
      <c r="G9" s="147">
        <f ca="1">F9*(100%-'Données projet'!$C$24)*(100%-'Données projet'!$C$25)*(100%-'Données projet'!$C$26)*(100%-'Données projet'!$C$27)</f>
        <v>1196.7358112031488</v>
      </c>
      <c r="H9" s="155">
        <f>IF(OR('Données projet'!B12="",'Données projet'!C12="",'Données projet'!C12=0%),0,AVERAGE(Calculateur!$CN$3:$CN$33)*B9)</f>
        <v>10.478939104841809</v>
      </c>
      <c r="I9" s="149">
        <f>H9*(100%-'Données projet'!$C$24)*(100%-'Données projet'!$C$25)*(100%-'Données projet'!$C$26)*(100%-'Données projet'!$C$27)</f>
        <v>9.4310451943576279</v>
      </c>
      <c r="J9" s="150">
        <f>IF(OR('Données projet'!B12="",'Données projet'!C12="",'Données projet'!C12=0%),0,SUM(Calculateur!$CG$3:$CG$33)*VLOOKUP('Données projet'!$B$12,Paramètres!$A$1:$I$89,9,0)*B9)</f>
        <v>161.21903999999998</v>
      </c>
      <c r="K9" s="151">
        <f>J9*(100%-'Données projet'!$C$24)*(100%-'Données projet'!$C$25)*(100%-'Données projet'!$C$26)*(100%-'Données projet'!$C$27)</f>
        <v>145.09713599999998</v>
      </c>
      <c r="L9" s="152">
        <f t="shared" ca="1" si="2"/>
        <v>1351.2639923975066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Douglas</v>
      </c>
      <c r="B10" s="154">
        <f>'Données projet'!D13</f>
        <v>1.64</v>
      </c>
      <c r="C10" s="147">
        <f ca="1">IF(OR('Données projet'!B13="",'Données projet'!C13="",'Données projet'!C13=0%),0,Calculateur!CY3)</f>
        <v>356.67698551373468</v>
      </c>
      <c r="D10" s="147">
        <f>IF(OR('Données projet'!B13="",'Données projet'!C13="",'Données projet'!C13=0%),0,Calculateur!CZ3)</f>
        <v>353.21836615408171</v>
      </c>
      <c r="E10" s="147">
        <f t="shared" ca="1" si="0"/>
        <v>353.21836615408171</v>
      </c>
      <c r="F10" s="147">
        <f t="shared" ca="1" si="1"/>
        <v>579.27812049269392</v>
      </c>
      <c r="G10" s="147">
        <f ca="1">F10*(100%-'Données projet'!$C$24)*(100%-'Données projet'!$C$25)*(100%-'Données projet'!$C$26)*(100%-'Données projet'!$C$27)</f>
        <v>521.35030844342452</v>
      </c>
      <c r="H10" s="155">
        <f>IF(OR('Données projet'!B13="",'Données projet'!C13="",'Données projet'!C13=0%),0,AVERAGE(Calculateur!$DI$3:$DI$33)*B10)</f>
        <v>13.041735997494158</v>
      </c>
      <c r="I10" s="149">
        <f>H10*(100%-'Données projet'!$C$24)*(100%-'Données projet'!$C$25)*(100%-'Données projet'!$C$26)*(100%-'Données projet'!$C$27)</f>
        <v>11.737562397744743</v>
      </c>
      <c r="J10" s="150">
        <f>IF(OR('Données projet'!B13="",'Données projet'!C13="",'Données projet'!C13=0%),0,SUM(Calculateur!$DB$3:$DB$33)*VLOOKUP('Données projet'!$B$13,Paramètres!$A$1:$I$89,9,0)*B10)</f>
        <v>123.41</v>
      </c>
      <c r="K10" s="151">
        <f>J10*(100%-'Données projet'!$C$24)*(100%-'Données projet'!$C$25)*(100%-'Données projet'!$C$26)*(100%-'Données projet'!$C$27)</f>
        <v>111.069</v>
      </c>
      <c r="L10" s="152">
        <f t="shared" ca="1" si="2"/>
        <v>644.15687084116928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laricio</v>
      </c>
      <c r="B11" s="154">
        <f>'Données projet'!D14</f>
        <v>3.1399999999999997</v>
      </c>
      <c r="C11" s="147">
        <f ca="1">IF(OR('Données projet'!B14="",'Données projet'!C14="",'Données projet'!C14=0%),0,Calculateur!DT3)</f>
        <v>247.30892363953825</v>
      </c>
      <c r="D11" s="147">
        <f>IF(OR('Données projet'!B14="",'Données projet'!C14="",'Données projet'!C14=0%),0,Calculateur!DU3)</f>
        <v>248.38414731596578</v>
      </c>
      <c r="E11" s="147">
        <f t="shared" ca="1" si="0"/>
        <v>247.30892363953825</v>
      </c>
      <c r="F11" s="147">
        <f t="shared" ca="1" si="1"/>
        <v>776.55002022815006</v>
      </c>
      <c r="G11" s="147">
        <f ca="1">F11*(100%-'Données projet'!$C$24)*(100%-'Données projet'!$C$25)*(100%-'Données projet'!$C$26)*(100%-'Données projet'!$C$27)</f>
        <v>698.89501820533508</v>
      </c>
      <c r="H11" s="155">
        <f>IF(OR('Données projet'!B14="",'Données projet'!C14="",'Données projet'!C14=0%),0,AVERAGE(Calculateur!$ED$3:$ED$33)*B11)</f>
        <v>4.5236970568170181</v>
      </c>
      <c r="I11" s="149">
        <f>H11*(100%-'Données projet'!$C$24)*(100%-'Données projet'!$C$25)*(100%-'Données projet'!$C$26)*(100%-'Données projet'!$C$27)</f>
        <v>4.0713273511353165</v>
      </c>
      <c r="J11" s="150">
        <f>IF(OR('Données projet'!B14="",'Données projet'!C14="",'Données projet'!C14=0%),0,SUM(Calculateur!$DW$3:$DW$33)*VLOOKUP('Données projet'!$B$14,Paramètres!$A$1:$I$89,9,0)*B11)</f>
        <v>98.564599999999999</v>
      </c>
      <c r="K11" s="151">
        <f>J11*(100%-'Données projet'!$C$24)*(100%-'Données projet'!$C$25)*(100%-'Données projet'!$C$26)*(100%-'Données projet'!$C$27)</f>
        <v>88.70814</v>
      </c>
      <c r="L11" s="152">
        <f t="shared" ca="1" si="2"/>
        <v>791.67448555647036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Pin laricio</v>
      </c>
      <c r="B12" s="154">
        <f>'Données projet'!D15</f>
        <v>3.28</v>
      </c>
      <c r="C12" s="147">
        <f ca="1">IF(OR('Données projet'!B15="",'Données projet'!C15="",'Données projet'!C15=0%),0,Calculateur!EO3)</f>
        <v>247.30892363953825</v>
      </c>
      <c r="D12" s="147">
        <f>IF(OR('Données projet'!B15="",'Données projet'!C15="",'Données projet'!C15=0%),0,Calculateur!EP3)</f>
        <v>248.38414731596578</v>
      </c>
      <c r="E12" s="147">
        <f t="shared" ca="1" si="0"/>
        <v>247.30892363953825</v>
      </c>
      <c r="F12" s="147">
        <f t="shared" ca="1" si="1"/>
        <v>811.17326953768543</v>
      </c>
      <c r="G12" s="147">
        <f ca="1">F12*(100%-'Données projet'!$C$24)*(100%-'Données projet'!$C$25)*(100%-'Données projet'!$C$26)*(100%-'Données projet'!$C$27)</f>
        <v>730.05594258391693</v>
      </c>
      <c r="H12" s="155">
        <f>IF(OR('Données projet'!B15="",'Données projet'!C15="",'Données projet'!C15=0%),0,AVERAGE(Calculateur!$EY$3:$EY$33)*B12)</f>
        <v>4.7253905561655483</v>
      </c>
      <c r="I12" s="149">
        <f>H12*(100%-'Données projet'!$C$24)*(100%-'Données projet'!$C$25)*(100%-'Données projet'!$C$26)*(100%-'Données projet'!$C$27)</f>
        <v>4.252851500548994</v>
      </c>
      <c r="J12" s="150">
        <f>IF(OR('Données projet'!B15="",'Données projet'!C15="",'Données projet'!C15=0%),0,SUM(Calculateur!$ER$3:$ER$33)*VLOOKUP('Données projet'!$B$15,Paramètres!$A$1:$I$89,9,0)*B12)</f>
        <v>102.9592</v>
      </c>
      <c r="K12" s="151">
        <f>J12*(100%-'Données projet'!$C$24)*(100%-'Données projet'!$C$25)*(100%-'Données projet'!$C$26)*(100%-'Données projet'!$C$27)</f>
        <v>92.66328</v>
      </c>
      <c r="L12" s="152">
        <f t="shared" ca="1" si="2"/>
        <v>826.97207408446593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Sapin de Nordmann</v>
      </c>
      <c r="B13" s="154">
        <f>'Données projet'!D16</f>
        <v>1.5699999999999998</v>
      </c>
      <c r="C13" s="147">
        <f ca="1">IF(OR('Données projet'!B16="",'Données projet'!C16="",'Données projet'!C16=0%),0,Calculateur!FJ3)</f>
        <v>322.54393676667081</v>
      </c>
      <c r="D13" s="147">
        <f>IF(OR('Données projet'!B16="",'Données projet'!C16="",'Données projet'!C16=0%),0,Calculateur!FK3)</f>
        <v>296.73904998640018</v>
      </c>
      <c r="E13" s="147">
        <f t="shared" ca="1" si="0"/>
        <v>296.73904998640018</v>
      </c>
      <c r="F13" s="147">
        <f t="shared" ca="1" si="1"/>
        <v>465.8803084786482</v>
      </c>
      <c r="G13" s="147">
        <f ca="1">F13*(100%-'Données projet'!$C$24)*(100%-'Données projet'!$C$25)*(100%-'Données projet'!$C$26)*(100%-'Données projet'!$C$27)</f>
        <v>419.29227763078342</v>
      </c>
      <c r="H13" s="155">
        <f>IF(OR('Données projet'!B16="",'Données projet'!C16="",'Données projet'!C16=0%),0,AVERAGE(Calculateur!$FT$3:$FT$33)*B13)</f>
        <v>2.0802002564991722</v>
      </c>
      <c r="I13" s="149">
        <f>H13*(100%-'Données projet'!$C$24)*(100%-'Données projet'!$C$25)*(100%-'Données projet'!$C$26)*(100%-'Données projet'!$C$27)</f>
        <v>1.872180230849255</v>
      </c>
      <c r="J13" s="150">
        <f>IF(OR('Données projet'!C16="",'Données projet'!C16=0%),0,SUM(Calculateur!$FM$3:$FM$33)*VLOOKUP('Données projet'!$B$16,Paramètres!$A$1:$I$89,9,0)*B13)</f>
        <v>64.809599999999989</v>
      </c>
      <c r="K13" s="151">
        <f>J13*(100%-'Données projet'!$C$24)*(100%-'Données projet'!$C$25)*(100%-'Données projet'!$C$26)*(100%-'Données projet'!$C$27)</f>
        <v>58.328639999999993</v>
      </c>
      <c r="L13" s="152">
        <f t="shared" ca="1" si="2"/>
        <v>479.49309786163269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5507.1700925365894</v>
      </c>
      <c r="G16" s="166">
        <f t="shared" ca="1" si="3"/>
        <v>4956.4530832829296</v>
      </c>
      <c r="H16" s="167">
        <f t="shared" si="3"/>
        <v>71.602328699137672</v>
      </c>
      <c r="I16" s="167">
        <f t="shared" si="3"/>
        <v>64.442095829223916</v>
      </c>
      <c r="J16" s="168">
        <f t="shared" si="3"/>
        <v>887.99643999999989</v>
      </c>
      <c r="K16" s="168">
        <f t="shared" si="3"/>
        <v>799.19679599999984</v>
      </c>
      <c r="L16" s="169">
        <f t="shared" ca="1" si="3"/>
        <v>5820.0919751121546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Sapin de Nordmann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Pin laricio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Sapin de Nordmann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A16" sqref="A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5" width="11.42578125" style="1"/>
    <col min="16" max="16" width="12" style="1" bestFit="1" customWidth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5231.4962982417655</v>
      </c>
      <c r="U10" s="178">
        <f>'Données projet'!D9</f>
        <v>3.2800000000000002</v>
      </c>
      <c r="V10" s="177">
        <f>U10*T10</f>
        <v>17159.307858232991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1735.8073664112549</v>
      </c>
      <c r="U11" s="178">
        <f>'Données projet'!D10</f>
        <v>0.49</v>
      </c>
      <c r="V11" s="177">
        <f t="shared" ref="V11" si="0">U11*T11</f>
        <v>850.54560954151486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de Nordmann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3739.9882044536939</v>
      </c>
      <c r="U12" s="178">
        <f>'Données projet'!D11</f>
        <v>0.33</v>
      </c>
      <c r="V12" s="177">
        <f t="shared" ref="V12:V19" si="1">U12*T12</f>
        <v>1234.196107469719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1984.5511191766905</v>
      </c>
      <c r="U13" s="178">
        <f>'Données projet'!D12</f>
        <v>6.42</v>
      </c>
      <c r="V13" s="177">
        <f t="shared" si="1"/>
        <v>12740.818185114353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Douglas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4554.5581079557614</v>
      </c>
      <c r="U14" s="178">
        <f>'Données projet'!D13</f>
        <v>1.64</v>
      </c>
      <c r="V14" s="177">
        <f t="shared" si="1"/>
        <v>7469.4752970474483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2065.6026964558223</v>
      </c>
      <c r="U15" s="178">
        <f>'Données projet'!D14</f>
        <v>3.1399999999999997</v>
      </c>
      <c r="V15" s="177">
        <f t="shared" si="1"/>
        <v>6485.9924668712811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60</v>
      </c>
      <c r="O16" s="23"/>
      <c r="P16" s="23"/>
      <c r="Q16" s="234"/>
      <c r="R16" s="23"/>
      <c r="S16" s="36" t="str">
        <f>B200</f>
        <v>Pin laricio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2065.5926964558221</v>
      </c>
      <c r="U16" s="178">
        <f>'Données projet'!D15</f>
        <v>3.28</v>
      </c>
      <c r="V16" s="177">
        <f t="shared" si="1"/>
        <v>6775.1440443750962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406.91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59.999999999999957</v>
      </c>
      <c r="O17" s="23"/>
      <c r="P17" s="23"/>
      <c r="Q17" s="234"/>
      <c r="R17" s="23"/>
      <c r="S17" s="36" t="str">
        <f>B231</f>
        <v>Sapin de Nordmann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3414.2428459189041</v>
      </c>
      <c r="U17" s="178">
        <f>'Données projet'!D16</f>
        <v>1.5699999999999998</v>
      </c>
      <c r="V17" s="177">
        <f t="shared" si="1"/>
        <v>5360.361268092679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2399.9999999999982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1780.16</v>
      </c>
      <c r="J21" s="1" t="s">
        <v>330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489.66</v>
      </c>
      <c r="J22" s="1" t="s">
        <v>331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>
        <v>20</v>
      </c>
      <c r="D23" s="182">
        <f>B23*C23</f>
        <v>0</v>
      </c>
      <c r="E23" s="193"/>
      <c r="F23" s="230"/>
      <c r="H23" s="190">
        <v>0</v>
      </c>
      <c r="I23" s="191">
        <v>2743.74</v>
      </c>
      <c r="J23" s="1" t="s">
        <v>329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-103011.8690544842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84</v>
      </c>
      <c r="C24" s="193">
        <v>22</v>
      </c>
      <c r="D24" s="182">
        <f t="shared" ref="D24:D42" si="2">B24*C24</f>
        <v>1848</v>
      </c>
      <c r="E24" s="193"/>
      <c r="F24" s="233"/>
      <c r="H24" s="190">
        <v>0</v>
      </c>
      <c r="I24" s="191">
        <v>1028.67</v>
      </c>
      <c r="J24" s="1" t="s">
        <v>328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3447.5364404565762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126</v>
      </c>
      <c r="C25" s="193">
        <v>28</v>
      </c>
      <c r="D25" s="182">
        <f t="shared" si="2"/>
        <v>3528</v>
      </c>
      <c r="E25" s="193"/>
      <c r="F25" s="233"/>
      <c r="H25" s="190">
        <v>0</v>
      </c>
      <c r="I25" s="191">
        <v>945.77</v>
      </c>
      <c r="J25" s="1" t="s">
        <v>324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-106459.40549494077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126</v>
      </c>
      <c r="C26" s="193">
        <v>40</v>
      </c>
      <c r="D26" s="182">
        <f t="shared" si="2"/>
        <v>5040</v>
      </c>
      <c r="E26" s="193"/>
      <c r="F26" s="233"/>
      <c r="G26" s="229"/>
      <c r="H26" s="190">
        <v>1</v>
      </c>
      <c r="I26" s="191">
        <v>350</v>
      </c>
      <c r="J26" s="1" t="s">
        <v>327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119</v>
      </c>
      <c r="C27" s="193">
        <v>55</v>
      </c>
      <c r="D27" s="182">
        <f t="shared" si="2"/>
        <v>6545</v>
      </c>
      <c r="E27" s="193"/>
      <c r="F27" s="233"/>
      <c r="G27" s="229"/>
      <c r="H27" s="190">
        <v>3</v>
      </c>
      <c r="I27" s="191">
        <v>400</v>
      </c>
      <c r="J27" s="1" t="s">
        <v>325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90</v>
      </c>
      <c r="C28" s="193">
        <v>62</v>
      </c>
      <c r="D28" s="182">
        <f t="shared" si="2"/>
        <v>5580</v>
      </c>
      <c r="E28" s="193"/>
      <c r="F28" s="233"/>
      <c r="G28" s="205"/>
      <c r="H28" s="190">
        <v>5</v>
      </c>
      <c r="I28" s="191">
        <v>400</v>
      </c>
      <c r="J28" s="1" t="s">
        <v>326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75</v>
      </c>
      <c r="C29" s="193">
        <v>70</v>
      </c>
      <c r="D29" s="182">
        <f t="shared" si="2"/>
        <v>5250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719</v>
      </c>
      <c r="C30" s="193">
        <v>80</v>
      </c>
      <c r="D30" s="182">
        <f t="shared" si="2"/>
        <v>57520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261.22000000000003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37</v>
      </c>
      <c r="C54" s="191">
        <v>20</v>
      </c>
      <c r="D54" s="179">
        <f>B54*C54</f>
        <v>740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70</v>
      </c>
      <c r="C55" s="191">
        <v>22</v>
      </c>
      <c r="D55" s="179">
        <f t="shared" ref="D55:D73" si="4">B55*C55</f>
        <v>1540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1">
        <v>28</v>
      </c>
      <c r="D56" s="179">
        <f t="shared" si="4"/>
        <v>1960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60</v>
      </c>
      <c r="C57" s="191">
        <v>40</v>
      </c>
      <c r="D57" s="179">
        <f t="shared" si="4"/>
        <v>2400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47</v>
      </c>
      <c r="C58" s="191">
        <v>55</v>
      </c>
      <c r="D58" s="179">
        <f t="shared" si="4"/>
        <v>2585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36</v>
      </c>
      <c r="C59" s="191">
        <v>62</v>
      </c>
      <c r="D59" s="179">
        <f t="shared" si="4"/>
        <v>2232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387</v>
      </c>
      <c r="C60" s="191">
        <v>70</v>
      </c>
      <c r="D60" s="179">
        <f t="shared" si="4"/>
        <v>27090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Sapin de Nordmann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234.36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</v>
      </c>
      <c r="C85" s="191">
        <v>22</v>
      </c>
      <c r="D85" s="179">
        <f>B85*C85</f>
        <v>66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126</v>
      </c>
      <c r="C86" s="191">
        <v>30</v>
      </c>
      <c r="D86" s="179">
        <f t="shared" ref="D86:D104" si="6">B86*C86</f>
        <v>3780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126</v>
      </c>
      <c r="C87" s="191">
        <v>35</v>
      </c>
      <c r="D87" s="179">
        <f t="shared" si="6"/>
        <v>4410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126</v>
      </c>
      <c r="C88" s="191">
        <v>40</v>
      </c>
      <c r="D88" s="179">
        <f t="shared" si="6"/>
        <v>5040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107</v>
      </c>
      <c r="C89" s="191">
        <v>42</v>
      </c>
      <c r="D89" s="179">
        <f t="shared" si="6"/>
        <v>4494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98</v>
      </c>
      <c r="C90" s="191">
        <v>45</v>
      </c>
      <c r="D90" s="179">
        <f t="shared" si="6"/>
        <v>4410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826</v>
      </c>
      <c r="C91" s="191">
        <v>45</v>
      </c>
      <c r="D91" s="179">
        <f t="shared" si="6"/>
        <v>37170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913.55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12.5</v>
      </c>
      <c r="C116" s="191">
        <v>20</v>
      </c>
      <c r="D116" s="179">
        <f>B116*C116</f>
        <v>250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45.9</v>
      </c>
      <c r="C117" s="191">
        <v>22</v>
      </c>
      <c r="D117" s="179">
        <f t="shared" ref="D117:D135" si="8">B117*C117</f>
        <v>1009.8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83.4</v>
      </c>
      <c r="C118" s="191">
        <v>28</v>
      </c>
      <c r="D118" s="179">
        <f t="shared" si="8"/>
        <v>2335.2000000000003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83.4</v>
      </c>
      <c r="C119" s="191">
        <v>40</v>
      </c>
      <c r="D119" s="179">
        <f t="shared" si="8"/>
        <v>3336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83.4</v>
      </c>
      <c r="C120" s="191">
        <v>55</v>
      </c>
      <c r="D120" s="179">
        <f t="shared" si="8"/>
        <v>4587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83.4</v>
      </c>
      <c r="C121" s="191">
        <v>62</v>
      </c>
      <c r="D121" s="179">
        <f t="shared" si="8"/>
        <v>5170.8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83.4</v>
      </c>
      <c r="C122" s="191">
        <v>70</v>
      </c>
      <c r="D122" s="179">
        <f t="shared" si="8"/>
        <v>5838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83.4</v>
      </c>
      <c r="C123" s="191">
        <v>80</v>
      </c>
      <c r="D123" s="179">
        <f t="shared" si="8"/>
        <v>6672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726.2</v>
      </c>
      <c r="C124" s="191">
        <v>100</v>
      </c>
      <c r="D124" s="179">
        <f t="shared" si="8"/>
        <v>72620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Douglas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406.91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>
        <v>20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63</v>
      </c>
      <c r="C148" s="191">
        <v>22</v>
      </c>
      <c r="D148" s="182">
        <f t="shared" ref="D148:D166" si="10">B148*C148</f>
        <v>1386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112</v>
      </c>
      <c r="C149" s="191">
        <v>28</v>
      </c>
      <c r="D149" s="182">
        <f t="shared" si="10"/>
        <v>3136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112</v>
      </c>
      <c r="C150" s="191">
        <v>40</v>
      </c>
      <c r="D150" s="182">
        <f t="shared" si="10"/>
        <v>4480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108</v>
      </c>
      <c r="C151" s="191">
        <v>55</v>
      </c>
      <c r="D151" s="182">
        <f t="shared" si="10"/>
        <v>5940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83</v>
      </c>
      <c r="C152" s="191">
        <v>62</v>
      </c>
      <c r="D152" s="182">
        <f t="shared" si="10"/>
        <v>5146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67</v>
      </c>
      <c r="C153" s="191">
        <v>70</v>
      </c>
      <c r="D153" s="182">
        <f t="shared" si="10"/>
        <v>4690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651</v>
      </c>
      <c r="C154" s="191">
        <v>80</v>
      </c>
      <c r="D154" s="182">
        <f t="shared" si="10"/>
        <v>52080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256.93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3</v>
      </c>
      <c r="C178" s="193">
        <v>22</v>
      </c>
      <c r="D178" s="179">
        <f>B178*C178</f>
        <v>66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70</v>
      </c>
      <c r="C179" s="193">
        <v>30</v>
      </c>
      <c r="D179" s="179">
        <f t="shared" ref="D179:D197" si="11">B179*C179</f>
        <v>2100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70</v>
      </c>
      <c r="C180" s="193">
        <v>35</v>
      </c>
      <c r="D180" s="179">
        <f t="shared" si="11"/>
        <v>2450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70</v>
      </c>
      <c r="C181" s="193">
        <v>40</v>
      </c>
      <c r="D181" s="179">
        <f t="shared" si="11"/>
        <v>2800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57</v>
      </c>
      <c r="C182" s="193">
        <v>42</v>
      </c>
      <c r="D182" s="179">
        <f t="shared" si="11"/>
        <v>2394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44</v>
      </c>
      <c r="C183" s="193">
        <v>50</v>
      </c>
      <c r="D183" s="179">
        <f t="shared" si="11"/>
        <v>2200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450</v>
      </c>
      <c r="C184" s="193">
        <v>55</v>
      </c>
      <c r="D184" s="179">
        <f t="shared" si="11"/>
        <v>24750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Pin laricio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256.94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3</v>
      </c>
      <c r="C209" s="193">
        <v>22</v>
      </c>
      <c r="D209" s="179">
        <f>B209*C209</f>
        <v>66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70</v>
      </c>
      <c r="C210" s="193">
        <v>30</v>
      </c>
      <c r="D210" s="179">
        <f t="shared" ref="D210:D228" si="12">B210*C210</f>
        <v>2100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70</v>
      </c>
      <c r="C211" s="193">
        <v>35</v>
      </c>
      <c r="D211" s="179">
        <f t="shared" si="12"/>
        <v>2450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70</v>
      </c>
      <c r="C212" s="193">
        <v>40</v>
      </c>
      <c r="D212" s="179">
        <f t="shared" si="12"/>
        <v>2800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57</v>
      </c>
      <c r="C213" s="193">
        <v>42</v>
      </c>
      <c r="D213" s="179">
        <f t="shared" si="12"/>
        <v>2394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44</v>
      </c>
      <c r="C214" s="193">
        <v>50</v>
      </c>
      <c r="D214" s="179">
        <f t="shared" si="12"/>
        <v>2200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450</v>
      </c>
      <c r="C215" s="193">
        <v>55</v>
      </c>
      <c r="D215" s="179">
        <f t="shared" si="12"/>
        <v>24750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Sapin de Nordmann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234.36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0</v>
      </c>
      <c r="C240" s="193">
        <v>22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96</v>
      </c>
      <c r="C241" s="193">
        <v>30</v>
      </c>
      <c r="D241" s="179">
        <f t="shared" ref="D241:D259" si="13">B241*C241</f>
        <v>2880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132</v>
      </c>
      <c r="C242" s="193">
        <v>35</v>
      </c>
      <c r="D242" s="179">
        <f t="shared" si="13"/>
        <v>4620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132</v>
      </c>
      <c r="C243" s="193">
        <v>40</v>
      </c>
      <c r="D243" s="179">
        <f t="shared" si="13"/>
        <v>5280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106</v>
      </c>
      <c r="C244" s="193">
        <v>42</v>
      </c>
      <c r="D244" s="179">
        <f t="shared" si="13"/>
        <v>4452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88</v>
      </c>
      <c r="C245" s="193">
        <v>45</v>
      </c>
      <c r="D245" s="179">
        <f t="shared" si="13"/>
        <v>3960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753</v>
      </c>
      <c r="C246" s="193">
        <v>45</v>
      </c>
      <c r="D246" s="179">
        <f t="shared" si="13"/>
        <v>33885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/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/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/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/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/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/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/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/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/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/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/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/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Timothee CALLEJA</cp:lastModifiedBy>
  <dcterms:created xsi:type="dcterms:W3CDTF">2021-02-01T08:22:39Z</dcterms:created>
  <dcterms:modified xsi:type="dcterms:W3CDTF">2024-05-06T21:07:24Z</dcterms:modified>
</cp:coreProperties>
</file>