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F190B67A-83D3-4310-AE34-F2A76C2C8A31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BQ4" i="2"/>
  <c r="GL4" i="2"/>
  <c r="EC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G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B156" i="2"/>
  <c r="EX156" i="2"/>
  <c r="FS156" i="2"/>
  <c r="HI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HI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EB185" i="2"/>
  <c r="HG185" i="2"/>
  <c r="HI185" i="2"/>
  <c r="HH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FS201" i="2"/>
  <c r="HG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R202" i="2" l="1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CS77" i="2" a="1"/>
  <c r="CS77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AH19" i="2" l="1" a="1"/>
  <c r="AH19" i="2" s="1"/>
  <c r="AH90" i="2" a="1"/>
  <c r="AH90" i="2" s="1"/>
  <c r="BC31" i="2" a="1"/>
  <c r="BC31" i="2" s="1"/>
  <c r="BC84" i="2" a="1"/>
  <c r="BC84" i="2" s="1"/>
  <c r="BC181" i="2" a="1"/>
  <c r="BC181" i="2" s="1"/>
  <c r="BC164" i="2" a="1"/>
  <c r="BC164" i="2" s="1"/>
  <c r="BC65" i="2" a="1"/>
  <c r="BC65" i="2" s="1"/>
  <c r="AH151" i="2" a="1"/>
  <c r="AH151" i="2" s="1"/>
  <c r="DN29" i="2" a="1"/>
  <c r="DN29" i="2" s="1"/>
  <c r="DN30" i="2" a="1"/>
  <c r="DN30" i="2" s="1"/>
  <c r="FY115" i="2" a="1"/>
  <c r="FY115" i="2" s="1"/>
  <c r="FY34" i="2" a="1"/>
  <c r="FY34" i="2" s="1"/>
  <c r="FY109" i="2" a="1"/>
  <c r="FY109" i="2" s="1"/>
  <c r="DN43" i="2" a="1"/>
  <c r="DN43" i="2" s="1"/>
  <c r="FY164" i="2" a="1"/>
  <c r="FY164" i="2" s="1"/>
  <c r="FY79" i="2" a="1"/>
  <c r="FY79" i="2" s="1"/>
  <c r="DN115" i="2" a="1"/>
  <c r="DN115" i="2" s="1"/>
  <c r="FY143" i="2" a="1"/>
  <c r="FY143" i="2" s="1"/>
  <c r="DN164" i="2" a="1"/>
  <c r="DN164" i="2" s="1"/>
  <c r="FY78" i="2" a="1"/>
  <c r="FY78" i="2" s="1"/>
  <c r="CS105" i="2" a="1"/>
  <c r="CS105" i="2" s="1"/>
  <c r="CS137" i="2" a="1"/>
  <c r="CS137" i="2" s="1"/>
  <c r="DN170" i="2" a="1"/>
  <c r="DN170" i="2" s="1"/>
  <c r="CS129" i="2" a="1"/>
  <c r="CS129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41" i="2" a="1"/>
  <c r="DN41" i="2" s="1"/>
  <c r="FY126" i="2" a="1"/>
  <c r="FY126" i="2" s="1"/>
  <c r="DN177" i="2" a="1"/>
  <c r="DN177" i="2" s="1"/>
  <c r="FY159" i="2" a="1"/>
  <c r="FY159" i="2" s="1"/>
  <c r="DN186" i="2" a="1"/>
  <c r="DN186" i="2" s="1"/>
  <c r="FY149" i="2" a="1"/>
  <c r="FY149" i="2" s="1"/>
  <c r="FY29" i="2" a="1"/>
  <c r="FY29" i="2" s="1"/>
  <c r="DN176" i="2" a="1"/>
  <c r="DN176" i="2" s="1"/>
  <c r="FY121" i="2" a="1"/>
  <c r="FY121" i="2" s="1"/>
  <c r="DN137" i="2" a="1"/>
  <c r="DN137" i="2" s="1"/>
  <c r="FY24" i="2" a="1"/>
  <c r="FY24" i="2" s="1"/>
  <c r="DN190" i="2" a="1"/>
  <c r="DN190" i="2" s="1"/>
  <c r="BX107" i="2" a="1"/>
  <c r="BX107" i="2" s="1"/>
  <c r="AH163" i="2" a="1"/>
  <c r="AH163" i="2" s="1"/>
  <c r="DN124" i="2" a="1"/>
  <c r="DN124" i="2" s="1"/>
  <c r="FY116" i="2" a="1"/>
  <c r="FY116" i="2" s="1"/>
  <c r="FS203" i="2"/>
  <c r="DN63" i="2" a="1"/>
  <c r="DN63" i="2" s="1"/>
  <c r="FY30" i="2" a="1"/>
  <c r="FY30" i="2" s="1"/>
  <c r="DN113" i="2" a="1"/>
  <c r="DN113" i="2" s="1"/>
  <c r="FY190" i="2" a="1"/>
  <c r="FY190" i="2" s="1"/>
  <c r="FY22" i="2" a="1"/>
  <c r="FY22" i="2" s="1"/>
  <c r="DN55" i="2" a="1"/>
  <c r="DN55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88" i="2" a="1"/>
  <c r="DN188" i="2" s="1"/>
  <c r="DN16" i="2" a="1"/>
  <c r="DN16" i="2" s="1"/>
  <c r="DN86" i="2" a="1"/>
  <c r="DN86" i="2" s="1"/>
  <c r="FY173" i="2" a="1"/>
  <c r="FY173" i="2" s="1"/>
  <c r="FY133" i="2" a="1"/>
  <c r="FY133" i="2" s="1"/>
  <c r="DN46" i="2" a="1"/>
  <c r="DN46" i="2" s="1"/>
  <c r="DN162" i="2" a="1"/>
  <c r="DN162" i="2" s="1"/>
  <c r="FY86" i="2" a="1"/>
  <c r="FY86" i="2" s="1"/>
  <c r="DN114" i="2" a="1"/>
  <c r="DN114" i="2" s="1"/>
  <c r="FY188" i="2" a="1"/>
  <c r="FY188" i="2" s="1"/>
  <c r="FY140" i="2" a="1"/>
  <c r="FY140" i="2" s="1"/>
  <c r="DN49" i="2" a="1"/>
  <c r="DN49" i="2" s="1"/>
  <c r="FY58" i="2" a="1"/>
  <c r="FY58" i="2" s="1"/>
  <c r="DN103" i="2" a="1"/>
  <c r="DN103" i="2" s="1"/>
  <c r="FY28" i="2" a="1"/>
  <c r="FY28" i="2" s="1"/>
  <c r="FY47" i="2" a="1"/>
  <c r="FY47" i="2" s="1"/>
  <c r="DN153" i="2" a="1"/>
  <c r="DN153" i="2" s="1"/>
  <c r="FY191" i="2" a="1"/>
  <c r="FY191" i="2" s="1"/>
  <c r="FY35" i="2" a="1"/>
  <c r="FY35" i="2" s="1"/>
  <c r="DN187" i="2" a="1"/>
  <c r="DN187" i="2" s="1"/>
  <c r="DN135" i="2" a="1"/>
  <c r="DN135" i="2" s="1"/>
  <c r="FY167" i="2" a="1"/>
  <c r="FY167" i="2" s="1"/>
  <c r="DN65" i="2" a="1"/>
  <c r="DN65" i="2" s="1"/>
  <c r="CS114" i="2" a="1"/>
  <c r="CS114" i="2" s="1"/>
  <c r="CS120" i="2" a="1"/>
  <c r="CS120" i="2" s="1"/>
  <c r="FY80" i="2" a="1"/>
  <c r="FY80" i="2" s="1"/>
  <c r="DN50" i="2" a="1"/>
  <c r="DN50" i="2" s="1"/>
  <c r="FY62" i="2" a="1"/>
  <c r="FY62" i="2" s="1"/>
  <c r="FY102" i="2" a="1"/>
  <c r="FY102" i="2" s="1"/>
  <c r="FY32" i="2" a="1"/>
  <c r="FY32" i="2" s="1"/>
  <c r="CS72" i="2" a="1"/>
  <c r="CS72" i="2" s="1"/>
  <c r="DN70" i="2" a="1"/>
  <c r="DN70" i="2" s="1"/>
  <c r="CS56" i="2" a="1"/>
  <c r="CS56" i="2" s="1"/>
  <c r="BC192" i="2" a="1"/>
  <c r="BC192" i="2" s="1"/>
  <c r="AH62" i="2" a="1"/>
  <c r="AH62" i="2" s="1"/>
  <c r="CS116" i="2" a="1"/>
  <c r="CS116" i="2" s="1"/>
  <c r="CS66" i="2" a="1"/>
  <c r="CS66" i="2" s="1"/>
  <c r="FY92" i="2" a="1"/>
  <c r="FY92" i="2" s="1"/>
  <c r="FY69" i="2" a="1"/>
  <c r="FY69" i="2" s="1"/>
  <c r="DN45" i="2" a="1"/>
  <c r="DN45" i="2" s="1"/>
  <c r="DN80" i="2" a="1"/>
  <c r="DN80" i="2" s="1"/>
  <c r="BC18" i="2" a="1"/>
  <c r="BC18" i="2" s="1"/>
  <c r="FD64" i="2" a="1"/>
  <c r="FD64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201" i="2" l="1"/>
  <c r="CD60" i="2"/>
  <c r="CD47" i="2"/>
  <c r="CD31" i="2"/>
  <c r="CD120" i="2"/>
  <c r="CD82" i="2"/>
  <c r="CD90" i="2"/>
  <c r="CD181" i="2"/>
  <c r="CD155" i="2"/>
  <c r="CD119" i="2"/>
  <c r="CD129" i="2"/>
  <c r="CD9" i="2"/>
  <c r="CD55" i="2"/>
  <c r="CD92" i="2"/>
  <c r="CD151" i="2"/>
  <c r="CD105" i="2"/>
  <c r="CD160" i="2"/>
  <c r="CD136" i="2"/>
  <c r="CD87" i="2"/>
  <c r="CD106" i="2"/>
  <c r="CD168" i="2"/>
  <c r="CD57" i="2"/>
  <c r="CD7" i="2"/>
  <c r="CD42" i="2"/>
  <c r="CD63" i="2"/>
  <c r="CD46" i="2"/>
  <c r="CD152" i="2"/>
  <c r="CD23" i="2"/>
  <c r="CD191" i="2"/>
  <c r="CD72" i="2"/>
  <c r="CD59" i="2"/>
  <c r="CD178" i="2"/>
  <c r="CD84" i="2"/>
  <c r="CD184" i="2"/>
  <c r="CD177" i="2"/>
  <c r="CD149" i="2"/>
  <c r="CD14" i="2"/>
  <c r="CD172" i="2"/>
  <c r="CD53" i="2"/>
  <c r="CD195" i="2"/>
  <c r="CD76" i="2"/>
  <c r="CD131" i="2"/>
  <c r="CD115" i="2"/>
  <c r="CD41" i="2"/>
  <c r="CD6" i="2"/>
  <c r="CD88" i="2"/>
  <c r="CD118" i="2"/>
  <c r="CD45" i="2"/>
  <c r="CD117" i="2"/>
  <c r="CD148" i="2"/>
  <c r="CD75" i="2"/>
  <c r="CD103" i="2"/>
  <c r="CD19" i="2"/>
  <c r="CD170" i="2"/>
  <c r="CD32" i="2"/>
  <c r="CD81" i="2"/>
  <c r="CD67" i="2"/>
  <c r="CD194" i="2"/>
  <c r="CD110" i="2"/>
  <c r="CD161" i="2"/>
  <c r="CD18" i="2"/>
  <c r="CD199" i="2"/>
  <c r="CD157" i="2"/>
  <c r="CD99" i="2"/>
  <c r="CD86" i="2"/>
  <c r="CD34" i="2"/>
  <c r="CD49" i="2"/>
  <c r="CD28" i="2"/>
  <c r="CD102" i="2"/>
  <c r="CD33" i="2"/>
  <c r="CD139" i="2"/>
  <c r="CD35" i="2"/>
  <c r="CD85" i="2"/>
  <c r="CD48" i="2"/>
  <c r="CD128" i="2"/>
  <c r="CD124" i="2"/>
  <c r="CD78" i="2"/>
  <c r="CD97" i="2"/>
  <c r="CD153" i="2"/>
  <c r="CD58" i="2"/>
  <c r="CD141" i="2"/>
  <c r="CD38" i="2"/>
  <c r="CD135" i="2"/>
  <c r="CD36" i="2"/>
  <c r="CD193" i="2"/>
  <c r="CD109" i="2"/>
  <c r="CD91" i="2"/>
  <c r="CD37" i="2"/>
  <c r="CD176" i="2"/>
  <c r="CD189" i="2"/>
  <c r="CD125" i="2"/>
  <c r="CD192" i="2"/>
  <c r="CD68" i="2"/>
  <c r="CD162" i="2"/>
  <c r="CD126" i="2"/>
  <c r="CD8" i="2"/>
  <c r="CD127" i="2"/>
  <c r="CD5" i="2"/>
  <c r="CD163" i="2"/>
  <c r="CD134" i="2"/>
  <c r="CD98" i="2"/>
  <c r="CD147" i="2"/>
  <c r="CD54" i="2"/>
  <c r="CD158" i="2"/>
  <c r="CD197" i="2"/>
  <c r="CD101" i="2"/>
  <c r="CD80" i="2"/>
  <c r="CD174" i="2"/>
  <c r="CD159" i="2"/>
  <c r="CD179" i="2"/>
  <c r="CD146" i="2"/>
  <c r="CD200" i="2"/>
  <c r="CD188" i="2"/>
  <c r="CD56" i="2"/>
  <c r="CD190" i="2"/>
  <c r="CD25" i="2"/>
  <c r="CD104" i="2"/>
  <c r="CD138" i="2"/>
  <c r="CD62" i="2"/>
  <c r="CD70" i="2"/>
  <c r="CD4" i="2"/>
  <c r="CD24" i="2"/>
  <c r="CD183" i="2"/>
  <c r="CD142" i="2"/>
  <c r="CD30" i="2"/>
  <c r="CD27" i="2"/>
  <c r="CD83" i="2"/>
  <c r="CD52" i="2"/>
  <c r="CD77" i="2"/>
  <c r="CD61" i="2"/>
  <c r="CD79" i="2"/>
  <c r="CD164" i="2"/>
  <c r="CD11" i="2"/>
  <c r="CD116" i="2"/>
  <c r="CD198" i="2"/>
  <c r="CD187" i="2"/>
  <c r="CD137" i="2"/>
  <c r="CD154" i="2"/>
  <c r="CD132" i="2"/>
  <c r="CD29" i="2"/>
  <c r="CD73" i="2"/>
  <c r="CD145" i="2"/>
  <c r="CD150" i="2"/>
  <c r="CD144" i="2"/>
  <c r="CD39" i="2"/>
  <c r="CD171" i="2"/>
  <c r="CD50" i="2"/>
  <c r="CD112" i="2"/>
  <c r="CD71" i="2"/>
  <c r="CD21" i="2"/>
  <c r="CD93" i="2"/>
  <c r="CD143" i="2"/>
  <c r="CD186" i="2"/>
  <c r="CD180" i="2"/>
  <c r="CD65" i="2"/>
  <c r="CD165" i="2"/>
  <c r="CD169" i="2"/>
  <c r="CD113" i="2"/>
  <c r="CD96" i="2"/>
  <c r="CD130" i="2"/>
  <c r="CD44" i="2"/>
  <c r="CD26" i="2"/>
  <c r="CD12" i="2"/>
  <c r="CD182" i="2"/>
  <c r="CD122" i="2"/>
  <c r="CD133" i="2"/>
  <c r="CD51" i="2"/>
  <c r="CD173" i="2"/>
  <c r="CD74" i="2"/>
  <c r="CD13" i="2"/>
  <c r="CD100" i="2"/>
  <c r="CD121" i="2"/>
  <c r="CD22" i="2"/>
  <c r="CD20" i="2"/>
  <c r="CD202" i="2"/>
  <c r="CD40" i="2"/>
  <c r="CD64" i="2"/>
  <c r="CD43" i="2"/>
  <c r="CD3" i="2"/>
  <c r="C9" i="4" s="1"/>
  <c r="E9" i="4" s="1"/>
  <c r="F9" i="4" s="1"/>
  <c r="G9" i="4" s="1"/>
  <c r="L9" i="4" s="1"/>
  <c r="CD185" i="2"/>
  <c r="CD15" i="2"/>
  <c r="CD167" i="2"/>
  <c r="CD10" i="2"/>
  <c r="CD140" i="2"/>
  <c r="CD107" i="2"/>
  <c r="CD94" i="2"/>
  <c r="CD175" i="2"/>
  <c r="CD123" i="2"/>
  <c r="CD111" i="2"/>
  <c r="CD16" i="2"/>
  <c r="CD196" i="2"/>
  <c r="CD69" i="2"/>
  <c r="CD156" i="2"/>
  <c r="CD114" i="2"/>
  <c r="CD166" i="2"/>
  <c r="CD203" i="2"/>
  <c r="CD17" i="2"/>
  <c r="CD108" i="2"/>
  <c r="CD89" i="2"/>
  <c r="CD95" i="2"/>
  <c r="CD66" i="2"/>
  <c r="AN32" i="2"/>
  <c r="AN29" i="2"/>
  <c r="AN146" i="2"/>
  <c r="AN185" i="2"/>
  <c r="AN16" i="2"/>
  <c r="AN164" i="2"/>
  <c r="AN160" i="2"/>
  <c r="AN122" i="2"/>
  <c r="AN70" i="2"/>
  <c r="AN11" i="2"/>
  <c r="AN6" i="2"/>
  <c r="AN138" i="2"/>
  <c r="AN77" i="2"/>
  <c r="AN78" i="2"/>
  <c r="AN15" i="2"/>
  <c r="AN35" i="2"/>
  <c r="AN46" i="2"/>
  <c r="AN124" i="2"/>
  <c r="AN75" i="2"/>
  <c r="AN148" i="2"/>
  <c r="AN150" i="2"/>
  <c r="AN94" i="2"/>
  <c r="AN57" i="2"/>
  <c r="AN48" i="2"/>
  <c r="AN82" i="2"/>
  <c r="AN175" i="2"/>
  <c r="AN136" i="2"/>
  <c r="AN42" i="2"/>
  <c r="AN181" i="2"/>
  <c r="AN17" i="2"/>
  <c r="AN163" i="2"/>
  <c r="AN74" i="2"/>
  <c r="AN86" i="2"/>
  <c r="AN25" i="2"/>
  <c r="AN167" i="2"/>
  <c r="AN165" i="2"/>
  <c r="AN101" i="2"/>
  <c r="AN8" i="2"/>
  <c r="AN143" i="2"/>
  <c r="AN102" i="2"/>
  <c r="AN112" i="2"/>
  <c r="AN118" i="2"/>
  <c r="AN195" i="2"/>
  <c r="AN12" i="2"/>
  <c r="AN151" i="2"/>
  <c r="AN79" i="2"/>
  <c r="AN89" i="2"/>
  <c r="AN187" i="2"/>
  <c r="AN38" i="2"/>
  <c r="AN159" i="2"/>
  <c r="AN114" i="2"/>
  <c r="AN135" i="2"/>
  <c r="AN50" i="2"/>
  <c r="AN9" i="2"/>
  <c r="AN154" i="2"/>
  <c r="AN198" i="2"/>
  <c r="AN47" i="2"/>
  <c r="AN83" i="2"/>
  <c r="AN170" i="2"/>
  <c r="AN142" i="2"/>
  <c r="AN173" i="2"/>
  <c r="AN153" i="2"/>
  <c r="AN7" i="2"/>
  <c r="AN66" i="2"/>
  <c r="AN14" i="2"/>
  <c r="AN158" i="2"/>
  <c r="AN125" i="2"/>
  <c r="AN39" i="2"/>
  <c r="AN113" i="2"/>
  <c r="AN180" i="2"/>
  <c r="AN200" i="2"/>
  <c r="AN111" i="2"/>
  <c r="AN91" i="2"/>
  <c r="AN54" i="2"/>
  <c r="AN52" i="2"/>
  <c r="AN105" i="2"/>
  <c r="AN133" i="2"/>
  <c r="AN109" i="2"/>
  <c r="AN37" i="2"/>
  <c r="AN129" i="2"/>
  <c r="AN41" i="2"/>
  <c r="AN76" i="2"/>
  <c r="AN172" i="2"/>
  <c r="AN177" i="2"/>
  <c r="AN169" i="2"/>
  <c r="AN67" i="2"/>
  <c r="AN53" i="2"/>
  <c r="AN188" i="2"/>
  <c r="AN23" i="2"/>
  <c r="AN69" i="2"/>
  <c r="AN59" i="2"/>
  <c r="AN171" i="2"/>
  <c r="AN149" i="2"/>
  <c r="AN117" i="2"/>
  <c r="AN115" i="2"/>
  <c r="AN80" i="2"/>
  <c r="AN34" i="2"/>
  <c r="AN199" i="2"/>
  <c r="AN18" i="2"/>
  <c r="AN85" i="2"/>
  <c r="AN104" i="2"/>
  <c r="AN202" i="2"/>
  <c r="AN22" i="2"/>
  <c r="AN90" i="2"/>
  <c r="AN100" i="2"/>
  <c r="AN193" i="2"/>
  <c r="AN26" i="2"/>
  <c r="AN63" i="2"/>
  <c r="AN157" i="2"/>
  <c r="AN19" i="2"/>
  <c r="AN196" i="2"/>
  <c r="AN166" i="2"/>
  <c r="AN20" i="2"/>
  <c r="AN49" i="2"/>
  <c r="AN174" i="2"/>
  <c r="AN186" i="2"/>
  <c r="AN44" i="2"/>
  <c r="AN110" i="2"/>
  <c r="AN182" i="2"/>
  <c r="AN152" i="2"/>
  <c r="AN116" i="2"/>
  <c r="AN43" i="2"/>
  <c r="AN201" i="2"/>
  <c r="AN64" i="2"/>
  <c r="AN45" i="2"/>
  <c r="AN190" i="2"/>
  <c r="AN5" i="2"/>
  <c r="AN71" i="2"/>
  <c r="AN36" i="2"/>
  <c r="AN13" i="2"/>
  <c r="AN155" i="2"/>
  <c r="AN132" i="2"/>
  <c r="AN139" i="2"/>
  <c r="AN21" i="2"/>
  <c r="AN95" i="2"/>
  <c r="AN176" i="2"/>
  <c r="AN203" i="2"/>
  <c r="AN28" i="2"/>
  <c r="AN68" i="2"/>
  <c r="AN156" i="2"/>
  <c r="AN98" i="2"/>
  <c r="AN27" i="2"/>
  <c r="AN73" i="2"/>
  <c r="AN128" i="2"/>
  <c r="AN56" i="2"/>
  <c r="AN161" i="2"/>
  <c r="AN106" i="2"/>
  <c r="AN97" i="2"/>
  <c r="AN130" i="2"/>
  <c r="AN96" i="2"/>
  <c r="AN147" i="2"/>
  <c r="AN144" i="2"/>
  <c r="AN192" i="2"/>
  <c r="AN140" i="2"/>
  <c r="AN162" i="2"/>
  <c r="AN197" i="2"/>
  <c r="AN30" i="2"/>
  <c r="AN178" i="2"/>
  <c r="AN127" i="2"/>
  <c r="AN40" i="2"/>
  <c r="AN119" i="2"/>
  <c r="AN120" i="2"/>
  <c r="AN137" i="2"/>
  <c r="AN24" i="2"/>
  <c r="AN108" i="2"/>
  <c r="AN51" i="2"/>
  <c r="AN3" i="2"/>
  <c r="C7" i="4" s="1"/>
  <c r="E7" i="4" s="1"/>
  <c r="F7" i="4" s="1"/>
  <c r="G7" i="4" s="1"/>
  <c r="L7" i="4" s="1"/>
  <c r="AN194" i="2"/>
  <c r="AN84" i="2"/>
  <c r="AN72" i="2"/>
  <c r="AN179" i="2"/>
  <c r="AN58" i="2"/>
  <c r="AN4" i="2"/>
  <c r="AN99" i="2"/>
  <c r="AN65" i="2"/>
  <c r="AN33" i="2"/>
  <c r="AN191" i="2"/>
  <c r="AN126" i="2"/>
  <c r="AN92" i="2"/>
  <c r="AN184" i="2"/>
  <c r="AN31" i="2"/>
  <c r="AN107" i="2"/>
  <c r="AN141" i="2"/>
  <c r="AN81" i="2"/>
  <c r="AN183" i="2"/>
  <c r="AN87" i="2"/>
  <c r="AN121" i="2"/>
  <c r="AN168" i="2"/>
  <c r="AN189" i="2"/>
  <c r="AN55" i="2"/>
  <c r="AN10" i="2"/>
  <c r="AN61" i="2"/>
  <c r="AN93" i="2"/>
  <c r="AN103" i="2"/>
  <c r="AN134" i="2"/>
  <c r="AN131" i="2"/>
  <c r="AN123" i="2"/>
  <c r="AN60" i="2"/>
  <c r="AN88" i="2"/>
  <c r="AN62" i="2"/>
  <c r="AN14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<sst xmlns="http://schemas.openxmlformats.org/spreadsheetml/2006/main" count="1173" uniqueCount="325">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</sst>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32" fillId="21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2.0397714283948312</c:v>
                </c:pt>
                <c:pt idx="2">
                  <c:v>2.6830501317980797</c:v>
                </c:pt>
                <c:pt idx="3">
                  <c:v>3.5300330761712346</c:v>
                </c:pt>
                <c:pt idx="4">
                  <c:v>4.6454756173498462</c:v>
                </c:pt>
                <c:pt idx="5">
                  <c:v>6.1147922431850432</c:v>
                </c:pt>
                <c:pt idx="6">
                  <c:v>8.0506694829245209</c:v>
                </c:pt>
                <c:pt idx="7">
                  <c:v>10.60180206313423</c:v>
                </c:pt>
                <c:pt idx="8">
                  <c:v>13.964435939771761</c:v>
                </c:pt>
                <c:pt idx="9">
                  <c:v>18.397622505809444</c:v>
                </c:pt>
                <c:pt idx="10">
                  <c:v>24.243380337398154</c:v>
                </c:pt>
                <c:pt idx="11">
                  <c:v>31.953347444856647</c:v>
                </c:pt>
                <c:pt idx="12">
                  <c:v>42.124018801448408</c:v>
                </c:pt>
                <c:pt idx="13">
                  <c:v>55.543341560247825</c:v>
                </c:pt>
                <c:pt idx="14">
                  <c:v>73.252337670964309</c:v>
                </c:pt>
                <c:pt idx="15">
                  <c:v>96.626611913778547</c:v>
                </c:pt>
                <c:pt idx="16">
                  <c:v>127.48417722254322</c:v>
                </c:pt>
                <c:pt idx="17">
                  <c:v>168.22811388928099</c:v>
                </c:pt>
                <c:pt idx="18">
                  <c:v>132.88578574826064</c:v>
                </c:pt>
                <c:pt idx="19">
                  <c:v>152.33574493171724</c:v>
                </c:pt>
                <c:pt idx="20">
                  <c:v>171.72653737218312</c:v>
                </c:pt>
                <c:pt idx="21">
                  <c:v>191.06578967757491</c:v>
                </c:pt>
                <c:pt idx="22">
                  <c:v>210.35945490244134</c:v>
                </c:pt>
                <c:pt idx="23">
                  <c:v>229.61230318279945</c:v>
                </c:pt>
                <c:pt idx="24">
                  <c:v>179.18694186160994</c:v>
                </c:pt>
                <c:pt idx="25">
                  <c:v>198.69694438763088</c:v>
                </c:pt>
                <c:pt idx="26">
                  <c:v>218.16250679670839</c:v>
                </c:pt>
                <c:pt idx="27">
                  <c:v>237.58815249908994</c:v>
                </c:pt>
                <c:pt idx="28">
                  <c:v>256.9776041184445</c:v>
                </c:pt>
                <c:pt idx="29">
                  <c:v>276.33397630670453</c:v>
                </c:pt>
                <c:pt idx="30">
                  <c:v>233.44601665238613</c:v>
                </c:pt>
                <c:pt idx="31">
                  <c:v>251.84750485182283</c:v>
                </c:pt>
                <c:pt idx="32">
                  <c:v>270.21853169875232</c:v>
                </c:pt>
                <c:pt idx="33">
                  <c:v>288.56145918777162</c:v>
                </c:pt>
                <c:pt idx="34">
                  <c:v>306.87832444227473</c:v>
                </c:pt>
                <c:pt idx="35">
                  <c:v>325.17090153143096</c:v>
                </c:pt>
                <c:pt idx="36">
                  <c:v>343.44074863658699</c:v>
                </c:pt>
                <c:pt idx="37">
                  <c:v>277.64048097463586</c:v>
                </c:pt>
                <c:pt idx="38">
                  <c:v>294.48954064418035</c:v>
                </c:pt>
                <c:pt idx="39">
                  <c:v>311.31709656199922</c:v>
                </c:pt>
                <c:pt idx="40">
                  <c:v>328.12447448680587</c:v>
                </c:pt>
                <c:pt idx="41">
                  <c:v>344.9128532729772</c:v>
                </c:pt>
                <c:pt idx="42">
                  <c:v>361.68328765643622</c:v>
                </c:pt>
                <c:pt idx="43">
                  <c:v>378.4367265919704</c:v>
                </c:pt>
                <c:pt idx="44">
                  <c:v>395.17402817293191</c:v>
                </c:pt>
                <c:pt idx="45">
                  <c:v>327.78033103831331</c:v>
                </c:pt>
                <c:pt idx="46">
                  <c:v>342.65491462622475</c:v>
                </c:pt>
                <c:pt idx="47">
                  <c:v>357.51530941206369</c:v>
                </c:pt>
                <c:pt idx="48">
                  <c:v>372.36218817857548</c:v>
                </c:pt>
                <c:pt idx="49">
                  <c:v>387.19616568146972</c:v>
                </c:pt>
                <c:pt idx="50">
                  <c:v>402.0178057321105</c:v>
                </c:pt>
                <c:pt idx="51">
                  <c:v>416.82762718109416</c:v>
                </c:pt>
                <c:pt idx="52">
                  <c:v>431.62610900705414</c:v>
                </c:pt>
                <c:pt idx="53">
                  <c:v>366.26587035197605</c:v>
                </c:pt>
                <c:pt idx="54">
                  <c:v>379.56512783201515</c:v>
                </c:pt>
                <c:pt idx="55">
                  <c:v>392.85424896262799</c:v>
                </c:pt>
                <c:pt idx="56">
                  <c:v>406.13362493988211</c:v>
                </c:pt>
                <c:pt idx="57">
                  <c:v>419.40361929031593</c:v>
                </c:pt>
                <c:pt idx="58">
                  <c:v>432.66457066000567</c:v>
                </c:pt>
                <c:pt idx="59">
                  <c:v>445.91679524386308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2.6545363919666056</c:v>
                </c:pt>
                <c:pt idx="2">
                  <c:v>3.0498680872909687</c:v>
                </c:pt>
                <c:pt idx="3">
                  <c:v>3.5042863496199099</c:v>
                </c:pt>
                <c:pt idx="4">
                  <c:v>4.0266521169806992</c:v>
                </c:pt>
                <c:pt idx="5">
                  <c:v>4.6271593579498189</c:v>
                </c:pt>
                <c:pt idx="6">
                  <c:v>5.3175362001651179</c:v>
                </c:pt>
                <c:pt idx="7">
                  <c:v>6.1112764875692553</c:v>
                </c:pt>
                <c:pt idx="8">
                  <c:v>7.0239063814266727</c:v>
                </c:pt>
                <c:pt idx="9">
                  <c:v>8.0732913217033442</c:v>
                </c:pt>
                <c:pt idx="10">
                  <c:v>9.2799894738115594</c:v>
                </c:pt>
                <c:pt idx="11">
                  <c:v>10.66765871730995</c:v>
                </c:pt>
                <c:pt idx="12">
                  <c:v>12.26352530671501</c:v>
                </c:pt>
                <c:pt idx="13">
                  <c:v>14.098923571801871</c:v>
                </c:pt>
                <c:pt idx="14">
                  <c:v>16.209917450642156</c:v>
                </c:pt>
                <c:pt idx="15">
                  <c:v>18.638016291961673</c:v>
                </c:pt>
                <c:pt idx="16">
                  <c:v>21.430999257425388</c:v>
                </c:pt>
                <c:pt idx="17">
                  <c:v>24.643864837480283</c:v>
                </c:pt>
                <c:pt idx="18">
                  <c:v>28.339924510581934</c:v>
                </c:pt>
                <c:pt idx="19">
                  <c:v>32.592062475931563</c:v>
                </c:pt>
                <c:pt idx="20">
                  <c:v>37.484186732991283</c:v>
                </c:pt>
                <c:pt idx="21">
                  <c:v>43.112900634753409</c:v>
                </c:pt>
                <c:pt idx="22">
                  <c:v>49.58942848411747</c:v>
                </c:pt>
                <c:pt idx="23">
                  <c:v>57.041833863841269</c:v>
                </c:pt>
                <c:pt idx="24">
                  <c:v>65.61757529424726</c:v>
                </c:pt>
                <c:pt idx="25">
                  <c:v>75.48645061896606</c:v>
                </c:pt>
                <c:pt idx="26">
                  <c:v>86.843989365628133</c:v>
                </c:pt>
                <c:pt idx="27">
                  <c:v>99.915361374894232</c:v>
                </c:pt>
                <c:pt idx="28">
                  <c:v>114.9598804212918</c:v>
                </c:pt>
                <c:pt idx="29">
                  <c:v>132.27619357492748</c:v>
                </c:pt>
                <c:pt idx="30">
                  <c:v>152.20826091870231</c:v>
                </c:pt>
                <c:pt idx="31">
                  <c:v>162.98463072137639</c:v>
                </c:pt>
                <c:pt idx="32">
                  <c:v>173.74415159546285</c:v>
                </c:pt>
                <c:pt idx="33">
                  <c:v>184.48801497982217</c:v>
                </c:pt>
                <c:pt idx="34">
                  <c:v>195.21726202720279</c:v>
                </c:pt>
                <c:pt idx="35">
                  <c:v>205.93280996116789</c:v>
                </c:pt>
                <c:pt idx="36">
                  <c:v>216.6354726500532</c:v>
                </c:pt>
                <c:pt idx="37">
                  <c:v>227.32597689583122</c:v>
                </c:pt>
                <c:pt idx="38">
                  <c:v>238.00497549414197</c:v>
                </c:pt>
                <c:pt idx="39">
                  <c:v>248.67305782470615</c:v>
                </c:pt>
                <c:pt idx="40">
                  <c:v>259.33075852724227</c:v>
                </c:pt>
                <c:pt idx="41">
                  <c:v>269.97856467507779</c:v>
                </c:pt>
                <c:pt idx="42">
                  <c:v>280.61692175681293</c:v>
                </c:pt>
                <c:pt idx="43">
                  <c:v>219.2364936366308</c:v>
                </c:pt>
                <c:pt idx="44">
                  <c:v>233.16817282079023</c:v>
                </c:pt>
                <c:pt idx="45">
                  <c:v>247.08084979641851</c:v>
                </c:pt>
                <c:pt idx="46">
                  <c:v>260.97574553687451</c:v>
                </c:pt>
                <c:pt idx="47">
                  <c:v>274.85394031838462</c:v>
                </c:pt>
                <c:pt idx="48">
                  <c:v>288.71639637046309</c:v>
                </c:pt>
                <c:pt idx="49">
                  <c:v>302.56397594468757</c:v>
                </c:pt>
                <c:pt idx="50">
                  <c:v>316.39745590015349</c:v>
                </c:pt>
                <c:pt idx="51">
                  <c:v>273.38670979243687</c:v>
                </c:pt>
                <c:pt idx="52">
                  <c:v>287.42020429431284</c:v>
                </c:pt>
                <c:pt idx="53">
                  <c:v>301.43837740587037</c:v>
                </c:pt>
                <c:pt idx="54">
                  <c:v>315.44204208522223</c:v>
                </c:pt>
                <c:pt idx="55">
                  <c:v>329.43193320131792</c:v>
                </c:pt>
                <c:pt idx="56">
                  <c:v>343.40871810261575</c:v>
                </c:pt>
                <c:pt idx="57">
                  <c:v>357.37300537454212</c:v>
                </c:pt>
                <c:pt idx="58">
                  <c:v>371.32535215621283</c:v>
                </c:pt>
                <c:pt idx="59">
                  <c:v>315.51183909506216</c:v>
                </c:pt>
                <c:pt idx="60">
                  <c:v>329.05073650276262</c:v>
                </c:pt>
                <c:pt idx="61">
                  <c:v>342.57734336481394</c:v>
                </c:pt>
                <c:pt idx="62">
                  <c:v>356.09221338084268</c:v>
                </c:pt>
                <c:pt idx="63">
                  <c:v>369.59585478551793</c:v>
                </c:pt>
                <c:pt idx="64">
                  <c:v>383.08873564151554</c:v>
                </c:pt>
                <c:pt idx="65">
                  <c:v>396.5712883477056</c:v>
                </c:pt>
                <c:pt idx="66">
                  <c:v>410.0439135021868</c:v>
                </c:pt>
                <c:pt idx="67">
                  <c:v>347.44730241687625</c:v>
                </c:pt>
                <c:pt idx="68">
                  <c:v>360.38278100948378</c:v>
                </c:pt>
                <c:pt idx="69">
                  <c:v>373.30810753560894</c:v>
                </c:pt>
                <c:pt idx="70">
                  <c:v>386.22368305629948</c:v>
                </c:pt>
                <c:pt idx="71">
                  <c:v>399.12987961766686</c:v>
                </c:pt>
                <c:pt idx="72">
                  <c:v>412.02704324015616</c:v>
                </c:pt>
                <c:pt idx="73">
                  <c:v>424.91549651397821</c:v>
                </c:pt>
                <c:pt idx="74">
                  <c:v>437.79554086320655</c:v>
                </c:pt>
                <c:pt idx="75">
                  <c:v>379.41318705628618</c:v>
                </c:pt>
                <c:pt idx="76">
                  <c:v>392.00536505326244</c:v>
                </c:pt>
                <c:pt idx="77">
                  <c:v>404.5887722875338</c:v>
                </c:pt>
                <c:pt idx="78">
                  <c:v>417.16372000047312</c:v>
                </c:pt>
                <c:pt idx="79">
                  <c:v>429.73049913746746</c:v>
                </c:pt>
                <c:pt idx="80">
                  <c:v>442.28938223878066</c:v>
                </c:pt>
                <c:pt idx="81">
                  <c:v>454.84062510445273</c:v>
                </c:pt>
                <c:pt idx="82">
                  <c:v>467.38446826585488</c:v>
                </c:pt>
                <c:pt idx="83">
                  <c:v>479.92113829104784</c:v>
                </c:pt>
                <c:pt idx="84">
                  <c:v>492.45084894664933</c:v>
                </c:pt>
                <c:pt idx="85">
                  <c:v>413.69789366517688</c:v>
                </c:pt>
                <c:pt idx="86">
                  <c:v>425.72326588472441</c:v>
                </c:pt>
                <c:pt idx="87">
                  <c:v>437.74133281024564</c:v>
                </c:pt>
                <c:pt idx="88">
                  <c:v>449.75232328199803</c:v>
                </c:pt>
                <c:pt idx="89">
                  <c:v>461.7564529200472</c:v>
                </c:pt>
                <c:pt idx="90">
                  <c:v>473.75392521910811</c:v>
                </c:pt>
                <c:pt idx="91">
                  <c:v>485.74493252670771</c:v>
                </c:pt>
                <c:pt idx="92">
                  <c:v>497.72965691973968</c:v>
                </c:pt>
                <c:pt idx="93">
                  <c:v>509.70827099220446</c:v>
                </c:pt>
                <c:pt idx="94">
                  <c:v>521.68093856505448</c:v>
                </c:pt>
                <c:pt idx="95">
                  <c:v>442.71309293511808</c:v>
                </c:pt>
                <c:pt idx="96">
                  <c:v>454.37653595908381</c:v>
                </c:pt>
                <c:pt idx="97">
                  <c:v>466.03358176488229</c:v>
                </c:pt>
                <c:pt idx="98">
                  <c:v>477.68441292460778</c:v>
                </c:pt>
                <c:pt idx="99">
                  <c:v>489.32920237793724</c:v>
                </c:pt>
                <c:pt idx="100">
                  <c:v>500.96811416232453</c:v>
                </c:pt>
                <c:pt idx="101">
                  <c:v>512.60130407180907</c:v>
                </c:pt>
                <c:pt idx="102">
                  <c:v>524.22892025291412</c:v>
                </c:pt>
                <c:pt idx="103">
                  <c:v>535.85110374493036</c:v>
                </c:pt>
                <c:pt idx="104">
                  <c:v>547.46798897089673</c:v>
                </c:pt>
                <c:pt idx="105">
                  <c:v>470.83512622667905</c:v>
                </c:pt>
                <c:pt idx="106">
                  <c:v>482.31993060359929</c:v>
                </c:pt>
                <c:pt idx="107">
                  <c:v>493.79892623857194</c:v>
                </c:pt>
                <c:pt idx="108">
                  <c:v>505.27226719263109</c:v>
                </c:pt>
                <c:pt idx="109">
                  <c:v>516.74009995985261</c:v>
                </c:pt>
                <c:pt idx="110">
                  <c:v>528.20256400226049</c:v>
                </c:pt>
                <c:pt idx="111">
                  <c:v>539.65979223588909</c:v>
                </c:pt>
                <c:pt idx="112">
                  <c:v>551.11191147342799</c:v>
                </c:pt>
                <c:pt idx="113">
                  <c:v>562.55904282816812</c:v>
                </c:pt>
                <c:pt idx="114">
                  <c:v>574.00130208336589</c:v>
                </c:pt>
                <c:pt idx="115">
                  <c:v>503.63619118948264</c:v>
                </c:pt>
                <c:pt idx="116">
                  <c:v>515.16004926803487</c:v>
                </c:pt>
                <c:pt idx="117">
                  <c:v>526.67846775173223</c:v>
                </c:pt>
                <c:pt idx="118">
                  <c:v>538.19158235979023</c:v>
                </c:pt>
                <c:pt idx="119">
                  <c:v>549.69952253188956</c:v>
                </c:pt>
                <c:pt idx="120">
                  <c:v>561.2024118468803</c:v>
                </c:pt>
                <c:pt idx="121">
                  <c:v>572.70036840537955</c:v>
                </c:pt>
                <c:pt idx="122">
                  <c:v>584.19350518005501</c:v>
                </c:pt>
                <c:pt idx="123">
                  <c:v>595.68193033691477</c:v>
                </c:pt>
                <c:pt idx="124">
                  <c:v>607.16574753053146</c:v>
                </c:pt>
                <c:pt idx="125">
                  <c:v>542.67444994481593</c:v>
                </c:pt>
                <c:pt idx="126">
                  <c:v>554.28705775501305</c:v>
                </c:pt>
                <c:pt idx="127">
                  <c:v>565.89456923136788</c:v>
                </c:pt>
                <c:pt idx="128">
                  <c:v>577.49710362235521</c:v>
                </c:pt>
                <c:pt idx="129">
                  <c:v>589.09477499506363</c:v>
                </c:pt>
                <c:pt idx="130">
                  <c:v>600.68769256005351</c:v>
                </c:pt>
                <c:pt idx="131">
                  <c:v>612.27596096984428</c:v>
                </c:pt>
                <c:pt idx="132">
                  <c:v>623.8596805936337</c:v>
                </c:pt>
                <c:pt idx="133">
                  <c:v>635.43894777056346</c:v>
                </c:pt>
                <c:pt idx="134">
                  <c:v>647.0138550435679</c:v>
                </c:pt>
                <c:pt idx="135">
                  <c:v>579.21299579651088</c:v>
                </c:pt>
                <c:pt idx="136">
                  <c:v>590.93727564374069</c:v>
                </c:pt>
                <c:pt idx="137">
                  <c:v>602.65671400044437</c:v>
                </c:pt>
                <c:pt idx="138">
                  <c:v>614.37141825894662</c:v>
                </c:pt>
                <c:pt idx="139">
                  <c:v>626.08149138337728</c:v>
                </c:pt>
                <c:pt idx="140">
                  <c:v>637.78703217341183</c:v>
                </c:pt>
                <c:pt idx="141">
                  <c:v>649.48813550765476</c:v>
                </c:pt>
                <c:pt idx="142">
                  <c:v>661.18489256857811</c:v>
                </c:pt>
                <c:pt idx="143">
                  <c:v>672.87739105072149</c:v>
                </c:pt>
                <c:pt idx="144">
                  <c:v>684.56571535367812</c:v>
                </c:pt>
                <c:pt idx="145">
                  <c:v>615.99826184014375</c:v>
                </c:pt>
                <c:pt idx="146">
                  <c:v>627.92166785894335</c:v>
                </c:pt>
                <c:pt idx="147">
                  <c:v>639.84039007045806</c:v>
                </c:pt>
                <c:pt idx="148">
                  <c:v>651.75452798722438</c:v>
                </c:pt>
                <c:pt idx="149">
                  <c:v>663.6641771883518</c:v>
                </c:pt>
                <c:pt idx="150">
                  <c:v>675.56942954427871</c:v>
                </c:pt>
                <c:pt idx="151">
                  <c:v>687.47037342486567</c:v>
                </c:pt>
                <c:pt idx="152">
                  <c:v>699.36709389233977</c:v>
                </c:pt>
                <c:pt idx="153">
                  <c:v>711.25967288043512</c:v>
                </c:pt>
                <c:pt idx="154">
                  <c:v>723.14818936093525</c:v>
                </c:pt>
                <c:pt idx="155">
                  <c:v>656.10481372787308</c:v>
                </c:pt>
                <c:pt idx="156">
                  <c:v>668.18502285411148</c:v>
                </c:pt>
                <c:pt idx="157">
                  <c:v>680.26074198077038</c:v>
                </c:pt>
                <c:pt idx="158">
                  <c:v>692.33206200882375</c:v>
                </c:pt>
                <c:pt idx="159">
                  <c:v>704.39907041247409</c:v>
                </c:pt>
                <c:pt idx="160">
                  <c:v>716.46185142605191</c:v>
                </c:pt>
                <c:pt idx="161">
                  <c:v>728.52048621768233</c:v>
                </c:pt>
                <c:pt idx="162">
                  <c:v>740.57505305086443</c:v>
                </c:pt>
                <c:pt idx="163">
                  <c:v>752.62562743498745</c:v>
                </c:pt>
                <c:pt idx="164">
                  <c:v>764.67228226571467</c:v>
                </c:pt>
                <c:pt idx="165">
                  <c:v>691.65849642549881</c:v>
                </c:pt>
                <c:pt idx="166">
                  <c:v>703.8733396080155</c:v>
                </c:pt>
                <c:pt idx="167">
                  <c:v>716.08384763697256</c:v>
                </c:pt>
                <c:pt idx="168">
                  <c:v>728.29010481250054</c:v>
                </c:pt>
                <c:pt idx="169">
                  <c:v>740.49219238015883</c:v>
                </c:pt>
                <c:pt idx="170">
                  <c:v>752.69018869117497</c:v>
                </c:pt>
                <c:pt idx="171">
                  <c:v>764.88416935176735</c:v>
                </c:pt>
                <c:pt idx="172">
                  <c:v>777.07420736245524</c:v>
                </c:pt>
                <c:pt idx="173">
                  <c:v>789.26037324818117</c:v>
                </c:pt>
                <c:pt idx="174">
                  <c:v>801.44273517998261</c:v>
                </c:pt>
                <c:pt idx="175">
                  <c:v>499.6921135299911</c:v>
                </c:pt>
                <c:pt idx="176">
                  <c:v>507.54522794679673</c:v>
                </c:pt>
                <c:pt idx="177">
                  <c:v>515.39577427024676</c:v>
                </c:pt>
                <c:pt idx="178">
                  <c:v>352.97127757915587</c:v>
                </c:pt>
                <c:pt idx="179">
                  <c:v>357.82672398095787</c:v>
                </c:pt>
                <c:pt idx="180">
                  <c:v>362.68072838718234</c:v>
                </c:pt>
                <c:pt idx="181">
                  <c:v>251.76948295809464</c:v>
                </c:pt>
                <c:pt idx="182">
                  <c:v>254.76218506142436</c:v>
                </c:pt>
                <c:pt idx="183">
                  <c:v>257.75409130952295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E30" sqref="E3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9" t="s">
        <v>231</v>
      </c>
      <c r="B5" s="269"/>
      <c r="C5" s="24">
        <v>7.55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0.92</v>
      </c>
      <c r="D9" s="33">
        <f t="shared" ref="D9:D18" si="0">C9*$C$5</f>
        <v>6.9459999999999997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22</v>
      </c>
      <c r="C11" s="32">
        <v>0.02</v>
      </c>
      <c r="D11" s="33">
        <f t="shared" si="0"/>
        <v>0.151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14</v>
      </c>
      <c r="C12" s="32">
        <v>0.06</v>
      </c>
      <c r="D12" s="33">
        <f t="shared" si="0"/>
        <v>0.45299999999999996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7.55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17</v>
      </c>
      <c r="B36" s="60">
        <v>126.33076920000001</v>
      </c>
      <c r="C36" s="60">
        <v>1</v>
      </c>
      <c r="D36" s="60">
        <v>42.084615380000002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7.431221717647059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23</v>
      </c>
      <c r="B37" s="60">
        <v>173.80769230000001</v>
      </c>
      <c r="C37" s="60">
        <v>2</v>
      </c>
      <c r="D37" s="60">
        <v>54.1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14.926923080000002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29</v>
      </c>
      <c r="B38" s="60">
        <v>210.14615380000001</v>
      </c>
      <c r="C38" s="60">
        <v>3</v>
      </c>
      <c r="D38" s="60">
        <v>47.661538460000003</v>
      </c>
      <c r="E38" s="51">
        <v>0.7</v>
      </c>
      <c r="F38" s="51">
        <v>0.17</v>
      </c>
      <c r="G38" s="51">
        <v>0.13</v>
      </c>
      <c r="H38" s="51">
        <v>0</v>
      </c>
      <c r="I38" s="53">
        <f t="shared" si="1"/>
        <v>15.073076916666665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262.57692309999999</v>
      </c>
      <c r="C39" s="60">
        <v>4</v>
      </c>
      <c r="D39" s="60">
        <v>64.553846149999998</v>
      </c>
      <c r="E39" s="51">
        <v>0.7</v>
      </c>
      <c r="F39" s="51">
        <v>0.17</v>
      </c>
      <c r="G39" s="51">
        <v>0.13</v>
      </c>
      <c r="H39" s="51">
        <v>0</v>
      </c>
      <c r="I39" s="49">
        <f t="shared" si="1"/>
        <v>14.298901108571426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44</v>
      </c>
      <c r="B40" s="60">
        <v>303.15384619999998</v>
      </c>
      <c r="C40" s="60">
        <v>5</v>
      </c>
      <c r="D40" s="60">
        <v>64.476923080000006</v>
      </c>
      <c r="E40" s="51">
        <v>0.7</v>
      </c>
      <c r="F40" s="51">
        <v>0.17</v>
      </c>
      <c r="G40" s="51">
        <v>0.13</v>
      </c>
      <c r="H40" s="51">
        <v>0</v>
      </c>
      <c r="I40" s="49">
        <f t="shared" si="1"/>
        <v>13.141346156249998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52</v>
      </c>
      <c r="B41" s="60">
        <v>331.81538460000002</v>
      </c>
      <c r="C41" s="60">
        <v>6</v>
      </c>
      <c r="D41" s="60">
        <v>61.784615379999998</v>
      </c>
      <c r="E41" s="51">
        <v>0.7</v>
      </c>
      <c r="F41" s="51">
        <v>0.17</v>
      </c>
      <c r="G41" s="51">
        <v>0.13</v>
      </c>
      <c r="H41" s="51">
        <v>0</v>
      </c>
      <c r="I41" s="53">
        <f t="shared" si="1"/>
        <v>11.642307685000006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60</v>
      </c>
      <c r="B42" s="60">
        <v>353.5</v>
      </c>
      <c r="C42" s="60">
        <v>7</v>
      </c>
      <c r="D42" s="60">
        <v>353.5</v>
      </c>
      <c r="E42" s="51">
        <v>0.7</v>
      </c>
      <c r="F42" s="51">
        <v>0.17</v>
      </c>
      <c r="G42" s="51">
        <v>0.13</v>
      </c>
      <c r="H42" s="51">
        <v>0</v>
      </c>
      <c r="I42" s="53">
        <f t="shared" si="1"/>
        <v>10.433653847499997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4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4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4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4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4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4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4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4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Erable plane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11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65</v>
      </c>
      <c r="C89" s="60">
        <v>1</v>
      </c>
      <c r="D89" s="60">
        <v>32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102</v>
      </c>
      <c r="C90" s="60">
        <v>2</v>
      </c>
      <c r="D90" s="60">
        <v>35</v>
      </c>
      <c r="E90" s="87">
        <v>0</v>
      </c>
      <c r="F90" s="87">
        <v>0.03</v>
      </c>
      <c r="G90" s="87">
        <v>0</v>
      </c>
      <c r="H90" s="87">
        <v>0.97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141</v>
      </c>
      <c r="C91" s="60">
        <v>3</v>
      </c>
      <c r="D91" s="60">
        <v>35</v>
      </c>
      <c r="E91" s="87">
        <v>0.03</v>
      </c>
      <c r="F91" s="87">
        <v>0.23</v>
      </c>
      <c r="G91" s="87">
        <v>0</v>
      </c>
      <c r="H91" s="87">
        <v>0.74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177</v>
      </c>
      <c r="C92" s="60">
        <v>4</v>
      </c>
      <c r="D92" s="60">
        <v>35</v>
      </c>
      <c r="E92" s="87">
        <v>0.2</v>
      </c>
      <c r="F92" s="87">
        <v>0.43</v>
      </c>
      <c r="G92" s="87">
        <v>0</v>
      </c>
      <c r="H92" s="87">
        <v>0.37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206</v>
      </c>
      <c r="C93" s="60">
        <v>5</v>
      </c>
      <c r="D93" s="60">
        <v>35</v>
      </c>
      <c r="E93" s="87">
        <v>0.49</v>
      </c>
      <c r="F93" s="87">
        <v>0.34</v>
      </c>
      <c r="G93" s="87">
        <v>0</v>
      </c>
      <c r="H93" s="87">
        <v>0.17</v>
      </c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228</v>
      </c>
      <c r="C94" s="60">
        <v>6</v>
      </c>
      <c r="D94" s="60">
        <v>35</v>
      </c>
      <c r="E94" s="87">
        <v>0.71</v>
      </c>
      <c r="F94" s="87">
        <v>0.2</v>
      </c>
      <c r="G94" s="87">
        <v>0</v>
      </c>
      <c r="H94" s="87">
        <v>0.09</v>
      </c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242</v>
      </c>
      <c r="C95" s="60">
        <v>7</v>
      </c>
      <c r="D95" s="60">
        <v>24</v>
      </c>
      <c r="E95" s="87">
        <v>0.83</v>
      </c>
      <c r="F95" s="87">
        <v>0.13</v>
      </c>
      <c r="G95" s="87">
        <v>0</v>
      </c>
      <c r="H95" s="87">
        <v>0.04</v>
      </c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261</v>
      </c>
      <c r="C96" s="60">
        <v>8</v>
      </c>
      <c r="D96" s="60">
        <v>19</v>
      </c>
      <c r="E96" s="87">
        <v>0.84</v>
      </c>
      <c r="F96" s="87">
        <v>0.11</v>
      </c>
      <c r="G96" s="87">
        <v>0</v>
      </c>
      <c r="H96" s="87">
        <v>0.05</v>
      </c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279</v>
      </c>
      <c r="C97" s="60">
        <v>9</v>
      </c>
      <c r="D97" s="60">
        <v>16</v>
      </c>
      <c r="E97" s="87">
        <v>0.88</v>
      </c>
      <c r="F97" s="87">
        <v>0.06</v>
      </c>
      <c r="G97" s="87">
        <v>0</v>
      </c>
      <c r="H97" s="87">
        <v>0.06</v>
      </c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294</v>
      </c>
      <c r="C98" s="60">
        <v>10</v>
      </c>
      <c r="D98" s="60">
        <v>14</v>
      </c>
      <c r="E98" s="87">
        <v>0.93</v>
      </c>
      <c r="F98" s="87">
        <v>7.0000000000000007E-2</v>
      </c>
      <c r="G98" s="87">
        <v>0</v>
      </c>
      <c r="H98" s="87">
        <v>0</v>
      </c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306</v>
      </c>
      <c r="C99" s="60">
        <v>11</v>
      </c>
      <c r="D99" s="60">
        <v>13</v>
      </c>
      <c r="E99" s="87">
        <v>0.92</v>
      </c>
      <c r="F99" s="87">
        <v>0.08</v>
      </c>
      <c r="G99" s="87">
        <v>0</v>
      </c>
      <c r="H99" s="87">
        <v>0</v>
      </c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316</v>
      </c>
      <c r="C100" s="60">
        <v>12</v>
      </c>
      <c r="D100" s="60">
        <v>13</v>
      </c>
      <c r="E100" s="65">
        <v>0.92</v>
      </c>
      <c r="F100" s="65">
        <v>0</v>
      </c>
      <c r="G100" s="65">
        <v>0</v>
      </c>
      <c r="H100" s="65">
        <v>0.08</v>
      </c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324</v>
      </c>
      <c r="C101" s="60">
        <v>13</v>
      </c>
      <c r="D101" s="60">
        <v>12</v>
      </c>
      <c r="E101" s="65">
        <v>0.92</v>
      </c>
      <c r="F101" s="65">
        <v>0</v>
      </c>
      <c r="G101" s="65">
        <v>0</v>
      </c>
      <c r="H101" s="65">
        <v>0.08</v>
      </c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330</v>
      </c>
      <c r="C102" s="60">
        <v>14</v>
      </c>
      <c r="D102" s="50">
        <v>11</v>
      </c>
      <c r="E102" s="54">
        <v>0.91</v>
      </c>
      <c r="F102" s="54">
        <v>0.09</v>
      </c>
      <c r="G102" s="54">
        <v>0</v>
      </c>
      <c r="H102" s="54">
        <v>0</v>
      </c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75.346153846153854</v>
      </c>
      <c r="C114" s="50" t="s">
        <v>324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2.5115384615384619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42</v>
      </c>
      <c r="B115" s="60">
        <v>141.09615384615384</v>
      </c>
      <c r="C115" s="50">
        <v>1</v>
      </c>
      <c r="D115" s="60">
        <v>38.685897435897438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5.4791666666666652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50</v>
      </c>
      <c r="B116" s="60">
        <v>159.55769230769232</v>
      </c>
      <c r="C116" s="50">
        <v>2</v>
      </c>
      <c r="D116" s="60">
        <v>29.416666666666664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7.143429487179489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58</v>
      </c>
      <c r="B117" s="60">
        <v>187.98717948717947</v>
      </c>
      <c r="C117" s="50">
        <v>3</v>
      </c>
      <c r="D117" s="60">
        <v>35.88461538461538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7.2307692307692264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66</v>
      </c>
      <c r="B118" s="60">
        <v>208.08333333333334</v>
      </c>
      <c r="C118" s="50">
        <v>4</v>
      </c>
      <c r="D118" s="60">
        <v>39.166666666666664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6.9975961538461569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74</v>
      </c>
      <c r="B119" s="60">
        <v>222.5128205128205</v>
      </c>
      <c r="C119" s="50">
        <v>5</v>
      </c>
      <c r="D119" s="60">
        <v>36.865384615384613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6.6995192307692264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84</v>
      </c>
      <c r="B120" s="60">
        <v>250.98717948717945</v>
      </c>
      <c r="C120" s="60">
        <v>6</v>
      </c>
      <c r="D120" s="60">
        <v>47.256410256410255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6.5339743589743566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94</v>
      </c>
      <c r="B121" s="60">
        <v>266.24358974358972</v>
      </c>
      <c r="C121" s="60">
        <v>7</v>
      </c>
      <c r="D121" s="60">
        <v>47.243589743589745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6.2512820512820522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104</v>
      </c>
      <c r="B122" s="60">
        <v>279.71794871794873</v>
      </c>
      <c r="C122" s="60">
        <v>8</v>
      </c>
      <c r="D122" s="60">
        <v>45.987179487179482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6.071794871794876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114</v>
      </c>
      <c r="B123" s="60">
        <v>293.59615384615381</v>
      </c>
      <c r="C123" s="60">
        <v>9</v>
      </c>
      <c r="D123" s="60">
        <v>42.78846153846154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5.9865384615384558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124</v>
      </c>
      <c r="B124" s="60">
        <v>310.96153846153845</v>
      </c>
      <c r="C124" s="60">
        <v>10</v>
      </c>
      <c r="D124" s="60">
        <v>39.820512820512818</v>
      </c>
      <c r="E124" s="87">
        <v>0.7</v>
      </c>
      <c r="F124" s="87">
        <v>0</v>
      </c>
      <c r="G124" s="87">
        <v>0</v>
      </c>
      <c r="H124" s="87">
        <v>0.3</v>
      </c>
      <c r="I124" s="53">
        <f t="shared" si="4"/>
        <v>6.0153846153846189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134</v>
      </c>
      <c r="B125" s="60">
        <v>331.85256410256414</v>
      </c>
      <c r="C125" s="60">
        <v>11</v>
      </c>
      <c r="D125" s="60">
        <v>41.666666666666664</v>
      </c>
      <c r="E125" s="87">
        <v>0.7</v>
      </c>
      <c r="F125" s="87">
        <v>0</v>
      </c>
      <c r="G125" s="87">
        <v>0</v>
      </c>
      <c r="H125" s="87">
        <v>0.3</v>
      </c>
      <c r="I125" s="53">
        <f t="shared" si="4"/>
        <v>6.0711538461538508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144</v>
      </c>
      <c r="B126" s="60">
        <v>351.5641025641026</v>
      </c>
      <c r="C126" s="60">
        <v>12</v>
      </c>
      <c r="D126" s="60">
        <v>42.224358974358978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6.1378205128205137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154</v>
      </c>
      <c r="B127" s="60">
        <v>371.83974358974359</v>
      </c>
      <c r="C127" s="60">
        <v>13</v>
      </c>
      <c r="D127" s="60">
        <v>41.557692307692307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6.2499999999999947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164</v>
      </c>
      <c r="B128" s="50">
        <v>393.6858974358974</v>
      </c>
      <c r="C128" s="50">
        <v>14</v>
      </c>
      <c r="D128" s="50">
        <v>44.814102564102562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6.3403846153846128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174</v>
      </c>
      <c r="B129" s="50">
        <v>413.05128205128204</v>
      </c>
      <c r="C129" s="50">
        <v>15</v>
      </c>
      <c r="D129" s="50">
        <v>162.38461538461539</v>
      </c>
      <c r="E129" s="54">
        <v>0.9</v>
      </c>
      <c r="F129" s="54">
        <v>0</v>
      </c>
      <c r="G129" s="54">
        <v>0</v>
      </c>
      <c r="H129" s="54">
        <v>0.1</v>
      </c>
      <c r="I129" s="53">
        <f t="shared" si="4"/>
        <v>6.4179487179487182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177</v>
      </c>
      <c r="B130" s="50">
        <v>262.96153846153845</v>
      </c>
      <c r="C130" s="50">
        <v>16</v>
      </c>
      <c r="D130" s="50">
        <v>87</v>
      </c>
      <c r="E130" s="54">
        <v>0.9</v>
      </c>
      <c r="F130" s="54">
        <v>0</v>
      </c>
      <c r="G130" s="54">
        <v>0</v>
      </c>
      <c r="H130" s="54">
        <v>0.1</v>
      </c>
      <c r="I130" s="53">
        <f t="shared" si="4"/>
        <v>4.0982905982905988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180</v>
      </c>
      <c r="B131" s="50">
        <v>183.50641025641025</v>
      </c>
      <c r="C131" s="50">
        <v>17</v>
      </c>
      <c r="D131" s="50">
        <v>58.794871794871796</v>
      </c>
      <c r="E131" s="54">
        <v>0.9</v>
      </c>
      <c r="F131" s="54">
        <v>0</v>
      </c>
      <c r="G131" s="54">
        <v>0</v>
      </c>
      <c r="H131" s="54">
        <v>0.1</v>
      </c>
      <c r="I131" s="53">
        <f t="shared" si="4"/>
        <v>2.5149572649572653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183</v>
      </c>
      <c r="B132" s="50">
        <v>129.32692307692307</v>
      </c>
      <c r="C132" s="50">
        <v>18</v>
      </c>
      <c r="D132" s="50">
        <v>129.32692307692307</v>
      </c>
      <c r="E132" s="54">
        <v>0.9</v>
      </c>
      <c r="F132" s="54">
        <v>0</v>
      </c>
      <c r="G132" s="54">
        <v>0</v>
      </c>
      <c r="H132" s="54">
        <v>0.1</v>
      </c>
      <c r="I132" s="53">
        <f t="shared" si="4"/>
        <v>1.5384615384615377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6" sqref="G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Erable plane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 sessile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194.89717355535993</v>
      </c>
      <c r="T3" s="59">
        <f>IF('Données projet'!E9&gt;30,$R$33-$H$33,LOOKUP('Données projet'!$E$9,$A$3:$A$203,R3:R203)-LOOKUP('Données projet'!$E$9,$A$3:$A$203,$H$3:$H$203))</f>
        <v>195.422737562245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273.69926316253162</v>
      </c>
      <c r="BJ3" s="59">
        <f>IF('Données projet'!E11&gt;30,$BH$33-$H$33,LOOKUP('Données projet'!$E$11,$A$3:$A$203,BH3:BH203)-LOOKUP('Données projet'!$E$11,$A$3:$A$203,$H$3:$H$203))</f>
        <v>270.78513558650451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302.4170391346459</v>
      </c>
      <c r="CE3" s="59">
        <f>IF('Données projet'!E12&gt;30,$CC$33-$H$33,LOOKUP('Données projet'!$E$12,$A$3:$A$203,CC3:CC203)-LOOKUP('Données projet'!$E$12,$A$3:$A$203,$H$3:$H$203))</f>
        <v>114.18498182856115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7.431221717647059</v>
      </c>
      <c r="N4" s="13">
        <f>IF('Données projet'!$A$36&gt;35,N3+M4-V3,IF(A4&lt;'Données projet'!$A$36,$K$205^A4,IF(A4='Données projet'!$A$36,'Données projet'!$B$36,N3+M4-V3)))</f>
        <v>1.3292852468445944</v>
      </c>
      <c r="O4" s="13">
        <f>N4*VLOOKUP('Données projet'!$B$9,Paramètres!$A$1:$I$89,3,0)*VLOOKUP('Données projet'!$B$9,Paramètres!$A$1:$I$89,5,0)</f>
        <v>0.79491257761306744</v>
      </c>
      <c r="P4" s="13">
        <f>EXP(-1.0587+0.8836*LN(O4)+0.284)</f>
        <v>0.37624805113037624</v>
      </c>
      <c r="Q4" s="20">
        <f t="shared" ref="Q4:Q34" si="2">(O4+P4)*0.475*44/12</f>
        <v>2.0397714283948312</v>
      </c>
      <c r="R4" s="59">
        <f t="shared" si="0"/>
        <v>295.37310476172814</v>
      </c>
      <c r="S4" s="59">
        <f ca="1">AVERAGE(OFFSET($R$3,0,0,'Données projet'!$E$9+1,1))-AVERAGE(OFFSET($H$3,0,0,'Données projet'!$E$9+1,1))</f>
        <v>194.89717355535993</v>
      </c>
      <c r="T4" s="59">
        <f>$T$3</f>
        <v>195.422737562245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295.90506058192409</v>
      </c>
      <c r="BI4" s="59">
        <f ca="1">AVERAGE(OFFSET($BH$3,0,0,'Données projet'!$E$11+1,1))-AVERAGE(OFFSET($H$3,0,0,'Données projet'!$E$11+1,1))</f>
        <v>273.69926316253162</v>
      </c>
      <c r="BJ4" s="59">
        <f>$BJ$3</f>
        <v>270.78513558650451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2.5115384615384619</v>
      </c>
      <c r="BY4" s="12">
        <f>IF('Données projet'!$A$114&gt;35,BY3+BX4-CG3,IF(A4&lt;'Données projet'!$A$114,$BV$205^A4,IF(A4='Données projet'!$A$114,'Données projet'!$B$114,BY3+BX4-CG3)))</f>
        <v>1.1549646791274306</v>
      </c>
      <c r="BZ4" s="13">
        <f>BY4*VLOOKUP('Données projet'!$B$12,Paramètres!$A$1:$I$89,3,0)*VLOOKUP('Données projet'!$B$12,Paramètres!$A$1:$I$89,5,0)</f>
        <v>1.0450120416744992</v>
      </c>
      <c r="CA4" s="13">
        <f>EXP(-1.0587+0.8836*LN(BZ4)+0.284)</f>
        <v>0.47912368577044179</v>
      </c>
      <c r="CB4" s="20">
        <f t="shared" ref="CB4:CB67" si="10">(BZ4+CA4)*0.475*44/12</f>
        <v>2.6545363919666056</v>
      </c>
      <c r="CC4" s="59">
        <f t="shared" ref="CC4:CC67" si="11">CB4+(BT4+BU4)*44/12</f>
        <v>295.9878697252999</v>
      </c>
      <c r="CD4" s="59">
        <f ca="1">AVERAGE(OFFSET($CC$3,0,0,'Données projet'!$E$12+1,1))-AVERAGE(OFFSET($H$3,0,0,'Données projet'!$E$12+1,1))</f>
        <v>302.4170391346459</v>
      </c>
      <c r="CE4" s="59">
        <f>$CE$3</f>
        <v>114.18498182856115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7.431221717647059</v>
      </c>
      <c r="N5" s="13">
        <f>IF('Données projet'!$A$36&gt;35,N4+M5-V4,IF(A5&lt;'Données projet'!$A$36,$K$205^A5,IF(A5='Données projet'!$A$36,'Données projet'!$B$36,N4+M5-V4)))</f>
        <v>1.7669992674786943</v>
      </c>
      <c r="O5" s="13">
        <f>N5*VLOOKUP('Données projet'!$B$9,Paramètres!$A$1:$I$89,3,0)*VLOOKUP('Données projet'!$B$9,Paramètres!$A$1:$I$89,5,0)</f>
        <v>1.0566655619522591</v>
      </c>
      <c r="P5" s="13">
        <f t="shared" ref="P5:P68" si="33">EXP(-1.0587+0.8836*LN(O5)+0.284)</f>
        <v>0.48384169075477229</v>
      </c>
      <c r="Q5" s="20">
        <f t="shared" si="2"/>
        <v>2.6830501317980797</v>
      </c>
      <c r="R5" s="59">
        <f t="shared" si="0"/>
        <v>296.01638346513141</v>
      </c>
      <c r="S5" s="59">
        <f ca="1">AVERAGE(OFFSET($R$3,0,0,'Données projet'!$E$9+1,1))-AVERAGE(OFFSET($H$3,0,0,'Données projet'!$E$9+1,1))</f>
        <v>194.89717355535993</v>
      </c>
      <c r="T5" s="59">
        <f t="shared" ref="T5:T68" si="34">$T$3</f>
        <v>195.422737562245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296.57359413526444</v>
      </c>
      <c r="BI5" s="59">
        <f ca="1">AVERAGE(OFFSET($BH$3,0,0,'Données projet'!$E$11+1,1))-AVERAGE(OFFSET($H$3,0,0,'Données projet'!$E$11+1,1))</f>
        <v>273.69926316253162</v>
      </c>
      <c r="BJ5" s="59">
        <f t="shared" ref="BJ5:BJ68" si="38">$BJ$3</f>
        <v>270.78513558650451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2.5115384615384619</v>
      </c>
      <c r="BY5" s="12">
        <f>IF('Données projet'!$A$114&gt;35,BY4+BX5-CG4,IF(A5&lt;'Données projet'!$A$114,$BV$205^A5,IF(A5='Données projet'!$A$114,'Données projet'!$B$114,BY4+BX5-CG4)))</f>
        <v>1.3339434100319287</v>
      </c>
      <c r="BZ5" s="13">
        <f>BY5*VLOOKUP('Données projet'!$B$12,Paramètres!$A$1:$I$89,3,0)*VLOOKUP('Données projet'!$B$12,Paramètres!$A$1:$I$89,5,0)</f>
        <v>1.206951997396889</v>
      </c>
      <c r="CA5" s="13">
        <f t="shared" ref="CA5:CA68" si="39">EXP(-1.0587+0.8836*LN(BZ5)+0.284)</f>
        <v>0.54416843549744709</v>
      </c>
      <c r="CB5" s="20">
        <f t="shared" si="10"/>
        <v>3.0498680872909687</v>
      </c>
      <c r="CC5" s="59">
        <f t="shared" si="11"/>
        <v>296.38320142062429</v>
      </c>
      <c r="CD5" s="59">
        <f ca="1">AVERAGE(OFFSET($CC$3,0,0,'Données projet'!$E$12+1,1))-AVERAGE(OFFSET($H$3,0,0,'Données projet'!$E$12+1,1))</f>
        <v>302.4170391346459</v>
      </c>
      <c r="CE5" s="59">
        <f t="shared" ref="CE5:CE68" si="40">$CE$3</f>
        <v>114.18498182856115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7.431221717647059</v>
      </c>
      <c r="N6" s="13">
        <f>IF('Données projet'!$A$36&gt;35,N5+M6-V5,IF(A6&lt;'Données projet'!$A$36,$K$205^A6,IF(A6='Données projet'!$A$36,'Données projet'!$B$36,N5+M6-V5)))</f>
        <v>2.3488460574446335</v>
      </c>
      <c r="O6" s="13">
        <f>N6*VLOOKUP('Données projet'!$B$9,Paramètres!$A$1:$I$89,3,0)*VLOOKUP('Données projet'!$B$9,Paramètres!$A$1:$I$89,5,0)</f>
        <v>1.404609942351891</v>
      </c>
      <c r="P6" s="13">
        <f t="shared" si="33"/>
        <v>0.6222033071244164</v>
      </c>
      <c r="Q6" s="20">
        <f t="shared" si="2"/>
        <v>3.5300330761712346</v>
      </c>
      <c r="R6" s="59">
        <f t="shared" si="0"/>
        <v>296.86336640950452</v>
      </c>
      <c r="S6" s="59">
        <f ca="1">AVERAGE(OFFSET($R$3,0,0,'Données projet'!$E$9+1,1))-AVERAGE(OFFSET($H$3,0,0,'Données projet'!$E$9+1,1))</f>
        <v>194.89717355535993</v>
      </c>
      <c r="T6" s="59">
        <f t="shared" si="34"/>
        <v>195.422737562245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297.41659576138659</v>
      </c>
      <c r="BI6" s="59">
        <f ca="1">AVERAGE(OFFSET($BH$3,0,0,'Données projet'!$E$11+1,1))-AVERAGE(OFFSET($H$3,0,0,'Données projet'!$E$11+1,1))</f>
        <v>273.69926316253162</v>
      </c>
      <c r="BJ6" s="59">
        <f t="shared" si="38"/>
        <v>270.78513558650451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2.5115384615384619</v>
      </c>
      <c r="BY6" s="12">
        <f>IF('Données projet'!$A$114&gt;35,BY5+BX6-CG5,IF(A6&lt;'Données projet'!$A$114,$BV$205^A6,IF(A6='Données projet'!$A$114,'Données projet'!$B$114,BY5+BX6-CG5)))</f>
        <v>1.5406575225416772</v>
      </c>
      <c r="BZ6" s="13">
        <f>BY6*VLOOKUP('Données projet'!$B$12,Paramètres!$A$1:$I$89,3,0)*VLOOKUP('Données projet'!$B$12,Paramètres!$A$1:$I$89,5,0)</f>
        <v>1.3939869263957094</v>
      </c>
      <c r="CA6" s="13">
        <f t="shared" si="39"/>
        <v>0.6180435135774448</v>
      </c>
      <c r="CB6" s="20">
        <f t="shared" si="10"/>
        <v>3.5042863496199099</v>
      </c>
      <c r="CC6" s="59">
        <f t="shared" si="11"/>
        <v>296.83761968295323</v>
      </c>
      <c r="CD6" s="59">
        <f ca="1">AVERAGE(OFFSET($CC$3,0,0,'Données projet'!$E$12+1,1))-AVERAGE(OFFSET($H$3,0,0,'Données projet'!$E$12+1,1))</f>
        <v>302.4170391346459</v>
      </c>
      <c r="CE6" s="59">
        <f t="shared" si="40"/>
        <v>114.18498182856115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7.431221717647059</v>
      </c>
      <c r="N7" s="13">
        <f>IF('Données projet'!$A$36&gt;35,N6+M7-V6,IF(A7&lt;'Données projet'!$A$36,$K$205^A7,IF(A7='Données projet'!$A$36,'Données projet'!$B$36,N6+M7-V6)))</f>
        <v>3.1222864112702422</v>
      </c>
      <c r="O7" s="13">
        <f>N7*VLOOKUP('Données projet'!$B$9,Paramètres!$A$1:$I$89,3,0)*VLOOKUP('Données projet'!$B$9,Paramètres!$A$1:$I$89,5,0)</f>
        <v>1.867127273939605</v>
      </c>
      <c r="P7" s="13">
        <f t="shared" si="33"/>
        <v>0.80013145372537853</v>
      </c>
      <c r="Q7" s="20">
        <f t="shared" si="2"/>
        <v>4.6454756173498462</v>
      </c>
      <c r="R7" s="59">
        <f t="shared" si="0"/>
        <v>297.97880895068317</v>
      </c>
      <c r="S7" s="59">
        <f ca="1">AVERAGE(OFFSET($R$3,0,0,'Données projet'!$E$9+1,1))-AVERAGE(OFFSET($H$3,0,0,'Données projet'!$E$9+1,1))</f>
        <v>194.89717355535993</v>
      </c>
      <c r="T7" s="59">
        <f t="shared" si="34"/>
        <v>195.422737562245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298.47976375363044</v>
      </c>
      <c r="BI7" s="59">
        <f ca="1">AVERAGE(OFFSET($BH$3,0,0,'Données projet'!$E$11+1,1))-AVERAGE(OFFSET($H$3,0,0,'Données projet'!$E$11+1,1))</f>
        <v>273.69926316253162</v>
      </c>
      <c r="BJ7" s="59">
        <f t="shared" si="38"/>
        <v>270.78513558650451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2.5115384615384619</v>
      </c>
      <c r="BY7" s="12">
        <f>IF('Données projet'!$A$114&gt;35,BY6+BX7-CG6,IF(A7&lt;'Données projet'!$A$114,$BV$205^A7,IF(A7='Données projet'!$A$114,'Données projet'!$B$114,BY6+BX7-CG6)))</f>
        <v>1.7794050211676105</v>
      </c>
      <c r="BZ7" s="13">
        <f>BY7*VLOOKUP('Données projet'!$B$12,Paramètres!$A$1:$I$89,3,0)*VLOOKUP('Données projet'!$B$12,Paramètres!$A$1:$I$89,5,0)</f>
        <v>1.610005663152454</v>
      </c>
      <c r="CA7" s="13">
        <f t="shared" si="39"/>
        <v>0.70194770544890439</v>
      </c>
      <c r="CB7" s="20">
        <f t="shared" si="10"/>
        <v>4.0266521169806992</v>
      </c>
      <c r="CC7" s="59">
        <f t="shared" si="11"/>
        <v>297.35998545031401</v>
      </c>
      <c r="CD7" s="59">
        <f ca="1">AVERAGE(OFFSET($CC$3,0,0,'Données projet'!$E$12+1,1))-AVERAGE(OFFSET($H$3,0,0,'Données projet'!$E$12+1,1))</f>
        <v>302.4170391346459</v>
      </c>
      <c r="CE7" s="59">
        <f t="shared" si="40"/>
        <v>114.18498182856115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7.431221717647059</v>
      </c>
      <c r="N8" s="13">
        <f>IF('Données projet'!$A$36&gt;35,N7+M8-V7,IF(A8&lt;'Données projet'!$A$36,$K$205^A8,IF(A8='Données projet'!$A$36,'Données projet'!$B$36,N7+M8-V7)))</f>
        <v>4.150409262924887</v>
      </c>
      <c r="O8" s="13">
        <f>N8*VLOOKUP('Données projet'!$B$9,Paramètres!$A$1:$I$89,3,0)*VLOOKUP('Données projet'!$B$9,Paramètres!$A$1:$I$89,5,0)</f>
        <v>2.4819447392290823</v>
      </c>
      <c r="P8" s="13">
        <f t="shared" si="33"/>
        <v>1.0289407592503688</v>
      </c>
      <c r="Q8" s="20">
        <f t="shared" si="2"/>
        <v>6.1147922431850432</v>
      </c>
      <c r="R8" s="59">
        <f t="shared" si="0"/>
        <v>299.44812557651835</v>
      </c>
      <c r="S8" s="59">
        <f ca="1">AVERAGE(OFFSET($R$3,0,0,'Données projet'!$E$9+1,1))-AVERAGE(OFFSET($H$3,0,0,'Données projet'!$E$9+1,1))</f>
        <v>194.89717355535993</v>
      </c>
      <c r="T8" s="59">
        <f t="shared" si="34"/>
        <v>195.422737562245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299.82080708138028</v>
      </c>
      <c r="BI8" s="59">
        <f ca="1">AVERAGE(OFFSET($BH$3,0,0,'Données projet'!$E$11+1,1))-AVERAGE(OFFSET($H$3,0,0,'Données projet'!$E$11+1,1))</f>
        <v>273.69926316253162</v>
      </c>
      <c r="BJ8" s="59">
        <f t="shared" si="38"/>
        <v>270.78513558650451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2.5115384615384619</v>
      </c>
      <c r="BY8" s="12">
        <f>IF('Données projet'!$A$114&gt;35,BY7+BX8-CG7,IF(A8&lt;'Données projet'!$A$114,$BV$205^A8,IF(A8='Données projet'!$A$114,'Données projet'!$B$114,BY7+BX8-CG7)))</f>
        <v>2.055149949310588</v>
      </c>
      <c r="BZ8" s="13">
        <f>BY8*VLOOKUP('Données projet'!$B$12,Paramètres!$A$1:$I$89,3,0)*VLOOKUP('Données projet'!$B$12,Paramètres!$A$1:$I$89,5,0)</f>
        <v>1.85949967413622</v>
      </c>
      <c r="CA8" s="13">
        <f t="shared" si="39"/>
        <v>0.79724254095458524</v>
      </c>
      <c r="CB8" s="20">
        <f t="shared" si="10"/>
        <v>4.6271593579498189</v>
      </c>
      <c r="CC8" s="59">
        <f t="shared" si="11"/>
        <v>297.96049269128315</v>
      </c>
      <c r="CD8" s="59">
        <f ca="1">AVERAGE(OFFSET($CC$3,0,0,'Données projet'!$E$12+1,1))-AVERAGE(OFFSET($H$3,0,0,'Données projet'!$E$12+1,1))</f>
        <v>302.4170391346459</v>
      </c>
      <c r="CE8" s="59">
        <f t="shared" si="40"/>
        <v>114.18498182856115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7.431221717647059</v>
      </c>
      <c r="N9" s="13">
        <f>IF('Données projet'!$A$36&gt;35,N8+M9-V8,IF(A9&lt;'Données projet'!$A$36,$K$205^A9,IF(A9='Données projet'!$A$36,'Données projet'!$B$36,N8+M9-V8)))</f>
        <v>5.5170778015731994</v>
      </c>
      <c r="O9" s="13">
        <f>N9*VLOOKUP('Données projet'!$B$9,Paramètres!$A$1:$I$89,3,0)*VLOOKUP('Données projet'!$B$9,Paramètres!$A$1:$I$89,5,0)</f>
        <v>3.2992125253407734</v>
      </c>
      <c r="P9" s="13">
        <f t="shared" si="33"/>
        <v>1.3231814361469902</v>
      </c>
      <c r="Q9" s="20">
        <f t="shared" si="2"/>
        <v>8.0506694829245209</v>
      </c>
      <c r="R9" s="59">
        <f t="shared" si="0"/>
        <v>301.38400281625786</v>
      </c>
      <c r="S9" s="59">
        <f ca="1">AVERAGE(OFFSET($R$3,0,0,'Données projet'!$E$9+1,1))-AVERAGE(OFFSET($H$3,0,0,'Données projet'!$E$9+1,1))</f>
        <v>194.89717355535993</v>
      </c>
      <c r="T9" s="59">
        <f t="shared" si="34"/>
        <v>195.422737562245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301.5126121013077</v>
      </c>
      <c r="BI9" s="59">
        <f ca="1">AVERAGE(OFFSET($BH$3,0,0,'Données projet'!$E$11+1,1))-AVERAGE(OFFSET($H$3,0,0,'Données projet'!$E$11+1,1))</f>
        <v>273.69926316253162</v>
      </c>
      <c r="BJ9" s="59">
        <f t="shared" si="38"/>
        <v>270.78513558650451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2.5115384615384619</v>
      </c>
      <c r="BY9" s="12">
        <f>IF('Données projet'!$A$114&gt;35,BY8+BX9-CG8,IF(A9&lt;'Données projet'!$A$114,$BV$205^A9,IF(A9='Données projet'!$A$114,'Données projet'!$B$114,BY8+BX9-CG8)))</f>
        <v>2.3736256017642585</v>
      </c>
      <c r="BZ9" s="13">
        <f>BY9*VLOOKUP('Données projet'!$B$12,Paramètres!$A$1:$I$89,3,0)*VLOOKUP('Données projet'!$B$12,Paramètres!$A$1:$I$89,5,0)</f>
        <v>2.1476564444763011</v>
      </c>
      <c r="CA9" s="13">
        <f t="shared" si="39"/>
        <v>0.90547438815438841</v>
      </c>
      <c r="CB9" s="20">
        <f t="shared" si="10"/>
        <v>5.3175362001651179</v>
      </c>
      <c r="CC9" s="59">
        <f t="shared" si="11"/>
        <v>298.65086953349845</v>
      </c>
      <c r="CD9" s="59">
        <f ca="1">AVERAGE(OFFSET($CC$3,0,0,'Données projet'!$E$12+1,1))-AVERAGE(OFFSET($H$3,0,0,'Données projet'!$E$12+1,1))</f>
        <v>302.4170391346459</v>
      </c>
      <c r="CE9" s="59">
        <f t="shared" si="40"/>
        <v>114.18498182856115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7.431221717647059</v>
      </c>
      <c r="N10" s="13">
        <f>IF('Données projet'!$A$36&gt;35,N9+M10-V9,IF(A10&lt;'Données projet'!$A$36,$K$205^A10,IF(A10='Données projet'!$A$36,'Données projet'!$B$36,N9+M10-V9)))</f>
        <v>7.3337701273250619</v>
      </c>
      <c r="O10" s="13">
        <f>N10*VLOOKUP('Données projet'!$B$9,Paramètres!$A$1:$I$89,3,0)*VLOOKUP('Données projet'!$B$9,Paramètres!$A$1:$I$89,5,0)</f>
        <v>4.3855945361403874</v>
      </c>
      <c r="P10" s="13">
        <f t="shared" si="33"/>
        <v>1.7015645431711321</v>
      </c>
      <c r="Q10" s="20">
        <f t="shared" si="2"/>
        <v>10.60180206313423</v>
      </c>
      <c r="R10" s="59">
        <f t="shared" si="0"/>
        <v>303.93513539646756</v>
      </c>
      <c r="S10" s="59">
        <f ca="1">AVERAGE(OFFSET($R$3,0,0,'Données projet'!$E$9+1,1))-AVERAGE(OFFSET($H$3,0,0,'Données projet'!$E$9+1,1))</f>
        <v>194.89717355535993</v>
      </c>
      <c r="T10" s="59">
        <f t="shared" si="34"/>
        <v>195.422737562245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303.64724663056381</v>
      </c>
      <c r="BI10" s="59">
        <f ca="1">AVERAGE(OFFSET($BH$3,0,0,'Données projet'!$E$11+1,1))-AVERAGE(OFFSET($H$3,0,0,'Données projet'!$E$11+1,1))</f>
        <v>273.69926316253162</v>
      </c>
      <c r="BJ10" s="59">
        <f t="shared" si="38"/>
        <v>270.78513558650451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2.5115384615384619</v>
      </c>
      <c r="BY10" s="12">
        <f>IF('Données projet'!$A$114&gt;35,BY9+BX10-CG9,IF(A10&lt;'Données projet'!$A$114,$BV$205^A10,IF(A10='Données projet'!$A$114,'Données projet'!$B$114,BY9+BX10-CG9)))</f>
        <v>2.7414537315103114</v>
      </c>
      <c r="BZ10" s="13">
        <f>BY10*VLOOKUP('Données projet'!$B$12,Paramètres!$A$1:$I$89,3,0)*VLOOKUP('Données projet'!$B$12,Paramètres!$A$1:$I$89,5,0)</f>
        <v>2.4804673362705296</v>
      </c>
      <c r="CA10" s="13">
        <f t="shared" si="39"/>
        <v>1.0283995465443541</v>
      </c>
      <c r="CB10" s="20">
        <f t="shared" si="10"/>
        <v>6.1112764875692553</v>
      </c>
      <c r="CC10" s="59">
        <f t="shared" si="11"/>
        <v>299.44460982090254</v>
      </c>
      <c r="CD10" s="59">
        <f ca="1">AVERAGE(OFFSET($CC$3,0,0,'Données projet'!$E$12+1,1))-AVERAGE(OFFSET($H$3,0,0,'Données projet'!$E$12+1,1))</f>
        <v>302.4170391346459</v>
      </c>
      <c r="CE10" s="59">
        <f t="shared" si="40"/>
        <v>114.18498182856115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7.431221717647059</v>
      </c>
      <c r="N11" s="13">
        <f>IF('Données projet'!$A$36&gt;35,N10+M11-V10,IF(A11&lt;'Données projet'!$A$36,$K$205^A11,IF(A11='Données projet'!$A$36,'Données projet'!$B$36,N10+M11-V10)))</f>
        <v>9.7486724340028079</v>
      </c>
      <c r="O11" s="13">
        <f>N11*VLOOKUP('Données projet'!$B$9,Paramètres!$A$1:$I$89,3,0)*VLOOKUP('Données projet'!$B$9,Paramètres!$A$1:$I$89,5,0)</f>
        <v>5.8297061155336793</v>
      </c>
      <c r="P11" s="13">
        <f t="shared" si="33"/>
        <v>2.1881518403161357</v>
      </c>
      <c r="Q11" s="20">
        <f t="shared" si="2"/>
        <v>13.964435939771761</v>
      </c>
      <c r="R11" s="59">
        <f t="shared" si="0"/>
        <v>307.29776927310508</v>
      </c>
      <c r="S11" s="59">
        <f ca="1">AVERAGE(OFFSET($R$3,0,0,'Données projet'!$E$9+1,1))-AVERAGE(OFFSET($H$3,0,0,'Données projet'!$E$9+1,1))</f>
        <v>194.89717355535993</v>
      </c>
      <c r="T11" s="59">
        <f t="shared" si="34"/>
        <v>195.422737562245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306.34102339264984</v>
      </c>
      <c r="BI11" s="59">
        <f ca="1">AVERAGE(OFFSET($BH$3,0,0,'Données projet'!$E$11+1,1))-AVERAGE(OFFSET($H$3,0,0,'Données projet'!$E$11+1,1))</f>
        <v>273.69926316253162</v>
      </c>
      <c r="BJ11" s="59">
        <f t="shared" si="38"/>
        <v>270.78513558650451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2.5115384615384619</v>
      </c>
      <c r="BY11" s="12">
        <f>IF('Données projet'!$A$114&gt;35,BY10+BX11-CG10,IF(A11&lt;'Données projet'!$A$114,$BV$205^A11,IF(A11='Données projet'!$A$114,'Données projet'!$B$114,BY10+BX11-CG10)))</f>
        <v>3.1662822293565043</v>
      </c>
      <c r="BZ11" s="13">
        <f>BY11*VLOOKUP('Données projet'!$B$12,Paramètres!$A$1:$I$89,3,0)*VLOOKUP('Données projet'!$B$12,Paramètres!$A$1:$I$89,5,0)</f>
        <v>2.8648521611217652</v>
      </c>
      <c r="CA11" s="13">
        <f t="shared" si="39"/>
        <v>1.1680127468744104</v>
      </c>
      <c r="CB11" s="20">
        <f t="shared" si="10"/>
        <v>7.0239063814266727</v>
      </c>
      <c r="CC11" s="59">
        <f t="shared" si="11"/>
        <v>300.35723971476</v>
      </c>
      <c r="CD11" s="59">
        <f ca="1">AVERAGE(OFFSET($CC$3,0,0,'Données projet'!$E$12+1,1))-AVERAGE(OFFSET($H$3,0,0,'Données projet'!$E$12+1,1))</f>
        <v>302.4170391346459</v>
      </c>
      <c r="CE11" s="59">
        <f t="shared" si="40"/>
        <v>114.18498182856115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7.431221717647059</v>
      </c>
      <c r="N12" s="13">
        <f>IF('Données projet'!$A$36&gt;35,N11+M12-V11,IF(A12&lt;'Données projet'!$A$36,$K$205^A12,IF(A12='Données projet'!$A$36,'Données projet'!$B$36,N11+M12-V11)))</f>
        <v>12.958766442840515</v>
      </c>
      <c r="O12" s="13">
        <f>N12*VLOOKUP('Données projet'!$B$9,Paramètres!$A$1:$I$89,3,0)*VLOOKUP('Données projet'!$B$9,Paramètres!$A$1:$I$89,5,0)</f>
        <v>7.7493423328186291</v>
      </c>
      <c r="P12" s="13">
        <f t="shared" si="33"/>
        <v>2.8138859001820089</v>
      </c>
      <c r="Q12" s="20">
        <f t="shared" si="2"/>
        <v>18.397622505809444</v>
      </c>
      <c r="R12" s="59">
        <f t="shared" si="0"/>
        <v>311.73095583914278</v>
      </c>
      <c r="S12" s="59">
        <f ca="1">AVERAGE(OFFSET($R$3,0,0,'Données projet'!$E$9+1,1))-AVERAGE(OFFSET($H$3,0,0,'Données projet'!$E$9+1,1))</f>
        <v>194.89717355535993</v>
      </c>
      <c r="T12" s="59">
        <f t="shared" si="34"/>
        <v>195.422737562245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309.74090385137913</v>
      </c>
      <c r="BI12" s="59">
        <f ca="1">AVERAGE(OFFSET($BH$3,0,0,'Données projet'!$E$11+1,1))-AVERAGE(OFFSET($H$3,0,0,'Données projet'!$E$11+1,1))</f>
        <v>273.69926316253162</v>
      </c>
      <c r="BJ12" s="59">
        <f t="shared" si="38"/>
        <v>270.78513558650451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2.5115384615384619</v>
      </c>
      <c r="BY12" s="12">
        <f>IF('Données projet'!$A$114&gt;35,BY11+BX12-CG11,IF(A12&lt;'Données projet'!$A$114,$BV$205^A12,IF(A12='Données projet'!$A$114,'Données projet'!$B$114,BY11+BX12-CG11)))</f>
        <v>3.6569441390556205</v>
      </c>
      <c r="BZ12" s="13">
        <f>BY12*VLOOKUP('Données projet'!$B$12,Paramètres!$A$1:$I$89,3,0)*VLOOKUP('Données projet'!$B$12,Paramètres!$A$1:$I$89,5,0)</f>
        <v>3.3088030570175251</v>
      </c>
      <c r="CA12" s="13">
        <f t="shared" si="39"/>
        <v>1.3265795200370261</v>
      </c>
      <c r="CB12" s="20">
        <f t="shared" si="10"/>
        <v>8.0732913217033442</v>
      </c>
      <c r="CC12" s="59">
        <f t="shared" si="11"/>
        <v>301.40662465503664</v>
      </c>
      <c r="CD12" s="59">
        <f ca="1">AVERAGE(OFFSET($CC$3,0,0,'Données projet'!$E$12+1,1))-AVERAGE(OFFSET($H$3,0,0,'Données projet'!$E$12+1,1))</f>
        <v>302.4170391346459</v>
      </c>
      <c r="CE12" s="59">
        <f t="shared" si="40"/>
        <v>114.18498182856115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7.431221717647059</v>
      </c>
      <c r="N13" s="13">
        <f>IF('Données projet'!$A$36&gt;35,N12+M13-V12,IF(A13&lt;'Données projet'!$A$36,$K$205^A13,IF(A13='Données projet'!$A$36,'Données projet'!$B$36,N12+M13-V12)))</f>
        <v>17.225897049772701</v>
      </c>
      <c r="O13" s="13">
        <f>N13*VLOOKUP('Données projet'!$B$9,Paramètres!$A$1:$I$89,3,0)*VLOOKUP('Données projet'!$B$9,Paramètres!$A$1:$I$89,5,0)</f>
        <v>10.301086435764077</v>
      </c>
      <c r="P13" s="13">
        <f t="shared" si="33"/>
        <v>3.6185577770961088</v>
      </c>
      <c r="Q13" s="20">
        <f t="shared" si="2"/>
        <v>24.243380337398154</v>
      </c>
      <c r="R13" s="59">
        <f t="shared" si="0"/>
        <v>317.57671367073146</v>
      </c>
      <c r="S13" s="59">
        <f ca="1">AVERAGE(OFFSET($R$3,0,0,'Données projet'!$E$9+1,1))-AVERAGE(OFFSET($H$3,0,0,'Données projet'!$E$9+1,1))</f>
        <v>194.89717355535993</v>
      </c>
      <c r="T13" s="59">
        <f t="shared" si="34"/>
        <v>195.422737562245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314.03259816936765</v>
      </c>
      <c r="BI13" s="59">
        <f ca="1">AVERAGE(OFFSET($BH$3,0,0,'Données projet'!$E$11+1,1))-AVERAGE(OFFSET($H$3,0,0,'Données projet'!$E$11+1,1))</f>
        <v>273.69926316253162</v>
      </c>
      <c r="BJ13" s="59">
        <f t="shared" si="38"/>
        <v>270.78513558650451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2.5115384615384619</v>
      </c>
      <c r="BY13" s="12">
        <f>IF('Données projet'!$A$114&gt;35,BY12+BX13-CG12,IF(A13&lt;'Données projet'!$A$114,$BV$205^A13,IF(A13='Données projet'!$A$114,'Données projet'!$B$114,BY12+BX13-CG12)))</f>
        <v>4.2236413141513127</v>
      </c>
      <c r="BZ13" s="13">
        <f>BY13*VLOOKUP('Données projet'!$B$12,Paramètres!$A$1:$I$89,3,0)*VLOOKUP('Données projet'!$B$12,Paramètres!$A$1:$I$89,5,0)</f>
        <v>3.8215506610441077</v>
      </c>
      <c r="CA13" s="13">
        <f t="shared" si="39"/>
        <v>1.5066729602831042</v>
      </c>
      <c r="CB13" s="20">
        <f t="shared" si="10"/>
        <v>9.2799894738115594</v>
      </c>
      <c r="CC13" s="59">
        <f t="shared" si="11"/>
        <v>302.61332280714487</v>
      </c>
      <c r="CD13" s="59">
        <f ca="1">AVERAGE(OFFSET($CC$3,0,0,'Données projet'!$E$12+1,1))-AVERAGE(OFFSET($H$3,0,0,'Données projet'!$E$12+1,1))</f>
        <v>302.4170391346459</v>
      </c>
      <c r="CE13" s="59">
        <f t="shared" si="40"/>
        <v>114.18498182856115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7.431221717647059</v>
      </c>
      <c r="N14" s="13">
        <f>IF('Données projet'!$A$36&gt;35,N13+M14-V13,IF(A14&lt;'Données projet'!$A$36,$K$205^A14,IF(A14='Données projet'!$A$36,'Données projet'!$B$36,N13+M14-V13)))</f>
        <v>22.898130811926674</v>
      </c>
      <c r="O14" s="13">
        <f>N14*VLOOKUP('Données projet'!$B$9,Paramètres!$A$1:$I$89,3,0)*VLOOKUP('Données projet'!$B$9,Paramètres!$A$1:$I$89,5,0)</f>
        <v>13.693082225532152</v>
      </c>
      <c r="P14" s="13">
        <f t="shared" si="33"/>
        <v>4.6533373600314727</v>
      </c>
      <c r="Q14" s="20">
        <f t="shared" si="2"/>
        <v>31.953347444856647</v>
      </c>
      <c r="R14" s="59">
        <f t="shared" si="0"/>
        <v>325.28668077818998</v>
      </c>
      <c r="S14" s="59">
        <f ca="1">AVERAGE(OFFSET($R$3,0,0,'Données projet'!$E$9+1,1))-AVERAGE(OFFSET($H$3,0,0,'Données projet'!$E$9+1,1))</f>
        <v>194.89717355535993</v>
      </c>
      <c r="T14" s="59">
        <f t="shared" si="34"/>
        <v>195.422737562245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17.344080000000002</v>
      </c>
      <c r="BF14" s="13">
        <f t="shared" si="37"/>
        <v>5.7341113912136308</v>
      </c>
      <c r="BG14" s="20">
        <f t="shared" si="7"/>
        <v>40.194516673030414</v>
      </c>
      <c r="BH14" s="59">
        <f t="shared" si="8"/>
        <v>333.52785000636374</v>
      </c>
      <c r="BI14" s="59">
        <f ca="1">AVERAGE(OFFSET($BH$3,0,0,'Données projet'!$E$11+1,1))-AVERAGE(OFFSET($H$3,0,0,'Données projet'!$E$11+1,1))</f>
        <v>273.69926316253162</v>
      </c>
      <c r="BJ14" s="59">
        <f t="shared" si="38"/>
        <v>270.78513558650451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2.5115384615384619</v>
      </c>
      <c r="BY14" s="12">
        <f>IF('Données projet'!$A$114&gt;35,BY13+BX14-CG13,IF(A14&lt;'Données projet'!$A$114,$BV$205^A14,IF(A14='Données projet'!$A$114,'Données projet'!$B$114,BY13+BX14-CG13)))</f>
        <v>4.8781565351481309</v>
      </c>
      <c r="BZ14" s="13">
        <f>BY14*VLOOKUP('Données projet'!$B$12,Paramètres!$A$1:$I$89,3,0)*VLOOKUP('Données projet'!$B$12,Paramètres!$A$1:$I$89,5,0)</f>
        <v>4.413756033002028</v>
      </c>
      <c r="CA14" s="13">
        <f t="shared" si="39"/>
        <v>1.7112154793290431</v>
      </c>
      <c r="CB14" s="20">
        <f t="shared" si="10"/>
        <v>10.66765871730995</v>
      </c>
      <c r="CC14" s="59">
        <f t="shared" si="11"/>
        <v>304.00099205064328</v>
      </c>
      <c r="CD14" s="59">
        <f ca="1">AVERAGE(OFFSET($CC$3,0,0,'Données projet'!$E$12+1,1))-AVERAGE(OFFSET($H$3,0,0,'Données projet'!$E$12+1,1))</f>
        <v>302.4170391346459</v>
      </c>
      <c r="CE14" s="59">
        <f t="shared" si="40"/>
        <v>114.18498182856115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7.431221717647059</v>
      </c>
      <c r="N15" s="13">
        <f>IF('Données projet'!$A$36&gt;35,N14+M15-V14,IF(A15&lt;'Données projet'!$A$36,$K$205^A15,IF(A15='Données projet'!$A$36,'Données projet'!$B$36,N14+M15-V14)))</f>
        <v>30.438147468611763</v>
      </c>
      <c r="O15" s="13">
        <f>N15*VLOOKUP('Données projet'!$B$9,Paramètres!$A$1:$I$89,3,0)*VLOOKUP('Données projet'!$B$9,Paramètres!$A$1:$I$89,5,0)</f>
        <v>18.202012186229837</v>
      </c>
      <c r="P15" s="13">
        <f t="shared" si="33"/>
        <v>5.9840273169941289</v>
      </c>
      <c r="Q15" s="20">
        <f t="shared" si="2"/>
        <v>42.124018801448408</v>
      </c>
      <c r="R15" s="59">
        <f t="shared" si="0"/>
        <v>335.45735213478173</v>
      </c>
      <c r="S15" s="59">
        <f ca="1">AVERAGE(OFFSET($R$3,0,0,'Données projet'!$E$9+1,1))-AVERAGE(OFFSET($H$3,0,0,'Données projet'!$E$9+1,1))</f>
        <v>194.89717355535993</v>
      </c>
      <c r="T15" s="59">
        <f t="shared" si="34"/>
        <v>195.422737562245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25.936560000000004</v>
      </c>
      <c r="BF15" s="13">
        <f t="shared" si="37"/>
        <v>8.1824816304360635</v>
      </c>
      <c r="BG15" s="20">
        <f t="shared" si="7"/>
        <v>59.423997506342801</v>
      </c>
      <c r="BH15" s="59">
        <f t="shared" si="8"/>
        <v>352.75733083967611</v>
      </c>
      <c r="BI15" s="59">
        <f ca="1">AVERAGE(OFFSET($BH$3,0,0,'Données projet'!$E$11+1,1))-AVERAGE(OFFSET($H$3,0,0,'Données projet'!$E$11+1,1))</f>
        <v>273.69926316253162</v>
      </c>
      <c r="BJ15" s="59">
        <f t="shared" si="38"/>
        <v>270.78513558650451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2.5115384615384619</v>
      </c>
      <c r="BY15" s="12">
        <f>IF('Données projet'!$A$114&gt;35,BY14+BX15-CG14,IF(A15&lt;'Données projet'!$A$114,$BV$205^A15,IF(A15='Données projet'!$A$114,'Données projet'!$B$114,BY14+BX15-CG14)))</f>
        <v>5.6340984973507391</v>
      </c>
      <c r="BZ15" s="13">
        <f>BY15*VLOOKUP('Données projet'!$B$12,Paramètres!$A$1:$I$89,3,0)*VLOOKUP('Données projet'!$B$12,Paramètres!$A$1:$I$89,5,0)</f>
        <v>5.0977323204029483</v>
      </c>
      <c r="CA15" s="13">
        <f t="shared" si="39"/>
        <v>1.9435262289071051</v>
      </c>
      <c r="CB15" s="20">
        <f t="shared" si="10"/>
        <v>12.26352530671501</v>
      </c>
      <c r="CC15" s="59">
        <f t="shared" si="11"/>
        <v>305.59685864004831</v>
      </c>
      <c r="CD15" s="59">
        <f ca="1">AVERAGE(OFFSET($CC$3,0,0,'Données projet'!$E$12+1,1))-AVERAGE(OFFSET($H$3,0,0,'Données projet'!$E$12+1,1))</f>
        <v>302.4170391346459</v>
      </c>
      <c r="CE15" s="59">
        <f t="shared" si="40"/>
        <v>114.18498182856115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7.431221717647059</v>
      </c>
      <c r="N16" s="13">
        <f>IF('Données projet'!$A$36&gt;35,N15+M16-V15,IF(A16&lt;'Données projet'!$A$36,$K$205^A16,IF(A16='Données projet'!$A$36,'Données projet'!$B$36,N15+M16-V15)))</f>
        <v>40.460980371305759</v>
      </c>
      <c r="O16" s="13">
        <f>N16*VLOOKUP('Données projet'!$B$9,Paramètres!$A$1:$I$89,3,0)*VLOOKUP('Données projet'!$B$9,Paramètres!$A$1:$I$89,5,0)</f>
        <v>24.195666262040845</v>
      </c>
      <c r="P16" s="13">
        <f t="shared" si="33"/>
        <v>7.6952475524555108</v>
      </c>
      <c r="Q16" s="20">
        <f t="shared" si="2"/>
        <v>55.543341560247825</v>
      </c>
      <c r="R16" s="59">
        <f t="shared" si="0"/>
        <v>348.87667489358114</v>
      </c>
      <c r="S16" s="59">
        <f ca="1">AVERAGE(OFFSET($R$3,0,0,'Données projet'!$E$9+1,1))-AVERAGE(OFFSET($H$3,0,0,'Données projet'!$E$9+1,1))</f>
        <v>194.89717355535993</v>
      </c>
      <c r="T16" s="59">
        <f t="shared" si="34"/>
        <v>195.422737562245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34.529040000000009</v>
      </c>
      <c r="BF16" s="13">
        <f t="shared" si="37"/>
        <v>10.536391336679102</v>
      </c>
      <c r="BG16" s="20">
        <f t="shared" si="7"/>
        <v>78.488959578049446</v>
      </c>
      <c r="BH16" s="59">
        <f t="shared" si="8"/>
        <v>371.82229291138276</v>
      </c>
      <c r="BI16" s="59">
        <f ca="1">AVERAGE(OFFSET($BH$3,0,0,'Données projet'!$E$11+1,1))-AVERAGE(OFFSET($H$3,0,0,'Données projet'!$E$11+1,1))</f>
        <v>273.69926316253162</v>
      </c>
      <c r="BJ16" s="59">
        <f t="shared" si="38"/>
        <v>270.78513558650451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2.5115384615384619</v>
      </c>
      <c r="BY16" s="12">
        <f>IF('Données projet'!$A$114&gt;35,BY15+BX16-CG15,IF(A16&lt;'Données projet'!$A$114,$BV$205^A16,IF(A16='Données projet'!$A$114,'Données projet'!$B$114,BY15+BX16-CG15)))</f>
        <v>6.5071847631650357</v>
      </c>
      <c r="BZ16" s="13">
        <f>BY16*VLOOKUP('Données projet'!$B$12,Paramètres!$A$1:$I$89,3,0)*VLOOKUP('Données projet'!$B$12,Paramètres!$A$1:$I$89,5,0)</f>
        <v>5.8877007737117237</v>
      </c>
      <c r="CA16" s="13">
        <f t="shared" si="39"/>
        <v>2.2073749612941369</v>
      </c>
      <c r="CB16" s="20">
        <f t="shared" si="10"/>
        <v>14.098923571801871</v>
      </c>
      <c r="CC16" s="59">
        <f t="shared" si="11"/>
        <v>307.4322569051352</v>
      </c>
      <c r="CD16" s="59">
        <f ca="1">AVERAGE(OFFSET($CC$3,0,0,'Données projet'!$E$12+1,1))-AVERAGE(OFFSET($H$3,0,0,'Données projet'!$E$12+1,1))</f>
        <v>302.4170391346459</v>
      </c>
      <c r="CE16" s="59">
        <f t="shared" si="40"/>
        <v>114.18498182856115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7.431221717647059</v>
      </c>
      <c r="N17" s="13">
        <f>IF('Données projet'!$A$36&gt;35,N16+M17-V16,IF(A17&lt;'Données projet'!$A$36,$K$205^A17,IF(A17='Données projet'!$A$36,'Données projet'!$B$36,N16+M17-V16)))</f>
        <v>53.784184280445459</v>
      </c>
      <c r="O17" s="13">
        <f>N17*VLOOKUP('Données projet'!$B$9,Paramètres!$A$1:$I$89,3,0)*VLOOKUP('Données projet'!$B$9,Paramètres!$A$1:$I$89,5,0)</f>
        <v>32.162942199706386</v>
      </c>
      <c r="P17" s="13">
        <f t="shared" si="33"/>
        <v>9.8958162716606779</v>
      </c>
      <c r="Q17" s="20">
        <f t="shared" si="2"/>
        <v>73.252337670964309</v>
      </c>
      <c r="R17" s="59">
        <f t="shared" si="0"/>
        <v>366.58567100429764</v>
      </c>
      <c r="S17" s="59">
        <f ca="1">AVERAGE(OFFSET($R$3,0,0,'Données projet'!$E$9+1,1))-AVERAGE(OFFSET($H$3,0,0,'Données projet'!$E$9+1,1))</f>
        <v>194.89717355535993</v>
      </c>
      <c r="T17" s="59">
        <f t="shared" si="34"/>
        <v>195.422737562245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43.121520000000004</v>
      </c>
      <c r="BF17" s="13">
        <f t="shared" si="37"/>
        <v>12.822353245070515</v>
      </c>
      <c r="BG17" s="20">
        <f t="shared" si="7"/>
        <v>97.435579235164482</v>
      </c>
      <c r="BH17" s="59">
        <f t="shared" si="8"/>
        <v>390.7689125684978</v>
      </c>
      <c r="BI17" s="59">
        <f ca="1">AVERAGE(OFFSET($BH$3,0,0,'Données projet'!$E$11+1,1))-AVERAGE(OFFSET($H$3,0,0,'Données projet'!$E$11+1,1))</f>
        <v>273.69926316253162</v>
      </c>
      <c r="BJ17" s="59">
        <f t="shared" si="38"/>
        <v>270.78513558650451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2.5115384615384619</v>
      </c>
      <c r="BY17" s="12">
        <f>IF('Données projet'!$A$114&gt;35,BY16+BX17-CG16,IF(A17&lt;'Données projet'!$A$114,$BV$205^A17,IF(A17='Données projet'!$A$114,'Données projet'!$B$114,BY16+BX17-CG16)))</f>
        <v>7.5155685620118104</v>
      </c>
      <c r="BZ17" s="13">
        <f>BY17*VLOOKUP('Données projet'!$B$12,Paramètres!$A$1:$I$89,3,0)*VLOOKUP('Données projet'!$B$12,Paramètres!$A$1:$I$89,5,0)</f>
        <v>6.8000864349082857</v>
      </c>
      <c r="CA17" s="13">
        <f t="shared" si="39"/>
        <v>2.5070432018240512</v>
      </c>
      <c r="CB17" s="20">
        <f t="shared" si="10"/>
        <v>16.209917450642156</v>
      </c>
      <c r="CC17" s="59">
        <f t="shared" si="11"/>
        <v>309.54325078397545</v>
      </c>
      <c r="CD17" s="59">
        <f ca="1">AVERAGE(OFFSET($CC$3,0,0,'Données projet'!$E$12+1,1))-AVERAGE(OFFSET($H$3,0,0,'Données projet'!$E$12+1,1))</f>
        <v>302.4170391346459</v>
      </c>
      <c r="CE17" s="59">
        <f t="shared" si="40"/>
        <v>114.18498182856115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7.431221717647059</v>
      </c>
      <c r="N18" s="13">
        <f>IF('Données projet'!$A$36&gt;35,N17+M18-V17,IF(A18&lt;'Données projet'!$A$36,$K$205^A18,IF(A18='Données projet'!$A$36,'Données projet'!$B$36,N17+M18-V17)))</f>
        <v>71.49452267756709</v>
      </c>
      <c r="O18" s="13">
        <f>N18*VLOOKUP('Données projet'!$B$9,Paramètres!$A$1:$I$89,3,0)*VLOOKUP('Données projet'!$B$9,Paramètres!$A$1:$I$89,5,0)</f>
        <v>42.753724561185123</v>
      </c>
      <c r="P18" s="13">
        <f t="shared" si="33"/>
        <v>12.725669839070507</v>
      </c>
      <c r="Q18" s="20">
        <f t="shared" si="2"/>
        <v>96.626611913778547</v>
      </c>
      <c r="R18" s="59">
        <f t="shared" si="0"/>
        <v>389.95994524711188</v>
      </c>
      <c r="S18" s="59">
        <f ca="1">AVERAGE(OFFSET($R$3,0,0,'Données projet'!$E$9+1,1))-AVERAGE(OFFSET($H$3,0,0,'Données projet'!$E$9+1,1))</f>
        <v>194.89717355535993</v>
      </c>
      <c r="T18" s="59">
        <f t="shared" si="34"/>
        <v>195.422737562245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51.713999999999999</v>
      </c>
      <c r="BF18" s="13">
        <f t="shared" si="37"/>
        <v>15.055535578337075</v>
      </c>
      <c r="BG18" s="20">
        <f t="shared" si="7"/>
        <v>116.29027446560372</v>
      </c>
      <c r="BH18" s="59">
        <f t="shared" si="8"/>
        <v>409.62360779893703</v>
      </c>
      <c r="BI18" s="59">
        <f ca="1">AVERAGE(OFFSET($BH$3,0,0,'Données projet'!$E$11+1,1))-AVERAGE(OFFSET($H$3,0,0,'Données projet'!$E$11+1,1))</f>
        <v>273.69926316253162</v>
      </c>
      <c r="BJ18" s="59">
        <f t="shared" si="38"/>
        <v>270.78513558650451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2.5115384615384619</v>
      </c>
      <c r="BY18" s="12">
        <f>IF('Données projet'!$A$114&gt;35,BY17+BX18-CG17,IF(A18&lt;'Données projet'!$A$114,$BV$205^A18,IF(A18='Données projet'!$A$114,'Données projet'!$B$114,BY17+BX18-CG17)))</f>
        <v>8.6802162326841756</v>
      </c>
      <c r="BZ18" s="13">
        <f>BY18*VLOOKUP('Données projet'!$B$12,Paramètres!$A$1:$I$89,3,0)*VLOOKUP('Données projet'!$B$12,Paramètres!$A$1:$I$89,5,0)</f>
        <v>7.8538596473326416</v>
      </c>
      <c r="CA18" s="13">
        <f t="shared" si="39"/>
        <v>2.8473937260424811</v>
      </c>
      <c r="CB18" s="20">
        <f t="shared" si="10"/>
        <v>18.638016291961673</v>
      </c>
      <c r="CC18" s="59">
        <f t="shared" si="11"/>
        <v>311.97134962529498</v>
      </c>
      <c r="CD18" s="59">
        <f ca="1">AVERAGE(OFFSET($CC$3,0,0,'Données projet'!$E$12+1,1))-AVERAGE(OFFSET($H$3,0,0,'Données projet'!$E$12+1,1))</f>
        <v>302.4170391346459</v>
      </c>
      <c r="CE18" s="59">
        <f t="shared" si="40"/>
        <v>114.18498182856115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7.431221717647059</v>
      </c>
      <c r="N19" s="13">
        <f>IF('Données projet'!$A$36&gt;35,N18+M19-V18,IF(A19&lt;'Données projet'!$A$36,$K$205^A19,IF(A19='Données projet'!$A$36,'Données projet'!$B$36,N18+M19-V18)))</f>
        <v>95.036614225486232</v>
      </c>
      <c r="O19" s="13">
        <f>N19*VLOOKUP('Données projet'!$B$9,Paramètres!$A$1:$I$89,3,0)*VLOOKUP('Données projet'!$B$9,Paramètres!$A$1:$I$89,5,0)</f>
        <v>56.831895306840778</v>
      </c>
      <c r="P19" s="13">
        <f t="shared" si="33"/>
        <v>16.364761471652944</v>
      </c>
      <c r="Q19" s="20">
        <f t="shared" si="2"/>
        <v>127.48417722254322</v>
      </c>
      <c r="R19" s="59">
        <f t="shared" si="0"/>
        <v>420.81751055587654</v>
      </c>
      <c r="S19" s="59">
        <f ca="1">AVERAGE(OFFSET($R$3,0,0,'Données projet'!$E$9+1,1))-AVERAGE(OFFSET($H$3,0,0,'Données projet'!$E$9+1,1))</f>
        <v>194.89717355535993</v>
      </c>
      <c r="T19" s="59">
        <f t="shared" si="34"/>
        <v>195.422737562245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37.234079999999999</v>
      </c>
      <c r="BF19" s="13">
        <f t="shared" si="37"/>
        <v>11.262510356679771</v>
      </c>
      <c r="BG19" s="20">
        <f t="shared" si="7"/>
        <v>84.464894871217254</v>
      </c>
      <c r="BH19" s="59">
        <f t="shared" si="8"/>
        <v>377.79822820455058</v>
      </c>
      <c r="BI19" s="59">
        <f ca="1">AVERAGE(OFFSET($BH$3,0,0,'Données projet'!$E$11+1,1))-AVERAGE(OFFSET($H$3,0,0,'Données projet'!$E$11+1,1))</f>
        <v>273.69926316253162</v>
      </c>
      <c r="BJ19" s="59">
        <f t="shared" si="38"/>
        <v>270.78513558650451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2.5115384615384619</v>
      </c>
      <c r="BY19" s="12">
        <f>IF('Données projet'!$A$114&gt;35,BY18+BX19-CG18,IF(A19&lt;'Données projet'!$A$114,$BV$205^A19,IF(A19='Données projet'!$A$114,'Données projet'!$B$114,BY18+BX19-CG18)))</f>
        <v>10.025343155938796</v>
      </c>
      <c r="BZ19" s="13">
        <f>BY19*VLOOKUP('Données projet'!$B$12,Paramètres!$A$1:$I$89,3,0)*VLOOKUP('Données projet'!$B$12,Paramètres!$A$1:$I$89,5,0)</f>
        <v>9.0709304874934222</v>
      </c>
      <c r="CA19" s="13">
        <f t="shared" si="39"/>
        <v>3.2339494689230706</v>
      </c>
      <c r="CB19" s="20">
        <f t="shared" si="10"/>
        <v>21.430999257425388</v>
      </c>
      <c r="CC19" s="59">
        <f t="shared" si="11"/>
        <v>314.76433259075873</v>
      </c>
      <c r="CD19" s="59">
        <f ca="1">AVERAGE(OFFSET($CC$3,0,0,'Données projet'!$E$12+1,1))-AVERAGE(OFFSET($H$3,0,0,'Données projet'!$E$12+1,1))</f>
        <v>302.4170391346459</v>
      </c>
      <c r="CE19" s="59">
        <f t="shared" si="40"/>
        <v>114.18498182856115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126.33076920000001</v>
      </c>
      <c r="L20" s="12">
        <f>VLOOKUP(A20,'Données projet'!$A$35:$I$55,9,0)</f>
        <v>7.431221717647059</v>
      </c>
      <c r="M20" s="12">
        <f t="array" ref="M20">INDEX(L:L,MIN(IF(ISNUMBER(L20:L216),ROW(L20:L216),"")))</f>
        <v>7.431221717647059</v>
      </c>
      <c r="N20" s="13">
        <f>IF('Données projet'!$A$36&gt;35,N19+M20-V19,IF(A20&lt;'Données projet'!$A$36,$K$205^A20,IF(A20='Données projet'!$A$36,'Données projet'!$B$36,N19+M20-V19)))</f>
        <v>126.33076920000001</v>
      </c>
      <c r="O20" s="13">
        <f>N20*VLOOKUP('Données projet'!$B$9,Paramètres!$A$1:$I$89,3,0)*VLOOKUP('Données projet'!$B$9,Paramètres!$A$1:$I$89,5,0)</f>
        <v>75.545799981600013</v>
      </c>
      <c r="P20" s="13">
        <f t="shared" si="33"/>
        <v>21.044504643824485</v>
      </c>
      <c r="Q20" s="20">
        <f t="shared" si="2"/>
        <v>168.22811388928099</v>
      </c>
      <c r="R20" s="59">
        <f t="shared" si="0"/>
        <v>461.56144722261433</v>
      </c>
      <c r="S20" s="59">
        <f ca="1">AVERAGE(OFFSET($R$3,0,0,'Données projet'!$E$9+1,1))-AVERAGE(OFFSET($H$3,0,0,'Données projet'!$E$9+1,1))</f>
        <v>194.89717355535993</v>
      </c>
      <c r="T20" s="59">
        <f t="shared" si="34"/>
        <v>195.422737562245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42.084615380000002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8.3799241077299413</v>
      </c>
      <c r="AB20" s="21">
        <f>EXP(-LN(2)/2)*AB19+(1-EXP(-LN(2)/2))/(LN(2)/2)*V20*Y20*VLOOKUP('Données projet'!$B$9,Paramètres!$A$1:$I$89,3,0)*0.475*44/12</f>
        <v>12.537552427754024</v>
      </c>
      <c r="AC20" s="22">
        <f t="shared" si="3"/>
        <v>20.917476535483964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48.213360000000002</v>
      </c>
      <c r="BF20" s="13">
        <f t="shared" si="37"/>
        <v>14.151379520104694</v>
      </c>
      <c r="BG20" s="20">
        <f t="shared" si="7"/>
        <v>108.61858799751566</v>
      </c>
      <c r="BH20" s="59">
        <f t="shared" si="8"/>
        <v>401.95192133084896</v>
      </c>
      <c r="BI20" s="59">
        <f ca="1">AVERAGE(OFFSET($BH$3,0,0,'Données projet'!$E$11+1,1))-AVERAGE(OFFSET($H$3,0,0,'Données projet'!$E$11+1,1))</f>
        <v>273.69926316253162</v>
      </c>
      <c r="BJ20" s="59">
        <f t="shared" si="38"/>
        <v>270.78513558650451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2.5115384615384619</v>
      </c>
      <c r="BY20" s="12">
        <f>IF('Données projet'!$A$114&gt;35,BY19+BX20-CG19,IF(A20&lt;'Données projet'!$A$114,$BV$205^A20,IF(A20='Données projet'!$A$114,'Données projet'!$B$114,BY19+BX20-CG19)))</f>
        <v>11.578917241241234</v>
      </c>
      <c r="BZ20" s="13">
        <f>BY20*VLOOKUP('Données projet'!$B$12,Paramètres!$A$1:$I$89,3,0)*VLOOKUP('Données projet'!$B$12,Paramètres!$A$1:$I$89,5,0)</f>
        <v>10.476604319875069</v>
      </c>
      <c r="CA20" s="13">
        <f t="shared" si="39"/>
        <v>3.6729831466207905</v>
      </c>
      <c r="CB20" s="20">
        <f t="shared" si="10"/>
        <v>24.643864837480283</v>
      </c>
      <c r="CC20" s="59">
        <f t="shared" si="11"/>
        <v>317.97719817081361</v>
      </c>
      <c r="CD20" s="59">
        <f ca="1">AVERAGE(OFFSET($CC$3,0,0,'Données projet'!$E$12+1,1))-AVERAGE(OFFSET($H$3,0,0,'Données projet'!$E$12+1,1))</f>
        <v>302.4170391346459</v>
      </c>
      <c r="CE20" s="59">
        <f t="shared" si="40"/>
        <v>114.18498182856115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14.926923080000002</v>
      </c>
      <c r="N21" s="13">
        <f>IF('Données projet'!$A$36&gt;35,N20+M21-V20,IF(A21&lt;'Données projet'!$A$36,$K$205^A21,IF(A21='Données projet'!$A$36,'Données projet'!$B$36,N20+M21-V20)))</f>
        <v>99.173076900000012</v>
      </c>
      <c r="O21" s="13">
        <f>N21*VLOOKUP('Données projet'!$B$9,Paramètres!$A$1:$I$89,3,0)*VLOOKUP('Données projet'!$B$9,Paramètres!$A$1:$I$89,5,0)</f>
        <v>59.305499986200012</v>
      </c>
      <c r="P21" s="13">
        <f t="shared" si="33"/>
        <v>16.99255881662906</v>
      </c>
      <c r="Q21" s="20">
        <f t="shared" si="2"/>
        <v>132.88578574826064</v>
      </c>
      <c r="R21" s="59">
        <f t="shared" si="0"/>
        <v>426.21911908159393</v>
      </c>
      <c r="S21" s="59">
        <f ca="1">AVERAGE(OFFSET($R$3,0,0,'Données projet'!$E$9+1,1))-AVERAGE(OFFSET($H$3,0,0,'Données projet'!$E$9+1,1))</f>
        <v>194.89717355535993</v>
      </c>
      <c r="T21" s="59">
        <f t="shared" si="34"/>
        <v>195.422737562245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8.1507746423230092</v>
      </c>
      <c r="AB21" s="21">
        <f>EXP(-LN(2)/2)*AB20+(1-EXP(-LN(2)/2))/(LN(2)/2)*V21*Y21*VLOOKUP('Données projet'!$B$9,Paramètres!$A$1:$I$89,3,0)*0.475*44/12</f>
        <v>8.8653883411467334</v>
      </c>
      <c r="AC21" s="22">
        <f t="shared" si="3"/>
        <v>17.016162983469741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59.192639999999997</v>
      </c>
      <c r="BF21" s="13">
        <f t="shared" si="37"/>
        <v>16.963982408330725</v>
      </c>
      <c r="BG21" s="20">
        <f t="shared" si="7"/>
        <v>132.63945069450935</v>
      </c>
      <c r="BH21" s="59">
        <f t="shared" si="8"/>
        <v>425.97278402784264</v>
      </c>
      <c r="BI21" s="59">
        <f ca="1">AVERAGE(OFFSET($BH$3,0,0,'Données projet'!$E$11+1,1))-AVERAGE(OFFSET($H$3,0,0,'Données projet'!$E$11+1,1))</f>
        <v>273.69926316253162</v>
      </c>
      <c r="BJ21" s="59">
        <f t="shared" si="38"/>
        <v>270.78513558650451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2.5115384615384619</v>
      </c>
      <c r="BY21" s="12">
        <f>IF('Données projet'!$A$114&gt;35,BY20+BX21-CG20,IF(A21&lt;'Données projet'!$A$114,$BV$205^A21,IF(A21='Données projet'!$A$114,'Données projet'!$B$114,BY20+BX21-CG20)))</f>
        <v>13.373240436173255</v>
      </c>
      <c r="BZ21" s="13">
        <f>BY21*VLOOKUP('Données projet'!$B$12,Paramètres!$A$1:$I$89,3,0)*VLOOKUP('Données projet'!$B$12,Paramètres!$A$1:$I$89,5,0)</f>
        <v>12.10010794664956</v>
      </c>
      <c r="CA21" s="13">
        <f t="shared" si="39"/>
        <v>4.1716190450721236</v>
      </c>
      <c r="CB21" s="20">
        <f t="shared" si="10"/>
        <v>28.339924510581934</v>
      </c>
      <c r="CC21" s="59">
        <f t="shared" si="11"/>
        <v>321.67325784391522</v>
      </c>
      <c r="CD21" s="59">
        <f ca="1">AVERAGE(OFFSET($CC$3,0,0,'Données projet'!$E$12+1,1))-AVERAGE(OFFSET($H$3,0,0,'Données projet'!$E$12+1,1))</f>
        <v>302.4170391346459</v>
      </c>
      <c r="CE21" s="59">
        <f t="shared" si="40"/>
        <v>114.18498182856115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14.926923080000002</v>
      </c>
      <c r="N22" s="13">
        <f>IF('Données projet'!$A$36&gt;35,N21+M22-V21,IF(A22&lt;'Données projet'!$A$36,$K$205^A22,IF(A22='Données projet'!$A$36,'Données projet'!$B$36,N21+M22-V21)))</f>
        <v>114.09999998000001</v>
      </c>
      <c r="O22" s="13">
        <f>N22*VLOOKUP('Données projet'!$B$9,Paramètres!$A$1:$I$89,3,0)*VLOOKUP('Données projet'!$B$9,Paramètres!$A$1:$I$89,5,0)</f>
        <v>68.231799988040009</v>
      </c>
      <c r="P22" s="13">
        <f t="shared" si="33"/>
        <v>19.23369949428568</v>
      </c>
      <c r="Q22" s="20">
        <f t="shared" si="2"/>
        <v>152.33574493171724</v>
      </c>
      <c r="R22" s="59">
        <f t="shared" si="0"/>
        <v>445.66907826505053</v>
      </c>
      <c r="S22" s="59">
        <f ca="1">AVERAGE(OFFSET($R$3,0,0,'Données projet'!$E$9+1,1))-AVERAGE(OFFSET($H$3,0,0,'Données projet'!$E$9+1,1))</f>
        <v>194.89717355535993</v>
      </c>
      <c r="T22" s="59">
        <f t="shared" si="34"/>
        <v>195.422737562245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7.9278912810980771</v>
      </c>
      <c r="AB22" s="21">
        <f>EXP(-LN(2)/2)*AB21+(1-EXP(-LN(2)/2))/(LN(2)/2)*V22*Y22*VLOOKUP('Données projet'!$B$9,Paramètres!$A$1:$I$89,3,0)*0.475*44/12</f>
        <v>6.2687762138770129</v>
      </c>
      <c r="AC22" s="22">
        <f t="shared" si="3"/>
        <v>14.19666749497509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70.171919999999986</v>
      </c>
      <c r="BF22" s="13">
        <f t="shared" si="37"/>
        <v>19.716145269554726</v>
      </c>
      <c r="BG22" s="20">
        <f t="shared" si="7"/>
        <v>156.55504701114111</v>
      </c>
      <c r="BH22" s="59">
        <f t="shared" si="8"/>
        <v>449.8883803444744</v>
      </c>
      <c r="BI22" s="59">
        <f ca="1">AVERAGE(OFFSET($BH$3,0,0,'Données projet'!$E$11+1,1))-AVERAGE(OFFSET($H$3,0,0,'Données projet'!$E$11+1,1))</f>
        <v>273.69926316253162</v>
      </c>
      <c r="BJ22" s="59">
        <f t="shared" si="38"/>
        <v>270.78513558650451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2.5115384615384619</v>
      </c>
      <c r="BY22" s="12">
        <f>IF('Données projet'!$A$114&gt;35,BY21+BX22-CG21,IF(A22&lt;'Données projet'!$A$114,$BV$205^A22,IF(A22='Données projet'!$A$114,'Données projet'!$B$114,BY21+BX22-CG21)))</f>
        <v>15.445620349258824</v>
      </c>
      <c r="BZ22" s="13">
        <f>BY22*VLOOKUP('Données projet'!$B$12,Paramètres!$A$1:$I$89,3,0)*VLOOKUP('Données projet'!$B$12,Paramètres!$A$1:$I$89,5,0)</f>
        <v>13.975197292009385</v>
      </c>
      <c r="CA22" s="13">
        <f t="shared" si="39"/>
        <v>4.7379486271857729</v>
      </c>
      <c r="CB22" s="20">
        <f t="shared" si="10"/>
        <v>32.592062475931563</v>
      </c>
      <c r="CC22" s="59">
        <f t="shared" si="11"/>
        <v>325.9253958092649</v>
      </c>
      <c r="CD22" s="59">
        <f ca="1">AVERAGE(OFFSET($CC$3,0,0,'Données projet'!$E$12+1,1))-AVERAGE(OFFSET($H$3,0,0,'Données projet'!$E$12+1,1))</f>
        <v>302.4170391346459</v>
      </c>
      <c r="CE22" s="59">
        <f t="shared" si="40"/>
        <v>114.18498182856115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14.926923080000002</v>
      </c>
      <c r="N23" s="13">
        <f>IF('Données projet'!$A$36&gt;35,N22+M23-V22,IF(A23&lt;'Données projet'!$A$36,$K$205^A23,IF(A23='Données projet'!$A$36,'Données projet'!$B$36,N22+M23-V22)))</f>
        <v>129.02692306</v>
      </c>
      <c r="O23" s="13">
        <f>N23*VLOOKUP('Données projet'!$B$9,Paramètres!$A$1:$I$89,3,0)*VLOOKUP('Données projet'!$B$9,Paramètres!$A$1:$I$89,5,0)</f>
        <v>77.15809998988</v>
      </c>
      <c r="P23" s="13">
        <f t="shared" si="33"/>
        <v>21.440868836253859</v>
      </c>
      <c r="Q23" s="20">
        <f t="shared" si="2"/>
        <v>171.72653737218312</v>
      </c>
      <c r="R23" s="59">
        <f t="shared" si="0"/>
        <v>465.05987070551646</v>
      </c>
      <c r="S23" s="59">
        <f ca="1">AVERAGE(OFFSET($R$3,0,0,'Données projet'!$E$9+1,1))-AVERAGE(OFFSET($H$3,0,0,'Données projet'!$E$9+1,1))</f>
        <v>194.89717355535993</v>
      </c>
      <c r="T23" s="59">
        <f t="shared" si="34"/>
        <v>195.422737562245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7.7111026771067674</v>
      </c>
      <c r="AB23" s="21">
        <f>EXP(-LN(2)/2)*AB22+(1-EXP(-LN(2)/2))/(LN(2)/2)*V23*Y23*VLOOKUP('Données projet'!$B$9,Paramètres!$A$1:$I$89,3,0)*0.475*44/12</f>
        <v>4.4326941705733667</v>
      </c>
      <c r="AC23" s="22">
        <f t="shared" si="3"/>
        <v>12.143796847680134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81.151200000000003</v>
      </c>
      <c r="BF23" s="13">
        <f t="shared" si="37"/>
        <v>22.418424032002342</v>
      </c>
      <c r="BG23" s="20">
        <f t="shared" si="7"/>
        <v>180.38376185573739</v>
      </c>
      <c r="BH23" s="59">
        <f t="shared" si="8"/>
        <v>473.71709518907073</v>
      </c>
      <c r="BI23" s="59">
        <f ca="1">AVERAGE(OFFSET($BH$3,0,0,'Données projet'!$E$11+1,1))-AVERAGE(OFFSET($H$3,0,0,'Données projet'!$E$11+1,1))</f>
        <v>273.69926316253162</v>
      </c>
      <c r="BJ23" s="59">
        <f t="shared" si="38"/>
        <v>270.78513558650451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1.5900000000000001E-2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0.48752141272860278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0.48752141272860278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2.5115384615384619</v>
      </c>
      <c r="BY23" s="12">
        <f>IF('Données projet'!$A$114&gt;35,BY22+BX23-CG22,IF(A23&lt;'Données projet'!$A$114,$BV$205^A23,IF(A23='Données projet'!$A$114,'Données projet'!$B$114,BY22+BX23-CG22)))</f>
        <v>17.839145950605833</v>
      </c>
      <c r="BZ23" s="13">
        <f>BY23*VLOOKUP('Données projet'!$B$12,Paramètres!$A$1:$I$89,3,0)*VLOOKUP('Données projet'!$B$12,Paramètres!$A$1:$I$89,5,0)</f>
        <v>16.140859256108158</v>
      </c>
      <c r="CA23" s="13">
        <f t="shared" si="39"/>
        <v>5.3811618346045424</v>
      </c>
      <c r="CB23" s="20">
        <f t="shared" si="10"/>
        <v>37.484186732991283</v>
      </c>
      <c r="CC23" s="59">
        <f t="shared" si="11"/>
        <v>330.81752006632462</v>
      </c>
      <c r="CD23" s="59">
        <f ca="1">AVERAGE(OFFSET($CC$3,0,0,'Données projet'!$E$12+1,1))-AVERAGE(OFFSET($H$3,0,0,'Données projet'!$E$12+1,1))</f>
        <v>302.4170391346459</v>
      </c>
      <c r="CE23" s="59">
        <f t="shared" si="40"/>
        <v>114.18498182856115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14.926923080000002</v>
      </c>
      <c r="N24" s="13">
        <f>IF('Données projet'!$A$36&gt;35,N23+M24-V23,IF(A24&lt;'Données projet'!$A$36,$K$205^A24,IF(A24='Données projet'!$A$36,'Données projet'!$B$36,N23+M24-V23)))</f>
        <v>143.95384614</v>
      </c>
      <c r="O24" s="13">
        <f>N24*VLOOKUP('Données projet'!$B$9,Paramètres!$A$1:$I$89,3,0)*VLOOKUP('Données projet'!$B$9,Paramètres!$A$1:$I$89,5,0)</f>
        <v>86.084399991720005</v>
      </c>
      <c r="P24" s="13">
        <f t="shared" si="33"/>
        <v>23.618445756169901</v>
      </c>
      <c r="Q24" s="20">
        <f t="shared" si="2"/>
        <v>191.06578967757491</v>
      </c>
      <c r="R24" s="59">
        <f t="shared" si="0"/>
        <v>484.39912301090823</v>
      </c>
      <c r="S24" s="59">
        <f ca="1">AVERAGE(OFFSET($R$3,0,0,'Données projet'!$E$9+1,1))-AVERAGE(OFFSET($H$3,0,0,'Données projet'!$E$9+1,1))</f>
        <v>194.89717355535993</v>
      </c>
      <c r="T24" s="59">
        <f t="shared" si="34"/>
        <v>195.422737562245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7.5002421688920169</v>
      </c>
      <c r="AB24" s="21">
        <f>EXP(-LN(2)/2)*AB23+(1-EXP(-LN(2)/2))/(LN(2)/2)*V24*Y24*VLOOKUP('Données projet'!$B$9,Paramètres!$A$1:$I$89,3,0)*0.475*44/12</f>
        <v>3.1343881069385064</v>
      </c>
      <c r="AC24" s="22">
        <f t="shared" si="3"/>
        <v>10.634630275830524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65.080079999999981</v>
      </c>
      <c r="BF24" s="13">
        <f t="shared" si="37"/>
        <v>18.44653442602603</v>
      </c>
      <c r="BG24" s="20">
        <f t="shared" si="7"/>
        <v>145.47552012532864</v>
      </c>
      <c r="BH24" s="59">
        <f t="shared" si="8"/>
        <v>438.80885345866193</v>
      </c>
      <c r="BI24" s="59">
        <f ca="1">AVERAGE(OFFSET($BH$3,0,0,'Données projet'!$E$11+1,1))-AVERAGE(OFFSET($H$3,0,0,'Données projet'!$E$11+1,1))</f>
        <v>273.69926316253162</v>
      </c>
      <c r="BJ24" s="59">
        <f t="shared" si="38"/>
        <v>270.78513558650451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0.4741901140599023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0.4741901140599023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2.5115384615384619</v>
      </c>
      <c r="BY24" s="12">
        <f>IF('Données projet'!$A$114&gt;35,BY23+BX24-CG23,IF(A24&lt;'Données projet'!$A$114,$BV$205^A24,IF(A24='Données projet'!$A$114,'Données projet'!$B$114,BY23+BX24-CG23)))</f>
        <v>20.603583478748867</v>
      </c>
      <c r="BZ24" s="13">
        <f>BY24*VLOOKUP('Données projet'!$B$12,Paramètres!$A$1:$I$89,3,0)*VLOOKUP('Données projet'!$B$12,Paramètres!$A$1:$I$89,5,0)</f>
        <v>18.642122331571976</v>
      </c>
      <c r="CA24" s="13">
        <f t="shared" si="39"/>
        <v>6.1116962146979272</v>
      </c>
      <c r="CB24" s="20">
        <f t="shared" si="10"/>
        <v>43.112900634753409</v>
      </c>
      <c r="CC24" s="59">
        <f t="shared" si="11"/>
        <v>336.44623396808674</v>
      </c>
      <c r="CD24" s="59">
        <f ca="1">AVERAGE(OFFSET($CC$3,0,0,'Données projet'!$E$12+1,1))-AVERAGE(OFFSET($H$3,0,0,'Données projet'!$E$12+1,1))</f>
        <v>302.4170391346459</v>
      </c>
      <c r="CE24" s="59">
        <f t="shared" si="40"/>
        <v>114.18498182856115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14.926923080000002</v>
      </c>
      <c r="N25" s="13">
        <f>IF('Données projet'!$A$36&gt;35,N24+M25-V24,IF(A25&lt;'Données projet'!$A$36,$K$205^A25,IF(A25='Données projet'!$A$36,'Données projet'!$B$36,N24+M25-V24)))</f>
        <v>158.88076921999999</v>
      </c>
      <c r="O25" s="13">
        <f>N25*VLOOKUP('Données projet'!$B$9,Paramètres!$A$1:$I$89,3,0)*VLOOKUP('Données projet'!$B$9,Paramètres!$A$1:$I$89,5,0)</f>
        <v>95.010699993559996</v>
      </c>
      <c r="P25" s="13">
        <f t="shared" si="33"/>
        <v>25.769848275784312</v>
      </c>
      <c r="Q25" s="20">
        <f t="shared" si="2"/>
        <v>210.35945490244134</v>
      </c>
      <c r="R25" s="59">
        <f t="shared" si="0"/>
        <v>503.69278823577463</v>
      </c>
      <c r="S25" s="59">
        <f ca="1">AVERAGE(OFFSET($R$3,0,0,'Données projet'!$E$9+1,1))-AVERAGE(OFFSET($H$3,0,0,'Données projet'!$E$9+1,1))</f>
        <v>194.89717355535993</v>
      </c>
      <c r="T25" s="59">
        <f t="shared" si="34"/>
        <v>195.422737562245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7.2951476523630712</v>
      </c>
      <c r="AB25" s="21">
        <f>EXP(-LN(2)/2)*AB24+(1-EXP(-LN(2)/2))/(LN(2)/2)*V25*Y25*VLOOKUP('Données projet'!$B$9,Paramètres!$A$1:$I$89,3,0)*0.475*44/12</f>
        <v>2.2163470852866833</v>
      </c>
      <c r="AC25" s="22">
        <f t="shared" si="3"/>
        <v>9.5114947376497554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76.854959999999991</v>
      </c>
      <c r="BF25" s="13">
        <f t="shared" si="37"/>
        <v>21.366419773799993</v>
      </c>
      <c r="BG25" s="20">
        <f t="shared" si="7"/>
        <v>171.06890310603498</v>
      </c>
      <c r="BH25" s="59">
        <f t="shared" si="8"/>
        <v>464.40223643936827</v>
      </c>
      <c r="BI25" s="59">
        <f ca="1">AVERAGE(OFFSET($BH$3,0,0,'Données projet'!$E$11+1,1))-AVERAGE(OFFSET($H$3,0,0,'Données projet'!$E$11+1,1))</f>
        <v>273.69926316253162</v>
      </c>
      <c r="BJ25" s="59">
        <f t="shared" si="38"/>
        <v>270.78513558650451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0.46122336045435997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0.46122336045435997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2.5115384615384619</v>
      </c>
      <c r="BY25" s="12">
        <f>IF('Données projet'!$A$114&gt;35,BY24+BX25-CG24,IF(A25&lt;'Données projet'!$A$114,$BV$205^A25,IF(A25='Données projet'!$A$114,'Données projet'!$B$114,BY24+BX25-CG24)))</f>
        <v>23.796411181408413</v>
      </c>
      <c r="BZ25" s="13">
        <f>BY25*VLOOKUP('Données projet'!$B$12,Paramètres!$A$1:$I$89,3,0)*VLOOKUP('Données projet'!$B$12,Paramètres!$A$1:$I$89,5,0)</f>
        <v>21.530992836938331</v>
      </c>
      <c r="CA25" s="13">
        <f t="shared" si="39"/>
        <v>6.9414062926984936</v>
      </c>
      <c r="CB25" s="20">
        <f t="shared" si="10"/>
        <v>49.58942848411747</v>
      </c>
      <c r="CC25" s="59">
        <f t="shared" si="11"/>
        <v>342.92276181745081</v>
      </c>
      <c r="CD25" s="59">
        <f ca="1">AVERAGE(OFFSET($CC$3,0,0,'Données projet'!$E$12+1,1))-AVERAGE(OFFSET($H$3,0,0,'Données projet'!$E$12+1,1))</f>
        <v>302.4170391346459</v>
      </c>
      <c r="CE25" s="59">
        <f t="shared" si="40"/>
        <v>114.18498182856115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173.80769230000001</v>
      </c>
      <c r="L26" s="12">
        <f>VLOOKUP(A26,'Données projet'!$A$35:$I$55,9,0)</f>
        <v>14.926923080000002</v>
      </c>
      <c r="M26" s="12">
        <f t="array" ref="M26">INDEX(L:L,MIN(IF(ISNUMBER(L26:L222),ROW(L26:L222),"")))</f>
        <v>14.926923080000002</v>
      </c>
      <c r="N26" s="13">
        <f>IF('Données projet'!$A$36&gt;35,N25+M26-V25,IF(A26&lt;'Données projet'!$A$36,$K$205^A26,IF(A26='Données projet'!$A$36,'Données projet'!$B$36,N25+M26-V25)))</f>
        <v>173.80769229999999</v>
      </c>
      <c r="O26" s="13">
        <f>N26*VLOOKUP('Données projet'!$B$9,Paramètres!$A$1:$I$89,3,0)*VLOOKUP('Données projet'!$B$9,Paramètres!$A$1:$I$89,5,0)</f>
        <v>103.9369999954</v>
      </c>
      <c r="P26" s="13">
        <f t="shared" si="33"/>
        <v>27.89781522917384</v>
      </c>
      <c r="Q26" s="20">
        <f t="shared" si="2"/>
        <v>229.61230318279945</v>
      </c>
      <c r="R26" s="59">
        <f t="shared" si="0"/>
        <v>522.94563651613271</v>
      </c>
      <c r="S26" s="59">
        <f ca="1">AVERAGE(OFFSET($R$3,0,0,'Données projet'!$E$9+1,1))-AVERAGE(OFFSET($H$3,0,0,'Données projet'!$E$9+1,1))</f>
        <v>194.89717355535993</v>
      </c>
      <c r="T26" s="59">
        <f t="shared" si="34"/>
        <v>195.422737562245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54.1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0.25200000000000006</v>
      </c>
      <c r="Y26" s="16">
        <f>IF(ISNA(VLOOKUP(A26,'Données projet'!$A$35:$I$55,7,0)),0%,VLOOKUP(A26,'Données projet'!$A$35:$I$55,7,0))</f>
        <v>0.44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17.868099082956761</v>
      </c>
      <c r="AB26" s="21">
        <f>EXP(-LN(2)/2)*AB25+(1-EXP(-LN(2)/2))/(LN(2)/2)*V26*Y26*VLOOKUP('Données projet'!$B$9,Paramètres!$A$1:$I$89,3,0)*0.475*44/12</f>
        <v>17.684285304440614</v>
      </c>
      <c r="AC26" s="22">
        <f t="shared" si="3"/>
        <v>35.552384387397375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88.629839999999987</v>
      </c>
      <c r="BF26" s="13">
        <f t="shared" si="37"/>
        <v>24.23448093253452</v>
      </c>
      <c r="BG26" s="20">
        <f t="shared" si="7"/>
        <v>196.57202562416424</v>
      </c>
      <c r="BH26" s="59">
        <f t="shared" si="8"/>
        <v>489.90535895749758</v>
      </c>
      <c r="BI26" s="59">
        <f ca="1">AVERAGE(OFFSET($BH$3,0,0,'Données projet'!$E$11+1,1))-AVERAGE(OFFSET($H$3,0,0,'Données projet'!$E$11+1,1))</f>
        <v>273.69926316253162</v>
      </c>
      <c r="BJ26" s="59">
        <f t="shared" si="38"/>
        <v>270.78513558650451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0.44861118340805312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0.44861118340805312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2.5115384615384619</v>
      </c>
      <c r="BY26" s="12">
        <f>IF('Données projet'!$A$114&gt;35,BY25+BX26-CG25,IF(A26&lt;'Données projet'!$A$114,$BV$205^A26,IF(A26='Données projet'!$A$114,'Données projet'!$B$114,BY25+BX26-CG25)))</f>
        <v>27.484014404519773</v>
      </c>
      <c r="BZ26" s="13">
        <f>BY26*VLOOKUP('Données projet'!$B$12,Paramètres!$A$1:$I$89,3,0)*VLOOKUP('Données projet'!$B$12,Paramètres!$A$1:$I$89,5,0)</f>
        <v>24.867536233209488</v>
      </c>
      <c r="CA26" s="13">
        <f t="shared" si="39"/>
        <v>7.8837559374170789</v>
      </c>
      <c r="CB26" s="20">
        <f t="shared" si="10"/>
        <v>57.041833863841269</v>
      </c>
      <c r="CC26" s="59">
        <f t="shared" si="11"/>
        <v>350.37516719717456</v>
      </c>
      <c r="CD26" s="59">
        <f ca="1">AVERAGE(OFFSET($CC$3,0,0,'Données projet'!$E$12+1,1))-AVERAGE(OFFSET($H$3,0,0,'Données projet'!$E$12+1,1))</f>
        <v>302.4170391346459</v>
      </c>
      <c r="CE26" s="59">
        <f t="shared" si="40"/>
        <v>114.18498182856115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15.073076916666665</v>
      </c>
      <c r="N27" s="13">
        <f>IF('Données projet'!$A$36&gt;35,N26+M27-V26,IF(A27&lt;'Données projet'!$A$36,$K$205^A27,IF(A27='Données projet'!$A$36,'Données projet'!$B$36,N26+M27-V26)))</f>
        <v>134.78076921666664</v>
      </c>
      <c r="O27" s="13">
        <f>N27*VLOOKUP('Données projet'!$B$9,Paramètres!$A$1:$I$89,3,0)*VLOOKUP('Données projet'!$B$9,Paramètres!$A$1:$I$89,5,0)</f>
        <v>80.598899991566654</v>
      </c>
      <c r="P27" s="13">
        <f t="shared" si="33"/>
        <v>22.283554665817057</v>
      </c>
      <c r="Q27" s="20">
        <f t="shared" si="2"/>
        <v>179.18694186160994</v>
      </c>
      <c r="R27" s="59">
        <f t="shared" si="0"/>
        <v>472.52027519494322</v>
      </c>
      <c r="S27" s="59">
        <f ca="1">AVERAGE(OFFSET($R$3,0,0,'Données projet'!$E$9+1,1))-AVERAGE(OFFSET($H$3,0,0,'Données projet'!$E$9+1,1))</f>
        <v>194.89717355535993</v>
      </c>
      <c r="T27" s="59">
        <f t="shared" si="34"/>
        <v>195.422737562245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17.379494973890814</v>
      </c>
      <c r="AB27" s="21">
        <f>EXP(-LN(2)/2)*AB26+(1-EXP(-LN(2)/2))/(LN(2)/2)*V27*Y27*VLOOKUP('Données projet'!$B$9,Paramètres!$A$1:$I$89,3,0)*0.475*44/12</f>
        <v>12.504678059207569</v>
      </c>
      <c r="AC27" s="22">
        <f t="shared" si="3"/>
        <v>29.884173033098385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100.40472</v>
      </c>
      <c r="BF27" s="13">
        <f t="shared" si="37"/>
        <v>27.058393830330502</v>
      </c>
      <c r="BG27" s="20">
        <f t="shared" si="7"/>
        <v>221.99825658782561</v>
      </c>
      <c r="BH27" s="59">
        <f t="shared" si="8"/>
        <v>515.33158992115887</v>
      </c>
      <c r="BI27" s="59">
        <f ca="1">AVERAGE(OFFSET($BH$3,0,0,'Données projet'!$E$11+1,1))-AVERAGE(OFFSET($H$3,0,0,'Données projet'!$E$11+1,1))</f>
        <v>273.69926316253162</v>
      </c>
      <c r="BJ27" s="59">
        <f t="shared" si="38"/>
        <v>270.78513558650451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0.43634388700632309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0.43634388700632309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2.5115384615384619</v>
      </c>
      <c r="BY27" s="12">
        <f>IF('Données projet'!$A$114&gt;35,BY26+BX27-CG26,IF(A27&lt;'Données projet'!$A$114,$BV$205^A27,IF(A27='Données projet'!$A$114,'Données projet'!$B$114,BY26+BX27-CG26)))</f>
        <v>31.743065877849862</v>
      </c>
      <c r="BZ27" s="13">
        <f>BY27*VLOOKUP('Données projet'!$B$12,Paramètres!$A$1:$I$89,3,0)*VLOOKUP('Données projet'!$B$12,Paramètres!$A$1:$I$89,5,0)</f>
        <v>28.721126006278556</v>
      </c>
      <c r="CA27" s="13">
        <f t="shared" si="39"/>
        <v>8.9540368420930783</v>
      </c>
      <c r="CB27" s="20">
        <f t="shared" si="10"/>
        <v>65.61757529424726</v>
      </c>
      <c r="CC27" s="59">
        <f t="shared" si="11"/>
        <v>358.95090862758059</v>
      </c>
      <c r="CD27" s="59">
        <f ca="1">AVERAGE(OFFSET($CC$3,0,0,'Données projet'!$E$12+1,1))-AVERAGE(OFFSET($H$3,0,0,'Données projet'!$E$12+1,1))</f>
        <v>302.4170391346459</v>
      </c>
      <c r="CE27" s="59">
        <f t="shared" si="40"/>
        <v>114.18498182856115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15.073076916666665</v>
      </c>
      <c r="N28" s="13">
        <f>IF('Données projet'!$A$36&gt;35,N27+M28-V27,IF(A28&lt;'Données projet'!$A$36,$K$205^A28,IF(A28='Données projet'!$A$36,'Données projet'!$B$36,N27+M28-V27)))</f>
        <v>149.85384613333332</v>
      </c>
      <c r="O28" s="13">
        <f>N28*VLOOKUP('Données projet'!$B$9,Paramètres!$A$1:$I$89,3,0)*VLOOKUP('Données projet'!$B$9,Paramètres!$A$1:$I$89,5,0)</f>
        <v>89.612599987733333</v>
      </c>
      <c r="P28" s="13">
        <f t="shared" si="33"/>
        <v>24.471769995595416</v>
      </c>
      <c r="Q28" s="20">
        <f t="shared" si="2"/>
        <v>198.69694438763088</v>
      </c>
      <c r="R28" s="59">
        <f t="shared" si="0"/>
        <v>492.03027772096419</v>
      </c>
      <c r="S28" s="59">
        <f ca="1">AVERAGE(OFFSET($R$3,0,0,'Données projet'!$E$9+1,1))-AVERAGE(OFFSET($H$3,0,0,'Données projet'!$E$9+1,1))</f>
        <v>194.89717355535993</v>
      </c>
      <c r="T28" s="59">
        <f t="shared" si="34"/>
        <v>195.422737562245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16.904251769881849</v>
      </c>
      <c r="AB28" s="21">
        <f>EXP(-LN(2)/2)*AB27+(1-EXP(-LN(2)/2))/(LN(2)/2)*V28*Y28*VLOOKUP('Données projet'!$B$9,Paramètres!$A$1:$I$89,3,0)*0.475*44/12</f>
        <v>8.8421426522203088</v>
      </c>
      <c r="AC28" s="22">
        <f t="shared" si="3"/>
        <v>25.746394422102156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112.17959999999998</v>
      </c>
      <c r="BF28" s="13">
        <f t="shared" si="37"/>
        <v>29.8439274472838</v>
      </c>
      <c r="BG28" s="20">
        <f t="shared" si="7"/>
        <v>247.35764363735257</v>
      </c>
      <c r="BH28" s="59">
        <f t="shared" si="8"/>
        <v>540.69097697068582</v>
      </c>
      <c r="BI28" s="59">
        <f ca="1">AVERAGE(OFFSET($BH$3,0,0,'Données projet'!$E$11+1,1))-AVERAGE(OFFSET($H$3,0,0,'Données projet'!$E$11+1,1))</f>
        <v>273.69926316253162</v>
      </c>
      <c r="BJ28" s="59">
        <f t="shared" si="38"/>
        <v>270.78513558650451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1.5900000000000001E-2</v>
      </c>
      <c r="BN28" s="16">
        <f>IF(ISNA(VLOOKUP(A28,'Données projet'!$A$87:$I$107,6,0)),0%,VLOOKUP(A28,'Données projet'!$A$87:$I$107,6,0)*VLOOKUP('Données projet'!$B$11,Paramètres!$A$1:$I$89,7,0))</f>
        <v>0.12190000000000001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0.48944855819674515</v>
      </c>
      <c r="BQ28" s="21">
        <f>EXP(-LN(2)/25)*BQ27+(1-EXP(-LN(2)/25))/(LN(2)/25)*Calculateur!BL28*Calculateur!BN28*VLOOKUP('Données projet'!$B$11,Paramètres!$A$1:$I$89,3,0)*0.475*44/12</f>
        <v>4.1620762047224291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4.6515247629191743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2.5115384615384619</v>
      </c>
      <c r="BY28" s="12">
        <f>IF('Données projet'!$A$114&gt;35,BY27+BX28-CG27,IF(A28&lt;'Données projet'!$A$114,$BV$205^A28,IF(A28='Données projet'!$A$114,'Données projet'!$B$114,BY27+BX28-CG27)))</f>
        <v>36.662119896131756</v>
      </c>
      <c r="BZ28" s="13">
        <f>BY28*VLOOKUP('Données projet'!$B$12,Paramètres!$A$1:$I$89,3,0)*VLOOKUP('Données projet'!$B$12,Paramètres!$A$1:$I$89,5,0)</f>
        <v>33.171886082020016</v>
      </c>
      <c r="CA28" s="13">
        <f t="shared" si="39"/>
        <v>10.16961666571169</v>
      </c>
      <c r="CB28" s="20">
        <f t="shared" si="10"/>
        <v>75.48645061896606</v>
      </c>
      <c r="CC28" s="59">
        <f t="shared" si="11"/>
        <v>368.81978395229936</v>
      </c>
      <c r="CD28" s="59">
        <f ca="1">AVERAGE(OFFSET($CC$3,0,0,'Données projet'!$E$12+1,1))-AVERAGE(OFFSET($H$3,0,0,'Données projet'!$E$12+1,1))</f>
        <v>302.4170391346459</v>
      </c>
      <c r="CE28" s="59">
        <f t="shared" si="40"/>
        <v>114.18498182856115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15.073076916666665</v>
      </c>
      <c r="N29" s="13">
        <f>IF('Données projet'!$A$36&gt;35,N28+M29-V28,IF(A29&lt;'Données projet'!$A$36,$K$205^A29,IF(A29='Données projet'!$A$36,'Données projet'!$B$36,N28+M29-V28)))</f>
        <v>164.92692304999997</v>
      </c>
      <c r="O29" s="13">
        <f>N29*VLOOKUP('Données projet'!$B$9,Paramètres!$A$1:$I$89,3,0)*VLOOKUP('Données projet'!$B$9,Paramètres!$A$1:$I$89,5,0)</f>
        <v>98.626299983899983</v>
      </c>
      <c r="P29" s="13">
        <f t="shared" si="33"/>
        <v>26.634469468755558</v>
      </c>
      <c r="Q29" s="20">
        <f t="shared" si="2"/>
        <v>218.16250679670839</v>
      </c>
      <c r="R29" s="59">
        <f t="shared" si="0"/>
        <v>511.4958401300417</v>
      </c>
      <c r="S29" s="59">
        <f ca="1">AVERAGE(OFFSET($R$3,0,0,'Données projet'!$E$9+1,1))-AVERAGE(OFFSET($H$3,0,0,'Données projet'!$E$9+1,1))</f>
        <v>194.89717355535993</v>
      </c>
      <c r="T29" s="59">
        <f t="shared" si="34"/>
        <v>195.422737562245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16.442004116278465</v>
      </c>
      <c r="AB29" s="21">
        <f>EXP(-LN(2)/2)*AB28+(1-EXP(-LN(2)/2))/(LN(2)/2)*V29*Y29*VLOOKUP('Données projet'!$B$9,Paramètres!$A$1:$I$89,3,0)*0.475*44/12</f>
        <v>6.2523390296037853</v>
      </c>
      <c r="AC29" s="22">
        <f t="shared" si="3"/>
        <v>22.69434314588225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95.631119999999967</v>
      </c>
      <c r="BF29" s="13">
        <f t="shared" si="37"/>
        <v>25.918481589892234</v>
      </c>
      <c r="BG29" s="20">
        <f t="shared" si="7"/>
        <v>211.69888943572892</v>
      </c>
      <c r="BH29" s="59">
        <f t="shared" si="8"/>
        <v>505.03222276906223</v>
      </c>
      <c r="BI29" s="59">
        <f ca="1">AVERAGE(OFFSET($BH$3,0,0,'Données projet'!$E$11+1,1))-AVERAGE(OFFSET($H$3,0,0,'Données projet'!$E$11+1,1))</f>
        <v>273.69926316253162</v>
      </c>
      <c r="BJ29" s="59">
        <f t="shared" si="38"/>
        <v>270.78513558650451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0.47985077050464969</v>
      </c>
      <c r="BQ29" s="21">
        <f>EXP(-LN(2)/25)*BQ28+(1-EXP(-LN(2)/25))/(LN(2)/25)*Calculateur!BL29*Calculateur!BN29*VLOOKUP('Données projet'!$B$11,Paramètres!$A$1:$I$89,3,0)*0.475*44/12</f>
        <v>4.0482640120302191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4.5281147825348684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2.5115384615384619</v>
      </c>
      <c r="BY29" s="12">
        <f>IF('Données projet'!$A$114&gt;35,BY28+BX29-CG28,IF(A29&lt;'Données projet'!$A$114,$BV$205^A29,IF(A29='Données projet'!$A$114,'Données projet'!$B$114,BY28+BX29-CG28)))</f>
        <v>42.3434535419672</v>
      </c>
      <c r="BZ29" s="13">
        <f>BY29*VLOOKUP('Données projet'!$B$12,Paramètres!$A$1:$I$89,3,0)*VLOOKUP('Données projet'!$B$12,Paramètres!$A$1:$I$89,5,0)</f>
        <v>38.31235676477192</v>
      </c>
      <c r="CA29" s="13">
        <f t="shared" si="39"/>
        <v>11.55022086142605</v>
      </c>
      <c r="CB29" s="20">
        <f t="shared" si="10"/>
        <v>86.843989365628133</v>
      </c>
      <c r="CC29" s="59">
        <f t="shared" si="11"/>
        <v>380.17732269896146</v>
      </c>
      <c r="CD29" s="59">
        <f ca="1">AVERAGE(OFFSET($CC$3,0,0,'Données projet'!$E$12+1,1))-AVERAGE(OFFSET($H$3,0,0,'Données projet'!$E$12+1,1))</f>
        <v>302.4170391346459</v>
      </c>
      <c r="CE29" s="59">
        <f t="shared" si="40"/>
        <v>114.18498182856115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15.073076916666665</v>
      </c>
      <c r="N30" s="13">
        <f>IF('Données projet'!$A$36&gt;35,N29+M30-V29,IF(A30&lt;'Données projet'!$A$36,$K$205^A30,IF(A30='Données projet'!$A$36,'Données projet'!$B$36,N29+M30-V29)))</f>
        <v>179.99999996666662</v>
      </c>
      <c r="O30" s="13">
        <f>N30*VLOOKUP('Données projet'!$B$9,Paramètres!$A$1:$I$89,3,0)*VLOOKUP('Données projet'!$B$9,Paramètres!$A$1:$I$89,5,0)</f>
        <v>107.63999998006666</v>
      </c>
      <c r="P30" s="13">
        <f t="shared" si="33"/>
        <v>28.774250258645278</v>
      </c>
      <c r="Q30" s="20">
        <f t="shared" si="2"/>
        <v>237.58815249908994</v>
      </c>
      <c r="R30" s="59">
        <f t="shared" si="0"/>
        <v>530.92148583242329</v>
      </c>
      <c r="S30" s="59">
        <f ca="1">AVERAGE(OFFSET($R$3,0,0,'Données projet'!$E$9+1,1))-AVERAGE(OFFSET($H$3,0,0,'Données projet'!$E$9+1,1))</f>
        <v>194.89717355535993</v>
      </c>
      <c r="T30" s="59">
        <f t="shared" si="34"/>
        <v>195.422737562245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15.992396649071413</v>
      </c>
      <c r="AB30" s="21">
        <f>EXP(-LN(2)/2)*AB29+(1-EXP(-LN(2)/2))/(LN(2)/2)*V30*Y30*VLOOKUP('Données projet'!$B$9,Paramètres!$A$1:$I$89,3,0)*0.475*44/12</f>
        <v>4.4210713261101553</v>
      </c>
      <c r="AC30" s="22">
        <f t="shared" si="3"/>
        <v>20.413467975181568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106.92863999999996</v>
      </c>
      <c r="BF30" s="13">
        <f t="shared" si="37"/>
        <v>28.606159868782917</v>
      </c>
      <c r="BG30" s="20">
        <f t="shared" si="7"/>
        <v>236.05644310479681</v>
      </c>
      <c r="BH30" s="59">
        <f t="shared" si="8"/>
        <v>529.38977643813018</v>
      </c>
      <c r="BI30" s="59">
        <f ca="1">AVERAGE(OFFSET($BH$3,0,0,'Données projet'!$E$11+1,1))-AVERAGE(OFFSET($H$3,0,0,'Données projet'!$E$11+1,1))</f>
        <v>273.69926316253162</v>
      </c>
      <c r="BJ30" s="59">
        <f t="shared" si="38"/>
        <v>270.78513558650451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0.47044118957512376</v>
      </c>
      <c r="BQ30" s="21">
        <f>EXP(-LN(2)/25)*BQ29+(1-EXP(-LN(2)/25))/(LN(2)/25)*Calculateur!BL30*Calculateur!BN30*VLOOKUP('Données projet'!$B$11,Paramètres!$A$1:$I$89,3,0)*0.475*44/12</f>
        <v>3.9375640197323007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4.4080052093074249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2.5115384615384619</v>
      </c>
      <c r="BY30" s="12">
        <f>IF('Données projet'!$A$114&gt;35,BY29+BX30-CG29,IF(A30&lt;'Données projet'!$A$114,$BV$205^A30,IF(A30='Données projet'!$A$114,'Données projet'!$B$114,BY29+BX30-CG29)))</f>
        <v>48.90519323324542</v>
      </c>
      <c r="BZ30" s="13">
        <f>BY30*VLOOKUP('Données projet'!$B$12,Paramètres!$A$1:$I$89,3,0)*VLOOKUP('Données projet'!$B$12,Paramètres!$A$1:$I$89,5,0)</f>
        <v>44.249418837440452</v>
      </c>
      <c r="CA30" s="13">
        <f t="shared" si="39"/>
        <v>13.118252765369638</v>
      </c>
      <c r="CB30" s="20">
        <f t="shared" si="10"/>
        <v>99.915361374894232</v>
      </c>
      <c r="CC30" s="59">
        <f t="shared" si="11"/>
        <v>393.24869470822756</v>
      </c>
      <c r="CD30" s="59">
        <f ca="1">AVERAGE(OFFSET($CC$3,0,0,'Données projet'!$E$12+1,1))-AVERAGE(OFFSET($H$3,0,0,'Données projet'!$E$12+1,1))</f>
        <v>302.4170391346459</v>
      </c>
      <c r="CE30" s="59">
        <f t="shared" si="40"/>
        <v>114.18498182856115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15.073076916666665</v>
      </c>
      <c r="N31" s="13">
        <f>IF('Données projet'!$A$36&gt;35,N30+M31-V30,IF(A31&lt;'Données projet'!$A$36,$K$205^A31,IF(A31='Données projet'!$A$36,'Données projet'!$B$36,N30+M31-V30)))</f>
        <v>195.07307688333327</v>
      </c>
      <c r="O31" s="13">
        <f>N31*VLOOKUP('Données projet'!$B$9,Paramètres!$A$1:$I$89,3,0)*VLOOKUP('Données projet'!$B$9,Paramètres!$A$1:$I$89,5,0)</f>
        <v>116.65369997623331</v>
      </c>
      <c r="P31" s="13">
        <f t="shared" si="33"/>
        <v>30.893249756844885</v>
      </c>
      <c r="Q31" s="20">
        <f t="shared" si="2"/>
        <v>256.9776041184445</v>
      </c>
      <c r="R31" s="59">
        <f t="shared" si="0"/>
        <v>550.31093745177782</v>
      </c>
      <c r="S31" s="59">
        <f ca="1">AVERAGE(OFFSET($R$3,0,0,'Données projet'!$E$9+1,1))-AVERAGE(OFFSET($H$3,0,0,'Données projet'!$E$9+1,1))</f>
        <v>194.89717355535993</v>
      </c>
      <c r="T31" s="59">
        <f t="shared" si="34"/>
        <v>195.422737562245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15.555083721698967</v>
      </c>
      <c r="AB31" s="21">
        <f>EXP(-LN(2)/2)*AB30+(1-EXP(-LN(2)/2))/(LN(2)/2)*V31*Y31*VLOOKUP('Données projet'!$B$9,Paramètres!$A$1:$I$89,3,0)*0.475*44/12</f>
        <v>3.1261695148018931</v>
      </c>
      <c r="AC31" s="22">
        <f t="shared" si="3"/>
        <v>18.681253236500861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118.22615999999996</v>
      </c>
      <c r="BF31" s="13">
        <f t="shared" si="37"/>
        <v>31.260922342884676</v>
      </c>
      <c r="BG31" s="20">
        <f t="shared" si="7"/>
        <v>260.35666841385739</v>
      </c>
      <c r="BH31" s="59">
        <f t="shared" si="8"/>
        <v>553.69000174719076</v>
      </c>
      <c r="BI31" s="59">
        <f ca="1">AVERAGE(OFFSET($BH$3,0,0,'Données projet'!$E$11+1,1))-AVERAGE(OFFSET($H$3,0,0,'Données projet'!$E$11+1,1))</f>
        <v>273.69926316253162</v>
      </c>
      <c r="BJ31" s="59">
        <f t="shared" si="38"/>
        <v>270.78513558650451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0.46121612478834817</v>
      </c>
      <c r="BQ31" s="21">
        <f>EXP(-LN(2)/25)*BQ30+(1-EXP(-LN(2)/25))/(LN(2)/25)*Calculateur!BL31*Calculateur!BN31*VLOOKUP('Données projet'!$B$11,Paramètres!$A$1:$I$89,3,0)*0.475*44/12</f>
        <v>3.8298911245452287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4.2911072493335771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2.5115384615384619</v>
      </c>
      <c r="BY31" s="12">
        <f>IF('Données projet'!$A$114&gt;35,BY30+BX31-CG30,IF(A31&lt;'Données projet'!$A$114,$BV$205^A31,IF(A31='Données projet'!$A$114,'Données projet'!$B$114,BY30+BX31-CG30)))</f>
        <v>56.483770810300285</v>
      </c>
      <c r="BZ31" s="13">
        <f>BY31*VLOOKUP('Données projet'!$B$12,Paramètres!$A$1:$I$89,3,0)*VLOOKUP('Données projet'!$B$12,Paramètres!$A$1:$I$89,5,0)</f>
        <v>51.106515829159697</v>
      </c>
      <c r="CA31" s="13">
        <f t="shared" si="39"/>
        <v>14.899157140003059</v>
      </c>
      <c r="CB31" s="20">
        <f t="shared" si="10"/>
        <v>114.9598804212918</v>
      </c>
      <c r="CC31" s="59">
        <f t="shared" si="11"/>
        <v>408.29321375462513</v>
      </c>
      <c r="CD31" s="59">
        <f ca="1">AVERAGE(OFFSET($CC$3,0,0,'Données projet'!$E$12+1,1))-AVERAGE(OFFSET($H$3,0,0,'Données projet'!$E$12+1,1))</f>
        <v>302.4170391346459</v>
      </c>
      <c r="CE31" s="59">
        <f t="shared" si="40"/>
        <v>114.18498182856115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210.14615380000001</v>
      </c>
      <c r="L32" s="12">
        <f>VLOOKUP(A32,'Données projet'!$A$35:$I$55,9,0)</f>
        <v>15.073076916666665</v>
      </c>
      <c r="M32" s="12">
        <f t="array" ref="M32">INDEX(L:L,MIN(IF(ISNUMBER(L32:L228),ROW(L32:L228),"")))</f>
        <v>15.073076916666665</v>
      </c>
      <c r="N32" s="13">
        <f>IF('Données projet'!$A$36&gt;35,N31+M32-V31,IF(A32&lt;'Données projet'!$A$36,$K$205^A32,IF(A32='Données projet'!$A$36,'Données projet'!$B$36,N31+M32-V31)))</f>
        <v>210.14615379999992</v>
      </c>
      <c r="O32" s="13">
        <f>N32*VLOOKUP('Données projet'!$B$9,Paramètres!$A$1:$I$89,3,0)*VLOOKUP('Données projet'!$B$9,Paramètres!$A$1:$I$89,5,0)</f>
        <v>125.66739997239996</v>
      </c>
      <c r="P32" s="13">
        <f t="shared" si="33"/>
        <v>32.993256280253341</v>
      </c>
      <c r="Q32" s="20">
        <f t="shared" si="2"/>
        <v>276.33397630670453</v>
      </c>
      <c r="R32" s="59">
        <f t="shared" si="0"/>
        <v>569.66730964003784</v>
      </c>
      <c r="S32" s="59">
        <f ca="1">AVERAGE(OFFSET($R$3,0,0,'Données projet'!$E$9+1,1))-AVERAGE(OFFSET($H$3,0,0,'Données projet'!$E$9+1,1))</f>
        <v>194.89717355535993</v>
      </c>
      <c r="T32" s="59">
        <f t="shared" si="34"/>
        <v>195.422737562245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47.661538460000003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7.6500000000000012E-2</v>
      </c>
      <c r="Y32" s="16">
        <f>IF(ISNA(VLOOKUP(A32,'Données projet'!$A$35:$I$55,7,0)),0%,VLOOKUP(A32,'Données projet'!$A$35:$I$55,7,0))</f>
        <v>0.13</v>
      </c>
      <c r="Z32" s="21">
        <f>EXP(-LN(2)/35)*Z31+(1-EXP(-LN(2)/35))/(LN(2)/35)*V32*W32*VLOOKUP('Données projet'!$B$9,Paramètres!$A$1:$I$89,3,0)*0.475*44/12</f>
        <v>11.909900986809575</v>
      </c>
      <c r="AA32" s="21">
        <f>EXP(-LN(2)/25)*AA31+(1-EXP(-LN(2)/25))/(LN(2)/25)*Calculateur!V32*Calculateur!X32*VLOOKUP('Données projet'!$B$9,Paramètres!$A$1:$I$89,3,0)*0.475*44/12</f>
        <v>18.010745165981948</v>
      </c>
      <c r="AB32" s="21">
        <f>EXP(-LN(2)/2)*AB31+(1-EXP(-LN(2)/2))/(LN(2)/2)*V32*Y32*VLOOKUP('Données projet'!$B$9,Paramètres!$A$1:$I$89,3,0)*0.475*44/12</f>
        <v>6.4056918295731036</v>
      </c>
      <c r="AC32" s="22">
        <f t="shared" si="3"/>
        <v>36.326337982364628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129.52367999999996</v>
      </c>
      <c r="BF32" s="13">
        <f t="shared" si="37"/>
        <v>33.886272262901727</v>
      </c>
      <c r="BG32" s="20">
        <f t="shared" si="7"/>
        <v>284.60566685788712</v>
      </c>
      <c r="BH32" s="59">
        <f t="shared" si="8"/>
        <v>577.93900019122043</v>
      </c>
      <c r="BI32" s="59">
        <f ca="1">AVERAGE(OFFSET($BH$3,0,0,'Données projet'!$E$11+1,1))-AVERAGE(OFFSET($H$3,0,0,'Données projet'!$E$11+1,1))</f>
        <v>273.69926316253162</v>
      </c>
      <c r="BJ32" s="59">
        <f t="shared" si="38"/>
        <v>270.78513558650451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0.45217195789530734</v>
      </c>
      <c r="BQ32" s="21">
        <f>EXP(-LN(2)/25)*BQ31+(1-EXP(-LN(2)/25))/(LN(2)/25)*Calculateur!BL32*Calculateur!BN32*VLOOKUP('Données projet'!$B$11,Paramètres!$A$1:$I$89,3,0)*0.475*44/12</f>
        <v>3.7251625503393186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4.177334508234626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2.5115384615384619</v>
      </c>
      <c r="BY32" s="12">
        <f>IF('Données projet'!$A$114&gt;35,BY31+BX32-CG31,IF(A32&lt;'Données projet'!$A$114,$BV$205^A32,IF(A32='Données projet'!$A$114,'Données projet'!$B$114,BY31+BX32-CG31)))</f>
        <v>65.236760229825805</v>
      </c>
      <c r="BZ32" s="13">
        <f>BY32*VLOOKUP('Données projet'!$B$12,Paramètres!$A$1:$I$89,3,0)*VLOOKUP('Données projet'!$B$12,Paramètres!$A$1:$I$89,5,0)</f>
        <v>59.026220655946382</v>
      </c>
      <c r="CA32" s="13">
        <f t="shared" si="39"/>
        <v>16.921833071284709</v>
      </c>
      <c r="CB32" s="20">
        <f t="shared" si="10"/>
        <v>132.27619357492748</v>
      </c>
      <c r="CC32" s="59">
        <f t="shared" si="11"/>
        <v>425.60952690826082</v>
      </c>
      <c r="CD32" s="59">
        <f ca="1">AVERAGE(OFFSET($CC$3,0,0,'Données projet'!$E$12+1,1))-AVERAGE(OFFSET($H$3,0,0,'Données projet'!$E$12+1,1))</f>
        <v>302.4170391346459</v>
      </c>
      <c r="CE32" s="59">
        <f t="shared" si="40"/>
        <v>114.18498182856115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14.298901108571426</v>
      </c>
      <c r="N33" s="13">
        <f>IF('Données projet'!$A$36&gt;35,N32+M33-V32,IF(A33&lt;'Données projet'!$A$36,$K$205^A33,IF(A33='Données projet'!$A$36,'Données projet'!$B$36,N32+M33-V32)))</f>
        <v>176.78351644857133</v>
      </c>
      <c r="O33" s="13">
        <f>N33*VLOOKUP('Données projet'!$B$9,Paramètres!$A$1:$I$89,3,0)*VLOOKUP('Données projet'!$B$9,Paramètres!$A$1:$I$89,5,0)</f>
        <v>105.71654283624567</v>
      </c>
      <c r="P33" s="13">
        <f t="shared" si="33"/>
        <v>28.31944758617702</v>
      </c>
      <c r="Q33" s="20">
        <f t="shared" si="2"/>
        <v>233.44601665238613</v>
      </c>
      <c r="R33" s="59">
        <f t="shared" si="0"/>
        <v>526.77934998571948</v>
      </c>
      <c r="S33" s="59">
        <f ca="1">AVERAGE(OFFSET($R$3,0,0,'Données projet'!$E$9+1,1))-AVERAGE(OFFSET($H$3,0,0,'Données projet'!$E$9+1,1))</f>
        <v>194.89717355535993</v>
      </c>
      <c r="T33" s="59">
        <f t="shared" si="34"/>
        <v>195.422737562245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11.676355092780549</v>
      </c>
      <c r="AA33" s="21">
        <f>EXP(-LN(2)/25)*AA32+(1-EXP(-LN(2)/25))/(LN(2)/25)*Calculateur!V33*Calculateur!X33*VLOOKUP('Données projet'!$B$9,Paramètres!$A$1:$I$89,3,0)*0.475*44/12</f>
        <v>17.518240392274247</v>
      </c>
      <c r="AB33" s="21">
        <f>EXP(-LN(2)/2)*AB32+(1-EXP(-LN(2)/2))/(LN(2)/2)*V33*Y33*VLOOKUP('Données projet'!$B$9,Paramètres!$A$1:$I$89,3,0)*0.475*44/12</f>
        <v>4.5295081308824043</v>
      </c>
      <c r="AC33" s="22">
        <f t="shared" si="3"/>
        <v>33.724103615937203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140.82119999999992</v>
      </c>
      <c r="BF33" s="13">
        <f t="shared" si="37"/>
        <v>36.485066799987997</v>
      </c>
      <c r="BG33" s="20">
        <f t="shared" si="7"/>
        <v>308.80841467664561</v>
      </c>
      <c r="BH33" s="59">
        <f t="shared" si="8"/>
        <v>602.14174800997898</v>
      </c>
      <c r="BI33" s="59">
        <f ca="1">AVERAGE(OFFSET($BH$3,0,0,'Données projet'!$E$11+1,1))-AVERAGE(OFFSET($H$3,0,0,'Données projet'!$E$11+1,1))</f>
        <v>273.69926316253162</v>
      </c>
      <c r="BJ33" s="59">
        <f t="shared" si="38"/>
        <v>270.78513558650451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0.10600000000000001</v>
      </c>
      <c r="BN33" s="16">
        <f>IF(ISNA(VLOOKUP(A33,'Données projet'!$A$87:$I$107,6,0)),0%,VLOOKUP(A33,'Données projet'!$A$87:$I$107,6,0)*VLOOKUP('Données projet'!$B$11,Paramètres!$A$1:$I$89,7,0))</f>
        <v>0.22790000000000002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3.7062955295769426</v>
      </c>
      <c r="BQ33" s="21">
        <f>EXP(-LN(2)/25)*BQ32+(1-EXP(-LN(2)/25))/(LN(2)/25)*Calculateur!BL33*Calculateur!BN33*VLOOKUP('Données projet'!$B$11,Paramètres!$A$1:$I$89,3,0)*0.475*44/12</f>
        <v>10.611104700279146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14.317400229856089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75.346153846153854</v>
      </c>
      <c r="BW33" s="12">
        <f>VLOOKUP(A33,'Données projet'!$A$113:$I$133,9,0)</f>
        <v>2.5115384615384619</v>
      </c>
      <c r="BX33" s="12">
        <f t="array" ref="BX33">INDEX(BW:BW,MIN(IF(ISNUMBER(BW33:BW229),ROW(BW33:BW229),"")))</f>
        <v>2.5115384615384619</v>
      </c>
      <c r="BY33" s="12">
        <f>IF('Données projet'!$A$114&gt;35,BY32+BX33-CG32,IF(A33&lt;'Données projet'!$A$114,$BV$205^A33,IF(A33='Données projet'!$A$114,'Données projet'!$B$114,BY32+BX33-CG32)))</f>
        <v>75.346153846153854</v>
      </c>
      <c r="BZ33" s="13">
        <f>BY33*VLOOKUP('Données projet'!$B$12,Paramètres!$A$1:$I$89,3,0)*VLOOKUP('Données projet'!$B$12,Paramètres!$A$1:$I$89,5,0)</f>
        <v>68.173200000000008</v>
      </c>
      <c r="CA33" s="13">
        <f t="shared" si="39"/>
        <v>19.219102919829069</v>
      </c>
      <c r="CB33" s="20">
        <f t="shared" si="10"/>
        <v>152.20826091870231</v>
      </c>
      <c r="CC33" s="59">
        <f t="shared" si="11"/>
        <v>445.54159425203562</v>
      </c>
      <c r="CD33" s="59">
        <f ca="1">AVERAGE(OFFSET($CC$3,0,0,'Données projet'!$E$12+1,1))-AVERAGE(OFFSET($H$3,0,0,'Données projet'!$E$12+1,1))</f>
        <v>302.4170391346459</v>
      </c>
      <c r="CE33" s="59">
        <f t="shared" si="40"/>
        <v>114.18498182856115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14.298901108571426</v>
      </c>
      <c r="N34" s="13">
        <f>IF('Données projet'!$A$36&gt;35,N33+M34-V33,IF(A34&lt;'Données projet'!$A$36,$K$205^A34,IF(A34='Données projet'!$A$36,'Données projet'!$B$36,N33+M34-V33)))</f>
        <v>191.08241755714275</v>
      </c>
      <c r="O34" s="13">
        <f>N34*VLOOKUP('Données projet'!$B$9,Paramètres!$A$1:$I$89,3,0)*VLOOKUP('Données projet'!$B$9,Paramètres!$A$1:$I$89,5,0)</f>
        <v>114.26728569917137</v>
      </c>
      <c r="P34" s="13">
        <f t="shared" si="33"/>
        <v>30.33415249326281</v>
      </c>
      <c r="Q34" s="20">
        <f t="shared" si="2"/>
        <v>251.84750485182283</v>
      </c>
      <c r="R34" s="59">
        <f t="shared" si="0"/>
        <v>545.18083818515618</v>
      </c>
      <c r="S34" s="59">
        <f ca="1">AVERAGE(OFFSET($R$3,0,0,'Données projet'!$E$9+1,1))-AVERAGE(OFFSET($H$3,0,0,'Données projet'!$E$9+1,1))</f>
        <v>194.89717355535993</v>
      </c>
      <c r="T34" s="59">
        <f t="shared" si="34"/>
        <v>195.422737562245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11.447388891284502</v>
      </c>
      <c r="AA34" s="21">
        <f>EXP(-LN(2)/25)*AA33+(1-EXP(-LN(2)/25))/(LN(2)/25)*Calculateur!V34*Calculateur!X34*VLOOKUP('Données projet'!$B$9,Paramètres!$A$1:$I$89,3,0)*0.475*44/12</f>
        <v>17.039203187503283</v>
      </c>
      <c r="AB34" s="21">
        <f>EXP(-LN(2)/2)*AB33+(1-EXP(-LN(2)/2))/(LN(2)/2)*V34*Y34*VLOOKUP('Données projet'!$B$9,Paramètres!$A$1:$I$89,3,0)*0.475*44/12</f>
        <v>3.2028459147865522</v>
      </c>
      <c r="AC34" s="22">
        <f t="shared" si="3"/>
        <v>31.689437993574337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123.15887999999995</v>
      </c>
      <c r="BF34" s="13">
        <f t="shared" si="37"/>
        <v>32.410638331814873</v>
      </c>
      <c r="BG34" s="20">
        <f t="shared" si="7"/>
        <v>270.95024442791083</v>
      </c>
      <c r="BH34" s="59">
        <f t="shared" si="8"/>
        <v>564.28357776124415</v>
      </c>
      <c r="BI34" s="59">
        <f ca="1">AVERAGE(OFFSET($BH$3,0,0,'Données projet'!$E$11+1,1))-AVERAGE(OFFSET($H$3,0,0,'Données projet'!$E$11+1,1))</f>
        <v>273.69926316253162</v>
      </c>
      <c r="BJ34" s="59">
        <f t="shared" si="38"/>
        <v>270.78513558650451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3.6336173348589944</v>
      </c>
      <c r="BQ34" s="21">
        <f>EXP(-LN(2)/25)*BQ33+(1-EXP(-LN(2)/25))/(LN(2)/25)*Calculateur!BL34*Calculateur!BN34*VLOOKUP('Données projet'!$B$11,Paramètres!$A$1:$I$89,3,0)*0.475*44/12</f>
        <v>10.320943484236269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13.954560819095263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5.4791666666666652</v>
      </c>
      <c r="BY34" s="12">
        <f>IF('Données projet'!$A$114&gt;35,BY33+BX34-CG33,IF(A34&lt;'Données projet'!$A$114,$BV$205^A34,IF(A34='Données projet'!$A$114,'Données projet'!$B$114,BY33+BX34-CG33)))</f>
        <v>80.825320512820525</v>
      </c>
      <c r="BZ34" s="13">
        <f>BY34*VLOOKUP('Données projet'!$B$12,Paramètres!$A$1:$I$89,3,0)*VLOOKUP('Données projet'!$B$12,Paramètres!$A$1:$I$89,5,0)</f>
        <v>73.130750000000006</v>
      </c>
      <c r="CA34" s="13">
        <f t="shared" si="39"/>
        <v>20.448942280216116</v>
      </c>
      <c r="CB34" s="20">
        <f t="shared" si="10"/>
        <v>162.98463072137639</v>
      </c>
      <c r="CC34" s="59">
        <f t="shared" si="11"/>
        <v>456.31796405470971</v>
      </c>
      <c r="CD34" s="59">
        <f ca="1">AVERAGE(OFFSET($CC$3,0,0,'Données projet'!$E$12+1,1))-AVERAGE(OFFSET($H$3,0,0,'Données projet'!$E$12+1,1))</f>
        <v>302.4170391346459</v>
      </c>
      <c r="CE34" s="59">
        <f t="shared" si="40"/>
        <v>114.18498182856115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14.298901108571426</v>
      </c>
      <c r="N35" s="13">
        <f>IF('Données projet'!$A$36&gt;35,N34+M35-V34,IF(A35&lt;'Données projet'!$A$36,$K$205^A35,IF(A35='Données projet'!$A$36,'Données projet'!$B$36,N34+M35-V34)))</f>
        <v>205.38131866571416</v>
      </c>
      <c r="O35" s="13">
        <f>N35*VLOOKUP('Données projet'!$B$9,Paramètres!$A$1:$I$89,3,0)*VLOOKUP('Données projet'!$B$9,Paramètres!$A$1:$I$89,5,0)</f>
        <v>122.81802856209707</v>
      </c>
      <c r="P35" s="13">
        <f t="shared" si="33"/>
        <v>32.331367628574107</v>
      </c>
      <c r="Q35" s="20">
        <f t="shared" ref="Q35:Q66" si="53">(O35+P35)*0.475*44/12</f>
        <v>270.21853169875232</v>
      </c>
      <c r="R35" s="59">
        <f t="shared" si="0"/>
        <v>563.55186503208563</v>
      </c>
      <c r="S35" s="59">
        <f ca="1">AVERAGE(OFFSET($R$3,0,0,'Données projet'!$E$9+1,1))-AVERAGE(OFFSET($H$3,0,0,'Données projet'!$E$9+1,1))</f>
        <v>194.89717355535993</v>
      </c>
      <c r="T35" s="59">
        <f t="shared" si="34"/>
        <v>195.422737562245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11.2229125773442</v>
      </c>
      <c r="AA35" s="21">
        <f>EXP(-LN(2)/25)*AA34+(1-EXP(-LN(2)/25))/(LN(2)/25)*Calculateur!V35*Calculateur!X35*VLOOKUP('Données projet'!$B$9,Paramètres!$A$1:$I$89,3,0)*0.475*44/12</f>
        <v>16.573265280288254</v>
      </c>
      <c r="AB35" s="21">
        <f>EXP(-LN(2)/2)*AB34+(1-EXP(-LN(2)/2))/(LN(2)/2)*V35*Y35*VLOOKUP('Données projet'!$B$9,Paramètres!$A$1:$I$89,3,0)*0.475*44/12</f>
        <v>2.2647540654412022</v>
      </c>
      <c r="AC35" s="22">
        <f t="shared" si="3"/>
        <v>30.060931923073657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133.34255999999996</v>
      </c>
      <c r="BF35" s="13">
        <f t="shared" si="37"/>
        <v>34.767581918978188</v>
      </c>
      <c r="BG35" s="20">
        <f t="shared" si="7"/>
        <v>292.7918305088869</v>
      </c>
      <c r="BH35" s="59">
        <f t="shared" si="8"/>
        <v>586.12516384222022</v>
      </c>
      <c r="BI35" s="59">
        <f ca="1">AVERAGE(OFFSET($BH$3,0,0,'Données projet'!$E$11+1,1))-AVERAGE(OFFSET($H$3,0,0,'Données projet'!$E$11+1,1))</f>
        <v>273.69926316253162</v>
      </c>
      <c r="BJ35" s="59">
        <f t="shared" si="38"/>
        <v>270.78513558650451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3.5623643152101434</v>
      </c>
      <c r="BQ35" s="21">
        <f>EXP(-LN(2)/25)*BQ34+(1-EXP(-LN(2)/25))/(LN(2)/25)*Calculateur!BL35*Calculateur!BN35*VLOOKUP('Données projet'!$B$11,Paramètres!$A$1:$I$89,3,0)*0.475*44/12</f>
        <v>10.038716741904999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13.601081057115142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5.4791666666666652</v>
      </c>
      <c r="BY35" s="12">
        <f>IF('Données projet'!$A$114&gt;35,BY34+BX35-CG34,IF(A35&lt;'Données projet'!$A$114,$BV$205^A35,IF(A35='Données projet'!$A$114,'Données projet'!$B$114,BY34+BX35-CG34)))</f>
        <v>86.304487179487197</v>
      </c>
      <c r="BZ35" s="13">
        <f>BY35*VLOOKUP('Données projet'!$B$12,Paramètres!$A$1:$I$89,3,0)*VLOOKUP('Données projet'!$B$12,Paramètres!$A$1:$I$89,5,0)</f>
        <v>78.088300000000004</v>
      </c>
      <c r="CA35" s="13">
        <f t="shared" si="39"/>
        <v>21.669107614619822</v>
      </c>
      <c r="CB35" s="20">
        <f t="shared" si="10"/>
        <v>173.74415159546285</v>
      </c>
      <c r="CC35" s="59">
        <f t="shared" si="11"/>
        <v>467.07748492879614</v>
      </c>
      <c r="CD35" s="59">
        <f ca="1">AVERAGE(OFFSET($CC$3,0,0,'Données projet'!$E$12+1,1))-AVERAGE(OFFSET($H$3,0,0,'Données projet'!$E$12+1,1))</f>
        <v>302.4170391346459</v>
      </c>
      <c r="CE35" s="59">
        <f t="shared" si="40"/>
        <v>114.18498182856115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14.298901108571426</v>
      </c>
      <c r="N36" s="13">
        <f>IF('Données projet'!$A$36&gt;35,N35+M36-V35,IF(A36&lt;'Données projet'!$A$36,$K$205^A36,IF(A36='Données projet'!$A$36,'Données projet'!$B$36,N35+M36-V35)))</f>
        <v>219.68021977428558</v>
      </c>
      <c r="O36" s="13">
        <f>N36*VLOOKUP('Données projet'!$B$9,Paramètres!$A$1:$I$89,3,0)*VLOOKUP('Données projet'!$B$9,Paramètres!$A$1:$I$89,5,0)</f>
        <v>131.36877142502277</v>
      </c>
      <c r="P36" s="13">
        <f t="shared" si="33"/>
        <v>34.312449161257589</v>
      </c>
      <c r="Q36" s="20">
        <f t="shared" si="53"/>
        <v>288.56145918777162</v>
      </c>
      <c r="R36" s="59">
        <f t="shared" si="0"/>
        <v>581.89479252110493</v>
      </c>
      <c r="S36" s="59">
        <f ca="1">AVERAGE(OFFSET($R$3,0,0,'Données projet'!$E$9+1,1))-AVERAGE(OFFSET($H$3,0,0,'Données projet'!$E$9+1,1))</f>
        <v>194.89717355535993</v>
      </c>
      <c r="T36" s="59">
        <f t="shared" si="34"/>
        <v>195.422737562245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11.002838107003235</v>
      </c>
      <c r="AA36" s="21">
        <f>EXP(-LN(2)/25)*AA35+(1-EXP(-LN(2)/25))/(LN(2)/25)*Calculateur!V36*Calculateur!X36*VLOOKUP('Données projet'!$B$9,Paramètres!$A$1:$I$89,3,0)*0.475*44/12</f>
        <v>16.120068469648629</v>
      </c>
      <c r="AB36" s="21">
        <f>EXP(-LN(2)/2)*AB35+(1-EXP(-LN(2)/2))/(LN(2)/2)*V36*Y36*VLOOKUP('Données projet'!$B$9,Paramètres!$A$1:$I$89,3,0)*0.475*44/12</f>
        <v>1.6014229573932761</v>
      </c>
      <c r="AC36" s="22">
        <f t="shared" si="3"/>
        <v>28.72432953404514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143.52623999999997</v>
      </c>
      <c r="BF36" s="13">
        <f t="shared" si="37"/>
        <v>37.103644337236275</v>
      </c>
      <c r="BG36" s="20">
        <f t="shared" si="7"/>
        <v>314.59704855401981</v>
      </c>
      <c r="BH36" s="59">
        <f t="shared" si="8"/>
        <v>607.93038188735318</v>
      </c>
      <c r="BI36" s="59">
        <f ca="1">AVERAGE(OFFSET($BH$3,0,0,'Données projet'!$E$11+1,1))-AVERAGE(OFFSET($H$3,0,0,'Données projet'!$E$11+1,1))</f>
        <v>273.69926316253162</v>
      </c>
      <c r="BJ36" s="59">
        <f t="shared" si="38"/>
        <v>270.78513558650451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3.4925085238165559</v>
      </c>
      <c r="BQ36" s="21">
        <f>EXP(-LN(2)/25)*BQ35+(1-EXP(-LN(2)/25))/(LN(2)/25)*Calculateur!BL36*Calculateur!BN36*VLOOKUP('Données projet'!$B$11,Paramètres!$A$1:$I$89,3,0)*0.475*44/12</f>
        <v>9.7642075046844372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13.256716028500993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5.4791666666666652</v>
      </c>
      <c r="BY36" s="12">
        <f>IF('Données projet'!$A$114&gt;35,BY35+BX36-CG35,IF(A36&lt;'Données projet'!$A$114,$BV$205^A36,IF(A36='Données projet'!$A$114,'Données projet'!$B$114,BY35+BX36-CG35)))</f>
        <v>91.783653846153868</v>
      </c>
      <c r="BZ36" s="13">
        <f>BY36*VLOOKUP('Données projet'!$B$12,Paramètres!$A$1:$I$89,3,0)*VLOOKUP('Données projet'!$B$12,Paramètres!$A$1:$I$89,5,0)</f>
        <v>83.045850000000016</v>
      </c>
      <c r="CA36" s="13">
        <f t="shared" si="39"/>
        <v>22.880283002768671</v>
      </c>
      <c r="CB36" s="20">
        <f t="shared" si="10"/>
        <v>184.48801497982217</v>
      </c>
      <c r="CC36" s="59">
        <f t="shared" si="11"/>
        <v>477.82134831315545</v>
      </c>
      <c r="CD36" s="59">
        <f ca="1">AVERAGE(OFFSET($CC$3,0,0,'Données projet'!$E$12+1,1))-AVERAGE(OFFSET($H$3,0,0,'Données projet'!$E$12+1,1))</f>
        <v>302.4170391346459</v>
      </c>
      <c r="CE36" s="59">
        <f t="shared" si="40"/>
        <v>114.18498182856115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14.298901108571426</v>
      </c>
      <c r="N37" s="13">
        <f>IF('Données projet'!$A$36&gt;35,N36+M37-V36,IF(A37&lt;'Données projet'!$A$36,$K$205^A37,IF(A37='Données projet'!$A$36,'Données projet'!$B$36,N36+M37-V36)))</f>
        <v>233.97912088285699</v>
      </c>
      <c r="O37" s="13">
        <f>N37*VLOOKUP('Données projet'!$B$9,Paramètres!$A$1:$I$89,3,0)*VLOOKUP('Données projet'!$B$9,Paramètres!$A$1:$I$89,5,0)</f>
        <v>139.91951428794849</v>
      </c>
      <c r="P37" s="13">
        <f t="shared" si="33"/>
        <v>36.278566731539428</v>
      </c>
      <c r="Q37" s="20">
        <f t="shared" si="53"/>
        <v>306.87832444227473</v>
      </c>
      <c r="R37" s="59">
        <f t="shared" si="0"/>
        <v>600.21165777560805</v>
      </c>
      <c r="S37" s="59">
        <f ca="1">AVERAGE(OFFSET($R$3,0,0,'Données projet'!$E$9+1,1))-AVERAGE(OFFSET($H$3,0,0,'Données projet'!$E$9+1,1))</f>
        <v>194.89717355535993</v>
      </c>
      <c r="T37" s="59">
        <f t="shared" si="34"/>
        <v>195.422737562245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10.787079162793484</v>
      </c>
      <c r="AA37" s="21">
        <f>EXP(-LN(2)/25)*AA36+(1-EXP(-LN(2)/25))/(LN(2)/25)*Calculateur!V37*Calculateur!X37*VLOOKUP('Données projet'!$B$9,Paramètres!$A$1:$I$89,3,0)*0.475*44/12</f>
        <v>15.679264349628529</v>
      </c>
      <c r="AB37" s="21">
        <f>EXP(-LN(2)/2)*AB36+(1-EXP(-LN(2)/2))/(LN(2)/2)*V37*Y37*VLOOKUP('Données projet'!$B$9,Paramètres!$A$1:$I$89,3,0)*0.475*44/12</f>
        <v>1.1323770327206011</v>
      </c>
      <c r="AC37" s="22">
        <f t="shared" si="3"/>
        <v>27.598720545142616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153.70991999999998</v>
      </c>
      <c r="BF37" s="13">
        <f t="shared" si="37"/>
        <v>39.420475690379831</v>
      </c>
      <c r="BG37" s="20">
        <f t="shared" si="7"/>
        <v>336.3687724940782</v>
      </c>
      <c r="BH37" s="59">
        <f t="shared" si="8"/>
        <v>629.70210582741151</v>
      </c>
      <c r="BI37" s="59">
        <f ca="1">AVERAGE(OFFSET($BH$3,0,0,'Données projet'!$E$11+1,1))-AVERAGE(OFFSET($H$3,0,0,'Données projet'!$E$11+1,1))</f>
        <v>273.69926316253162</v>
      </c>
      <c r="BJ37" s="59">
        <f t="shared" si="38"/>
        <v>270.78513558650451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3.4240225618843709</v>
      </c>
      <c r="BQ37" s="21">
        <f>EXP(-LN(2)/25)*BQ36+(1-EXP(-LN(2)/25))/(LN(2)/25)*Calculateur!BL37*Calculateur!BN37*VLOOKUP('Données projet'!$B$11,Paramètres!$A$1:$I$89,3,0)*0.475*44/12</f>
        <v>9.4972047369914847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12.921227298875856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5.4791666666666652</v>
      </c>
      <c r="BY37" s="12">
        <f>IF('Données projet'!$A$114&gt;35,BY36+BX37-CG36,IF(A37&lt;'Données projet'!$A$114,$BV$205^A37,IF(A37='Données projet'!$A$114,'Données projet'!$B$114,BY36+BX37-CG36)))</f>
        <v>97.262820512820539</v>
      </c>
      <c r="BZ37" s="13">
        <f>BY37*VLOOKUP('Données projet'!$B$12,Paramètres!$A$1:$I$89,3,0)*VLOOKUP('Données projet'!$B$12,Paramètres!$A$1:$I$89,5,0)</f>
        <v>88.003400000000013</v>
      </c>
      <c r="CA37" s="13">
        <f t="shared" si="39"/>
        <v>24.083066235714515</v>
      </c>
      <c r="CB37" s="20">
        <f t="shared" si="10"/>
        <v>195.21726202720279</v>
      </c>
      <c r="CC37" s="59">
        <f t="shared" si="11"/>
        <v>488.55059536053614</v>
      </c>
      <c r="CD37" s="59">
        <f ca="1">AVERAGE(OFFSET($CC$3,0,0,'Données projet'!$E$12+1,1))-AVERAGE(OFFSET($H$3,0,0,'Données projet'!$E$12+1,1))</f>
        <v>302.4170391346459</v>
      </c>
      <c r="CE37" s="59">
        <f t="shared" si="40"/>
        <v>114.18498182856115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14.298901108571426</v>
      </c>
      <c r="N38" s="13">
        <f>IF('Données projet'!$A$36&gt;35,N37+M38-V37,IF(A38&lt;'Données projet'!$A$36,$K$205^A38,IF(A38='Données projet'!$A$36,'Données projet'!$B$36,N37+M38-V37)))</f>
        <v>248.2780219914284</v>
      </c>
      <c r="O38" s="13">
        <f>N38*VLOOKUP('Données projet'!$B$9,Paramètres!$A$1:$I$89,3,0)*VLOOKUP('Données projet'!$B$9,Paramètres!$A$1:$I$89,5,0)</f>
        <v>148.4702571508742</v>
      </c>
      <c r="P38" s="13">
        <f t="shared" si="33"/>
        <v>38.230738943727303</v>
      </c>
      <c r="Q38" s="20">
        <f t="shared" si="53"/>
        <v>325.17090153143096</v>
      </c>
      <c r="R38" s="59">
        <f t="shared" si="0"/>
        <v>618.50423486476427</v>
      </c>
      <c r="S38" s="59">
        <f ca="1">AVERAGE(OFFSET($R$3,0,0,'Données projet'!$E$9+1,1))-AVERAGE(OFFSET($H$3,0,0,'Données projet'!$E$9+1,1))</f>
        <v>194.89717355535993</v>
      </c>
      <c r="T38" s="59">
        <f t="shared" si="34"/>
        <v>195.422737562245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10.575551119879725</v>
      </c>
      <c r="AA38" s="21">
        <f>EXP(-LN(2)/25)*AA37+(1-EXP(-LN(2)/25))/(LN(2)/25)*Calculateur!V38*Calculateur!X38*VLOOKUP('Données projet'!$B$9,Paramètres!$A$1:$I$89,3,0)*0.475*44/12</f>
        <v>15.250514041451259</v>
      </c>
      <c r="AB38" s="21">
        <f>EXP(-LN(2)/2)*AB37+(1-EXP(-LN(2)/2))/(LN(2)/2)*V38*Y38*VLOOKUP('Données projet'!$B$9,Paramètres!$A$1:$I$89,3,0)*0.475*44/12</f>
        <v>0.80071147869663806</v>
      </c>
      <c r="AC38" s="22">
        <f t="shared" si="3"/>
        <v>26.626776640027622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163.89359999999999</v>
      </c>
      <c r="BF38" s="13">
        <f t="shared" si="37"/>
        <v>41.71949506642347</v>
      </c>
      <c r="BG38" s="20">
        <f t="shared" si="7"/>
        <v>358.10947390735419</v>
      </c>
      <c r="BH38" s="59">
        <f t="shared" si="8"/>
        <v>651.44280724068744</v>
      </c>
      <c r="BI38" s="59">
        <f ca="1">AVERAGE(OFFSET($BH$3,0,0,'Données projet'!$E$11+1,1))-AVERAGE(OFFSET($H$3,0,0,'Données projet'!$E$11+1,1))</f>
        <v>273.69926316253162</v>
      </c>
      <c r="BJ38" s="59">
        <f t="shared" si="38"/>
        <v>270.78513558650451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0.25969999999999999</v>
      </c>
      <c r="BN38" s="16">
        <f>IF(ISNA(VLOOKUP(A38,'Données projet'!$A$87:$I$107,6,0)),0%,VLOOKUP(A38,'Données projet'!$A$87:$I$107,6,0)*VLOOKUP('Données projet'!$B$11,Paramètres!$A$1:$I$89,7,0))</f>
        <v>0.18020000000000003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11.351206018440198</v>
      </c>
      <c r="BQ38" s="21">
        <f>EXP(-LN(2)/25)*BQ37+(1-EXP(-LN(2)/25))/(LN(2)/25)*Calculateur!BL38*Calculateur!BN38*VLOOKUP('Données projet'!$B$11,Paramètres!$A$1:$I$89,3,0)*0.475*44/12</f>
        <v>14.762745851612994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26.113951870053192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5.4791666666666652</v>
      </c>
      <c r="BY38" s="12">
        <f>IF('Données projet'!$A$114&gt;35,BY37+BX38-CG37,IF(A38&lt;'Données projet'!$A$114,$BV$205^A38,IF(A38='Données projet'!$A$114,'Données projet'!$B$114,BY37+BX38-CG37)))</f>
        <v>102.74198717948721</v>
      </c>
      <c r="BZ38" s="13">
        <f>BY38*VLOOKUP('Données projet'!$B$12,Paramètres!$A$1:$I$89,3,0)*VLOOKUP('Données projet'!$B$12,Paramètres!$A$1:$I$89,5,0)</f>
        <v>92.960950000000025</v>
      </c>
      <c r="CA38" s="13">
        <f t="shared" si="39"/>
        <v>25.277983948995907</v>
      </c>
      <c r="CB38" s="20">
        <f t="shared" si="10"/>
        <v>205.93280996116789</v>
      </c>
      <c r="CC38" s="59">
        <f t="shared" si="11"/>
        <v>499.26614329450121</v>
      </c>
      <c r="CD38" s="59">
        <f ca="1">AVERAGE(OFFSET($CC$3,0,0,'Données projet'!$E$12+1,1))-AVERAGE(OFFSET($H$3,0,0,'Données projet'!$E$12+1,1))</f>
        <v>302.4170391346459</v>
      </c>
      <c r="CE38" s="59">
        <f t="shared" si="40"/>
        <v>114.18498182856115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262.57692309999999</v>
      </c>
      <c r="L39" s="12">
        <f>VLOOKUP(A39,'Données projet'!$A$35:$I$55,9,0)</f>
        <v>14.298901108571426</v>
      </c>
      <c r="M39" s="12">
        <f t="array" ref="M39">INDEX(L:L,MIN(IF(ISNUMBER(L39:L235),ROW(L39:L235),"")))</f>
        <v>14.298901108571426</v>
      </c>
      <c r="N39" s="13">
        <f>IF('Données projet'!$A$36&gt;35,N38+M39-V38,IF(A39&lt;'Données projet'!$A$36,$K$205^A39,IF(A39='Données projet'!$A$36,'Données projet'!$B$36,N38+M39-V38)))</f>
        <v>262.57692309999982</v>
      </c>
      <c r="O39" s="13">
        <f>N39*VLOOKUP('Données projet'!$B$9,Paramètres!$A$1:$I$89,3,0)*VLOOKUP('Données projet'!$B$9,Paramètres!$A$1:$I$89,5,0)</f>
        <v>157.02100001379992</v>
      </c>
      <c r="P39" s="13">
        <f t="shared" si="33"/>
        <v>40.169860447398378</v>
      </c>
      <c r="Q39" s="20">
        <f t="shared" si="53"/>
        <v>343.44074863658699</v>
      </c>
      <c r="R39" s="59">
        <f t="shared" si="0"/>
        <v>636.7740819699203</v>
      </c>
      <c r="S39" s="59">
        <f ca="1">AVERAGE(OFFSET($R$3,0,0,'Données projet'!$E$9+1,1))-AVERAGE(OFFSET($H$3,0,0,'Données projet'!$E$9+1,1))</f>
        <v>194.89717355535993</v>
      </c>
      <c r="T39" s="59">
        <f t="shared" si="34"/>
        <v>195.422737562245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64.553846149999998</v>
      </c>
      <c r="W39" s="16">
        <f>IF(ISNA(VLOOKUP(A39,'Données projet'!$A$35:$I$55,5,0)),0%,VLOOKUP(A39,'Données projet'!$A$35:$I$55,5,0)*VLOOKUP('Données projet'!$B$9,Paramètres!$A$1:$I$89,7,0))</f>
        <v>0.315</v>
      </c>
      <c r="X39" s="16">
        <f>IF(ISNA(VLOOKUP(A39,'Données projet'!$A$35:$I$55,6,0)),0%,VLOOKUP(A39,'Données projet'!$A$35:$I$55,6,0)*VLOOKUP('Données projet'!$B$9,Paramètres!$A$1:$I$89,7,0))</f>
        <v>7.6500000000000012E-2</v>
      </c>
      <c r="Y39" s="16">
        <f>IF(ISNA(VLOOKUP(A39,'Données projet'!$A$35:$I$55,7,0)),0%,VLOOKUP(A39,'Données projet'!$A$35:$I$55,7,0))</f>
        <v>0.13</v>
      </c>
      <c r="Z39" s="21">
        <f>EXP(-LN(2)/35)*Z38+(1-EXP(-LN(2)/35))/(LN(2)/35)*V39*W39*VLOOKUP('Données projet'!$B$9,Paramètres!$A$1:$I$89,3,0)*0.475*44/12</f>
        <v>26.49920540256749</v>
      </c>
      <c r="AA39" s="21">
        <f>EXP(-LN(2)/25)*AA38+(1-EXP(-LN(2)/25))/(LN(2)/25)*Calculateur!V39*Calculateur!X39*VLOOKUP('Données projet'!$B$9,Paramètres!$A$1:$I$89,3,0)*0.475*44/12</f>
        <v>18.735600020645517</v>
      </c>
      <c r="AB39" s="21">
        <f>EXP(-LN(2)/2)*AB38+(1-EXP(-LN(2)/2))/(LN(2)/2)*V39*Y39*VLOOKUP('Données projet'!$B$9,Paramètres!$A$1:$I$89,3,0)*0.475*44/12</f>
        <v>6.2482011936453405</v>
      </c>
      <c r="AC39" s="22">
        <f t="shared" si="3"/>
        <v>51.483006616858347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145.11743999999999</v>
      </c>
      <c r="BF39" s="13">
        <f t="shared" si="37"/>
        <v>37.466878406916173</v>
      </c>
      <c r="BG39" s="20">
        <f t="shared" si="7"/>
        <v>318.00102122537896</v>
      </c>
      <c r="BH39" s="59">
        <f t="shared" si="8"/>
        <v>611.33435455871222</v>
      </c>
      <c r="BI39" s="59">
        <f ca="1">AVERAGE(OFFSET($BH$3,0,0,'Données projet'!$E$11+1,1))-AVERAGE(OFFSET($H$3,0,0,'Données projet'!$E$11+1,1))</f>
        <v>273.69926316253162</v>
      </c>
      <c r="BJ39" s="59">
        <f t="shared" si="38"/>
        <v>270.78513558650451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11.128615791970613</v>
      </c>
      <c r="BQ39" s="21">
        <f>EXP(-LN(2)/25)*BQ38+(1-EXP(-LN(2)/25))/(LN(2)/25)*Calculateur!BL39*Calculateur!BN39*VLOOKUP('Données projet'!$B$11,Paramètres!$A$1:$I$89,3,0)*0.475*44/12</f>
        <v>14.359057789961573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25.487673581932185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5.4791666666666652</v>
      </c>
      <c r="BY39" s="12">
        <f>IF('Données projet'!$A$114&gt;35,BY38+BX39-CG38,IF(A39&lt;'Données projet'!$A$114,$BV$205^A39,IF(A39='Données projet'!$A$114,'Données projet'!$B$114,BY38+BX39-CG38)))</f>
        <v>108.22115384615388</v>
      </c>
      <c r="BZ39" s="13">
        <f>BY39*VLOOKUP('Données projet'!$B$12,Paramètres!$A$1:$I$89,3,0)*VLOOKUP('Données projet'!$B$12,Paramètres!$A$1:$I$89,5,0)</f>
        <v>97.918500000000037</v>
      </c>
      <c r="CA39" s="13">
        <f t="shared" si="39"/>
        <v>26.465503435437213</v>
      </c>
      <c r="CB39" s="20">
        <f t="shared" si="10"/>
        <v>216.6354726500532</v>
      </c>
      <c r="CC39" s="59">
        <f t="shared" si="11"/>
        <v>509.96880598338652</v>
      </c>
      <c r="CD39" s="59">
        <f ca="1">AVERAGE(OFFSET($CC$3,0,0,'Données projet'!$E$12+1,1))-AVERAGE(OFFSET($H$3,0,0,'Données projet'!$E$12+1,1))</f>
        <v>302.4170391346459</v>
      </c>
      <c r="CE39" s="59">
        <f t="shared" si="40"/>
        <v>114.18498182856115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13.141346156249998</v>
      </c>
      <c r="N40" s="13">
        <f>IF('Données projet'!$A$36&gt;35,N39+M40-V39,IF(A40&lt;'Données projet'!$A$36,$K$205^A40,IF(A40='Données projet'!$A$36,'Données projet'!$B$36,N39+M40-V39)))</f>
        <v>211.16442310624981</v>
      </c>
      <c r="O40" s="13">
        <f>N40*VLOOKUP('Données projet'!$B$9,Paramètres!$A$1:$I$89,3,0)*VLOOKUP('Données projet'!$B$9,Paramètres!$A$1:$I$89,5,0)</f>
        <v>126.2763250175374</v>
      </c>
      <c r="P40" s="13">
        <f t="shared" si="33"/>
        <v>33.134477455937727</v>
      </c>
      <c r="Q40" s="20">
        <f t="shared" si="53"/>
        <v>277.64048097463586</v>
      </c>
      <c r="R40" s="59">
        <f t="shared" si="0"/>
        <v>570.97381430796918</v>
      </c>
      <c r="S40" s="59">
        <f ca="1">AVERAGE(OFFSET($R$3,0,0,'Données projet'!$E$9+1,1))-AVERAGE(OFFSET($H$3,0,0,'Données projet'!$E$9+1,1))</f>
        <v>194.89717355535993</v>
      </c>
      <c r="T40" s="59">
        <f t="shared" si="34"/>
        <v>195.422737562245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25.979572147542481</v>
      </c>
      <c r="AA40" s="21">
        <f>EXP(-LN(2)/25)*AA39+(1-EXP(-LN(2)/25))/(LN(2)/25)*Calculateur!V40*Calculateur!X40*VLOOKUP('Données projet'!$B$9,Paramètres!$A$1:$I$89,3,0)*0.475*44/12</f>
        <v>18.223274052818581</v>
      </c>
      <c r="AB40" s="21">
        <f>EXP(-LN(2)/2)*AB39+(1-EXP(-LN(2)/2))/(LN(2)/2)*V40*Y40*VLOOKUP('Données projet'!$B$9,Paramètres!$A$1:$I$89,3,0)*0.475*44/12</f>
        <v>4.4181454342445008</v>
      </c>
      <c r="AC40" s="22">
        <f t="shared" si="3"/>
        <v>48.620991634605566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154.18727999999999</v>
      </c>
      <c r="BF40" s="13">
        <f t="shared" si="37"/>
        <v>39.528629863903078</v>
      </c>
      <c r="BG40" s="20">
        <f t="shared" si="7"/>
        <v>337.38854301296448</v>
      </c>
      <c r="BH40" s="59">
        <f t="shared" si="8"/>
        <v>630.72187634629779</v>
      </c>
      <c r="BI40" s="59">
        <f ca="1">AVERAGE(OFFSET($BH$3,0,0,'Données projet'!$E$11+1,1))-AVERAGE(OFFSET($H$3,0,0,'Données projet'!$E$11+1,1))</f>
        <v>273.69926316253162</v>
      </c>
      <c r="BJ40" s="59">
        <f t="shared" si="38"/>
        <v>270.78513558650451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10.910390424075464</v>
      </c>
      <c r="BQ40" s="21">
        <f>EXP(-LN(2)/25)*BQ39+(1-EXP(-LN(2)/25))/(LN(2)/25)*Calculateur!BL40*Calculateur!BN40*VLOOKUP('Données projet'!$B$11,Paramètres!$A$1:$I$89,3,0)*0.475*44/12</f>
        <v>13.966408599585042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24.876799023660507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5.4791666666666652</v>
      </c>
      <c r="BY40" s="12">
        <f>IF('Données projet'!$A$114&gt;35,BY39+BX40-CG39,IF(A40&lt;'Données projet'!$A$114,$BV$205^A40,IF(A40='Données projet'!$A$114,'Données projet'!$B$114,BY39+BX40-CG39)))</f>
        <v>113.70032051282055</v>
      </c>
      <c r="BZ40" s="13">
        <f>BY40*VLOOKUP('Données projet'!$B$12,Paramètres!$A$1:$I$89,3,0)*VLOOKUP('Données projet'!$B$12,Paramètres!$A$1:$I$89,5,0)</f>
        <v>102.87605000000002</v>
      </c>
      <c r="CA40" s="13">
        <f t="shared" si="39"/>
        <v>27.646041997606424</v>
      </c>
      <c r="CB40" s="20">
        <f t="shared" si="10"/>
        <v>227.32597689583122</v>
      </c>
      <c r="CC40" s="59">
        <f t="shared" si="11"/>
        <v>520.65931022916448</v>
      </c>
      <c r="CD40" s="59">
        <f ca="1">AVERAGE(OFFSET($CC$3,0,0,'Données projet'!$E$12+1,1))-AVERAGE(OFFSET($H$3,0,0,'Données projet'!$E$12+1,1))</f>
        <v>302.4170391346459</v>
      </c>
      <c r="CE40" s="59">
        <f t="shared" si="40"/>
        <v>114.18498182856115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13.141346156249998</v>
      </c>
      <c r="N41" s="13">
        <f>IF('Données projet'!$A$36&gt;35,N40+M41-V40,IF(A41&lt;'Données projet'!$A$36,$K$205^A41,IF(A41='Données projet'!$A$36,'Données projet'!$B$36,N40+M41-V40)))</f>
        <v>224.30576926249981</v>
      </c>
      <c r="O41" s="13">
        <f>N41*VLOOKUP('Données projet'!$B$9,Paramètres!$A$1:$I$89,3,0)*VLOOKUP('Données projet'!$B$9,Paramètres!$A$1:$I$89,5,0)</f>
        <v>134.1348500189749</v>
      </c>
      <c r="P41" s="13">
        <f t="shared" si="33"/>
        <v>34.950053700171743</v>
      </c>
      <c r="Q41" s="20">
        <f t="shared" si="53"/>
        <v>294.48954064418035</v>
      </c>
      <c r="R41" s="59">
        <f t="shared" si="0"/>
        <v>587.82287397751361</v>
      </c>
      <c r="S41" s="59">
        <f ca="1">AVERAGE(OFFSET($R$3,0,0,'Données projet'!$E$9+1,1))-AVERAGE(OFFSET($H$3,0,0,'Données projet'!$E$9+1,1))</f>
        <v>194.89717355535993</v>
      </c>
      <c r="T41" s="59">
        <f t="shared" si="34"/>
        <v>195.422737562245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25.470128583703524</v>
      </c>
      <c r="AA41" s="21">
        <f>EXP(-LN(2)/25)*AA40+(1-EXP(-LN(2)/25))/(LN(2)/25)*Calculateur!V41*Calculateur!X41*VLOOKUP('Données projet'!$B$9,Paramètres!$A$1:$I$89,3,0)*0.475*44/12</f>
        <v>17.724957665523924</v>
      </c>
      <c r="AB41" s="21">
        <f>EXP(-LN(2)/2)*AB40+(1-EXP(-LN(2)/2))/(LN(2)/2)*V41*Y41*VLOOKUP('Données projet'!$B$9,Paramètres!$A$1:$I$89,3,0)*0.475*44/12</f>
        <v>3.1241005968226703</v>
      </c>
      <c r="AC41" s="22">
        <f t="shared" si="3"/>
        <v>46.319186846050115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163.25712000000001</v>
      </c>
      <c r="BF41" s="13">
        <f t="shared" si="37"/>
        <v>41.576304038313076</v>
      </c>
      <c r="BG41" s="20">
        <f t="shared" si="7"/>
        <v>356.75154686672863</v>
      </c>
      <c r="BH41" s="59">
        <f t="shared" si="8"/>
        <v>650.08488020006189</v>
      </c>
      <c r="BI41" s="59">
        <f ca="1">AVERAGE(OFFSET($BH$3,0,0,'Données projet'!$E$11+1,1))-AVERAGE(OFFSET($H$3,0,0,'Données projet'!$E$11+1,1))</f>
        <v>273.69926316253162</v>
      </c>
      <c r="BJ41" s="59">
        <f t="shared" si="38"/>
        <v>270.78513558650451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10.696444322540408</v>
      </c>
      <c r="BQ41" s="21">
        <f>EXP(-LN(2)/25)*BQ40+(1-EXP(-LN(2)/25))/(LN(2)/25)*Calculateur!BL41*Calculateur!BN41*VLOOKUP('Données projet'!$B$11,Paramètres!$A$1:$I$89,3,0)*0.475*44/12</f>
        <v>13.584496421967883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24.280940744508293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5.4791666666666652</v>
      </c>
      <c r="BY41" s="12">
        <f>IF('Données projet'!$A$114&gt;35,BY40+BX41-CG40,IF(A41&lt;'Données projet'!$A$114,$BV$205^A41,IF(A41='Données projet'!$A$114,'Données projet'!$B$114,BY40+BX41-CG40)))</f>
        <v>119.17948717948723</v>
      </c>
      <c r="BZ41" s="13">
        <f>BY41*VLOOKUP('Données projet'!$B$12,Paramètres!$A$1:$I$89,3,0)*VLOOKUP('Données projet'!$B$12,Paramètres!$A$1:$I$89,5,0)</f>
        <v>107.83360000000003</v>
      </c>
      <c r="CA41" s="13">
        <f t="shared" si="39"/>
        <v>28.819974446397296</v>
      </c>
      <c r="CB41" s="20">
        <f t="shared" si="10"/>
        <v>238.00497549414197</v>
      </c>
      <c r="CC41" s="59">
        <f t="shared" si="11"/>
        <v>531.33830882747532</v>
      </c>
      <c r="CD41" s="59">
        <f ca="1">AVERAGE(OFFSET($CC$3,0,0,'Données projet'!$E$12+1,1))-AVERAGE(OFFSET($H$3,0,0,'Données projet'!$E$12+1,1))</f>
        <v>302.4170391346459</v>
      </c>
      <c r="CE41" s="59">
        <f t="shared" si="40"/>
        <v>114.18498182856115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13.141346156249998</v>
      </c>
      <c r="N42" s="13">
        <f>IF('Données projet'!$A$36&gt;35,N41+M42-V41,IF(A42&lt;'Données projet'!$A$36,$K$205^A42,IF(A42='Données projet'!$A$36,'Données projet'!$B$36,N41+M42-V41)))</f>
        <v>237.4471154187498</v>
      </c>
      <c r="O42" s="13">
        <f>N42*VLOOKUP('Données projet'!$B$9,Paramètres!$A$1:$I$89,3,0)*VLOOKUP('Données projet'!$B$9,Paramètres!$A$1:$I$89,5,0)</f>
        <v>141.9933750204124</v>
      </c>
      <c r="P42" s="13">
        <f t="shared" si="33"/>
        <v>36.75328329269724</v>
      </c>
      <c r="Q42" s="20">
        <f t="shared" si="53"/>
        <v>311.31709656199922</v>
      </c>
      <c r="R42" s="59">
        <f t="shared" si="0"/>
        <v>604.65042989533254</v>
      </c>
      <c r="S42" s="59">
        <f ca="1">AVERAGE(OFFSET($R$3,0,0,'Données projet'!$E$9+1,1))-AVERAGE(OFFSET($H$3,0,0,'Données projet'!$E$9+1,1))</f>
        <v>194.89717355535993</v>
      </c>
      <c r="T42" s="59">
        <f t="shared" si="34"/>
        <v>195.422737562245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24.970674897421556</v>
      </c>
      <c r="AA42" s="21">
        <f>EXP(-LN(2)/25)*AA41+(1-EXP(-LN(2)/25))/(LN(2)/25)*Calculateur!V42*Calculateur!X42*VLOOKUP('Données projet'!$B$9,Paramètres!$A$1:$I$89,3,0)*0.475*44/12</f>
        <v>17.240267766045161</v>
      </c>
      <c r="AB42" s="21">
        <f>EXP(-LN(2)/2)*AB41+(1-EXP(-LN(2)/2))/(LN(2)/2)*V42*Y42*VLOOKUP('Données projet'!$B$9,Paramètres!$A$1:$I$89,3,0)*0.475*44/12</f>
        <v>2.2090727171222504</v>
      </c>
      <c r="AC42" s="22">
        <f t="shared" si="3"/>
        <v>44.420015380588964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172.32695999999999</v>
      </c>
      <c r="BF42" s="13">
        <f t="shared" si="37"/>
        <v>43.61077213808133</v>
      </c>
      <c r="BG42" s="20">
        <f t="shared" si="7"/>
        <v>376.09155014049156</v>
      </c>
      <c r="BH42" s="59">
        <f t="shared" si="8"/>
        <v>669.42488347382482</v>
      </c>
      <c r="BI42" s="59">
        <f ca="1">AVERAGE(OFFSET($BH$3,0,0,'Données projet'!$E$11+1,1))-AVERAGE(OFFSET($H$3,0,0,'Données projet'!$E$11+1,1))</f>
        <v>273.69926316253162</v>
      </c>
      <c r="BJ42" s="59">
        <f t="shared" si="38"/>
        <v>270.78513558650451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10.486693573562217</v>
      </c>
      <c r="BQ42" s="21">
        <f>EXP(-LN(2)/25)*BQ41+(1-EXP(-LN(2)/25))/(LN(2)/25)*Calculateur!BL42*Calculateur!BN42*VLOOKUP('Données projet'!$B$11,Paramètres!$A$1:$I$89,3,0)*0.475*44/12</f>
        <v>13.213027652931551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23.699721226493768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5.4791666666666652</v>
      </c>
      <c r="BY42" s="12">
        <f>IF('Données projet'!$A$114&gt;35,BY41+BX42-CG41,IF(A42&lt;'Données projet'!$A$114,$BV$205^A42,IF(A42='Données projet'!$A$114,'Données projet'!$B$114,BY41+BX42-CG41)))</f>
        <v>124.6586538461539</v>
      </c>
      <c r="BZ42" s="13">
        <f>BY42*VLOOKUP('Données projet'!$B$12,Paramètres!$A$1:$I$89,3,0)*VLOOKUP('Données projet'!$B$12,Paramètres!$A$1:$I$89,5,0)</f>
        <v>112.79115000000004</v>
      </c>
      <c r="CA42" s="13">
        <f t="shared" si="39"/>
        <v>29.987639181649424</v>
      </c>
      <c r="CB42" s="20">
        <f t="shared" si="10"/>
        <v>248.67305782470615</v>
      </c>
      <c r="CC42" s="59">
        <f t="shared" si="11"/>
        <v>542.00639115803949</v>
      </c>
      <c r="CD42" s="59">
        <f ca="1">AVERAGE(OFFSET($CC$3,0,0,'Données projet'!$E$12+1,1))-AVERAGE(OFFSET($H$3,0,0,'Données projet'!$E$12+1,1))</f>
        <v>302.4170391346459</v>
      </c>
      <c r="CE42" s="59">
        <f t="shared" si="40"/>
        <v>114.18498182856115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13.141346156249998</v>
      </c>
      <c r="N43" s="13">
        <f>IF('Données projet'!$A$36&gt;35,N42+M43-V42,IF(A43&lt;'Données projet'!$A$36,$K$205^A43,IF(A43='Données projet'!$A$36,'Données projet'!$B$36,N42+M43-V42)))</f>
        <v>250.5884615749998</v>
      </c>
      <c r="O43" s="13">
        <f>N43*VLOOKUP('Données projet'!$B$9,Paramètres!$A$1:$I$89,3,0)*VLOOKUP('Données projet'!$B$9,Paramètres!$A$1:$I$89,5,0)</f>
        <v>149.8519000218499</v>
      </c>
      <c r="P43" s="13">
        <f t="shared" si="33"/>
        <v>38.544927434689342</v>
      </c>
      <c r="Q43" s="20">
        <f t="shared" si="53"/>
        <v>328.12447448680587</v>
      </c>
      <c r="R43" s="59">
        <f t="shared" si="0"/>
        <v>621.45780782013912</v>
      </c>
      <c r="S43" s="59">
        <f ca="1">AVERAGE(OFFSET($R$3,0,0,'Données projet'!$E$9+1,1))-AVERAGE(OFFSET($H$3,0,0,'Données projet'!$E$9+1,1))</f>
        <v>194.89717355535993</v>
      </c>
      <c r="T43" s="59">
        <f t="shared" si="34"/>
        <v>195.422737562245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24.481015193290908</v>
      </c>
      <c r="AA43" s="21">
        <f>EXP(-LN(2)/25)*AA42+(1-EXP(-LN(2)/25))/(LN(2)/25)*Calculateur!V43*Calculateur!X43*VLOOKUP('Données projet'!$B$9,Paramètres!$A$1:$I$89,3,0)*0.475*44/12</f>
        <v>16.768831737356376</v>
      </c>
      <c r="AB43" s="21">
        <f>EXP(-LN(2)/2)*AB42+(1-EXP(-LN(2)/2))/(LN(2)/2)*V43*Y43*VLOOKUP('Données projet'!$B$9,Paramètres!$A$1:$I$89,3,0)*0.475*44/12</f>
        <v>1.5620502984113351</v>
      </c>
      <c r="AC43" s="22">
        <f t="shared" si="3"/>
        <v>42.811897229058616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181.39680000000001</v>
      </c>
      <c r="BF43" s="13">
        <f t="shared" si="37"/>
        <v>45.63280848550832</v>
      </c>
      <c r="BG43" s="20">
        <f t="shared" si="7"/>
        <v>395.40990144559368</v>
      </c>
      <c r="BH43" s="59">
        <f t="shared" si="8"/>
        <v>688.74323477892699</v>
      </c>
      <c r="BI43" s="59">
        <f ca="1">AVERAGE(OFFSET($BH$3,0,0,'Données projet'!$E$11+1,1))-AVERAGE(OFFSET($H$3,0,0,'Données projet'!$E$11+1,1))</f>
        <v>273.69926316253162</v>
      </c>
      <c r="BJ43" s="59">
        <f t="shared" si="38"/>
        <v>270.78513558650451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0.37630000000000002</v>
      </c>
      <c r="BN43" s="16">
        <f>IF(ISNA(VLOOKUP(A43,'Données projet'!$A$87:$I$107,6,0)),0%,VLOOKUP(A43,'Données projet'!$A$87:$I$107,6,0)*VLOOKUP('Données projet'!$B$11,Paramètres!$A$1:$I$89,7,0))</f>
        <v>0.10600000000000001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21.864671786159132</v>
      </c>
      <c r="BQ43" s="21">
        <f>EXP(-LN(2)/25)*BQ42+(1-EXP(-LN(2)/25))/(LN(2)/25)*Calculateur!BL43*Calculateur!BN43*VLOOKUP('Données projet'!$B$11,Paramètres!$A$1:$I$89,3,0)*0.475*44/12</f>
        <v>16.10185946844323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37.966531254602359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5.4791666666666652</v>
      </c>
      <c r="BY43" s="12">
        <f>IF('Données projet'!$A$114&gt;35,BY42+BX43-CG42,IF(A43&lt;'Données projet'!$A$114,$BV$205^A43,IF(A43='Données projet'!$A$114,'Données projet'!$B$114,BY42+BX43-CG42)))</f>
        <v>130.13782051282055</v>
      </c>
      <c r="BZ43" s="13">
        <f>BY43*VLOOKUP('Données projet'!$B$12,Paramètres!$A$1:$I$89,3,0)*VLOOKUP('Données projet'!$B$12,Paramètres!$A$1:$I$89,5,0)</f>
        <v>117.74870000000004</v>
      </c>
      <c r="CA43" s="13">
        <f t="shared" si="39"/>
        <v>31.149343173536209</v>
      </c>
      <c r="CB43" s="20">
        <f t="shared" si="10"/>
        <v>259.33075852724227</v>
      </c>
      <c r="CC43" s="59">
        <f t="shared" si="11"/>
        <v>552.66409186057558</v>
      </c>
      <c r="CD43" s="59">
        <f ca="1">AVERAGE(OFFSET($CC$3,0,0,'Données projet'!$E$12+1,1))-AVERAGE(OFFSET($H$3,0,0,'Données projet'!$E$12+1,1))</f>
        <v>302.4170391346459</v>
      </c>
      <c r="CE43" s="59">
        <f t="shared" si="40"/>
        <v>114.18498182856115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13.141346156249998</v>
      </c>
      <c r="N44" s="13">
        <f>IF('Données projet'!$A$36&gt;35,N43+M44-V43,IF(A44&lt;'Données projet'!$A$36,$K$205^A44,IF(A44='Données projet'!$A$36,'Données projet'!$B$36,N43+M44-V43)))</f>
        <v>263.72980773124982</v>
      </c>
      <c r="O44" s="13">
        <f>N44*VLOOKUP('Données projet'!$B$9,Paramètres!$A$1:$I$89,3,0)*VLOOKUP('Données projet'!$B$9,Paramètres!$A$1:$I$89,5,0)</f>
        <v>157.7104250232874</v>
      </c>
      <c r="P44" s="13">
        <f t="shared" si="33"/>
        <v>40.325662980335863</v>
      </c>
      <c r="Q44" s="20">
        <f t="shared" si="53"/>
        <v>344.9128532729772</v>
      </c>
      <c r="R44" s="59">
        <f t="shared" si="0"/>
        <v>638.24618660631052</v>
      </c>
      <c r="S44" s="59">
        <f ca="1">AVERAGE(OFFSET($R$3,0,0,'Données projet'!$E$9+1,1))-AVERAGE(OFFSET($H$3,0,0,'Données projet'!$E$9+1,1))</f>
        <v>194.89717355535993</v>
      </c>
      <c r="T44" s="59">
        <f t="shared" si="34"/>
        <v>195.422737562245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24.000957417295336</v>
      </c>
      <c r="AA44" s="21">
        <f>EXP(-LN(2)/25)*AA43+(1-EXP(-LN(2)/25))/(LN(2)/25)*Calculateur!V44*Calculateur!X44*VLOOKUP('Données projet'!$B$9,Paramètres!$A$1:$I$89,3,0)*0.475*44/12</f>
        <v>16.310287151663829</v>
      </c>
      <c r="AB44" s="21">
        <f>EXP(-LN(2)/2)*AB43+(1-EXP(-LN(2)/2))/(LN(2)/2)*V44*Y44*VLOOKUP('Données projet'!$B$9,Paramètres!$A$1:$I$89,3,0)*0.475*44/12</f>
        <v>1.1045363585611252</v>
      </c>
      <c r="AC44" s="22">
        <f t="shared" si="3"/>
        <v>41.415780927520295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161.34768000000003</v>
      </c>
      <c r="BF44" s="13">
        <f t="shared" si="37"/>
        <v>41.146339844316657</v>
      </c>
      <c r="BG44" s="20">
        <f t="shared" si="7"/>
        <v>352.6770845621848</v>
      </c>
      <c r="BH44" s="59">
        <f t="shared" si="8"/>
        <v>646.01041789551812</v>
      </c>
      <c r="BI44" s="59">
        <f ca="1">AVERAGE(OFFSET($BH$3,0,0,'Données projet'!$E$11+1,1))-AVERAGE(OFFSET($H$3,0,0,'Données projet'!$E$11+1,1))</f>
        <v>273.69926316253162</v>
      </c>
      <c r="BJ44" s="59">
        <f t="shared" si="38"/>
        <v>270.78513558650451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21.435918908565508</v>
      </c>
      <c r="BQ44" s="21">
        <f>EXP(-LN(2)/25)*BQ43+(1-EXP(-LN(2)/25))/(LN(2)/25)*Calculateur!BL44*Calculateur!BN44*VLOOKUP('Données projet'!$B$11,Paramètres!$A$1:$I$89,3,0)*0.475*44/12</f>
        <v>15.661553274518662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37.097472183084172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5.4791666666666652</v>
      </c>
      <c r="BY44" s="12">
        <f>IF('Données projet'!$A$114&gt;35,BY43+BX44-CG43,IF(A44&lt;'Données projet'!$A$114,$BV$205^A44,IF(A44='Données projet'!$A$114,'Données projet'!$B$114,BY43+BX44-CG43)))</f>
        <v>135.61698717948721</v>
      </c>
      <c r="BZ44" s="13">
        <f>BY44*VLOOKUP('Données projet'!$B$12,Paramètres!$A$1:$I$89,3,0)*VLOOKUP('Données projet'!$B$12,Paramètres!$A$1:$I$89,5,0)</f>
        <v>122.70625000000004</v>
      </c>
      <c r="CA44" s="13">
        <f t="shared" si="39"/>
        <v>32.305366081384335</v>
      </c>
      <c r="CB44" s="20">
        <f t="shared" si="10"/>
        <v>269.97856467507779</v>
      </c>
      <c r="CC44" s="59">
        <f t="shared" si="11"/>
        <v>563.31189800841116</v>
      </c>
      <c r="CD44" s="59">
        <f ca="1">AVERAGE(OFFSET($CC$3,0,0,'Données projet'!$E$12+1,1))-AVERAGE(OFFSET($H$3,0,0,'Données projet'!$E$12+1,1))</f>
        <v>302.4170391346459</v>
      </c>
      <c r="CE44" s="59">
        <f t="shared" si="40"/>
        <v>114.18498182856115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13.141346156249998</v>
      </c>
      <c r="N45" s="13">
        <f>IF('Données projet'!$A$36&gt;35,N44+M45-V44,IF(A45&lt;'Données projet'!$A$36,$K$205^A45,IF(A45='Données projet'!$A$36,'Données projet'!$B$36,N44+M45-V44)))</f>
        <v>276.87115388749982</v>
      </c>
      <c r="O45" s="13">
        <f>N45*VLOOKUP('Données projet'!$B$9,Paramètres!$A$1:$I$89,3,0)*VLOOKUP('Données projet'!$B$9,Paramètres!$A$1:$I$89,5,0)</f>
        <v>165.5689500247249</v>
      </c>
      <c r="P45" s="13">
        <f t="shared" si="33"/>
        <v>42.096095519640414</v>
      </c>
      <c r="Q45" s="20">
        <f t="shared" si="53"/>
        <v>361.68328765643622</v>
      </c>
      <c r="R45" s="59">
        <f t="shared" si="0"/>
        <v>655.01662098976954</v>
      </c>
      <c r="S45" s="59">
        <f ca="1">AVERAGE(OFFSET($R$3,0,0,'Données projet'!$E$9+1,1))-AVERAGE(OFFSET($H$3,0,0,'Données projet'!$E$9+1,1))</f>
        <v>194.89717355535993</v>
      </c>
      <c r="T45" s="59">
        <f t="shared" si="34"/>
        <v>195.422737562245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23.530313281480705</v>
      </c>
      <c r="AA45" s="21">
        <f>EXP(-LN(2)/25)*AA44+(1-EXP(-LN(2)/25))/(LN(2)/25)*Calculateur!V45*Calculateur!X45*VLOOKUP('Données projet'!$B$9,Paramètres!$A$1:$I$89,3,0)*0.475*44/12</f>
        <v>15.864281491780858</v>
      </c>
      <c r="AB45" s="21">
        <f>EXP(-LN(2)/2)*AB44+(1-EXP(-LN(2)/2))/(LN(2)/2)*V45*Y45*VLOOKUP('Données projet'!$B$9,Paramètres!$A$1:$I$89,3,0)*0.475*44/12</f>
        <v>0.78102514920566757</v>
      </c>
      <c r="AC45" s="22">
        <f t="shared" si="3"/>
        <v>40.175619922467227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169.14456000000004</v>
      </c>
      <c r="BF45" s="13">
        <f t="shared" si="37"/>
        <v>42.898377267189964</v>
      </c>
      <c r="BG45" s="20">
        <f t="shared" si="7"/>
        <v>369.30811574035596</v>
      </c>
      <c r="BH45" s="59">
        <f t="shared" si="8"/>
        <v>662.64144907368927</v>
      </c>
      <c r="BI45" s="59">
        <f ca="1">AVERAGE(OFFSET($BH$3,0,0,'Données projet'!$E$11+1,1))-AVERAGE(OFFSET($H$3,0,0,'Données projet'!$E$11+1,1))</f>
        <v>273.69926316253162</v>
      </c>
      <c r="BJ45" s="59">
        <f t="shared" si="38"/>
        <v>270.78513558650451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21.01557361338806</v>
      </c>
      <c r="BQ45" s="21">
        <f>EXP(-LN(2)/25)*BQ44+(1-EXP(-LN(2)/25))/(LN(2)/25)*Calculateur!BL45*Calculateur!BN45*VLOOKUP('Données projet'!$B$11,Paramètres!$A$1:$I$89,3,0)*0.475*44/12</f>
        <v>15.233287276621658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36.248860890009716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141.09615384615384</v>
      </c>
      <c r="BW45" s="12">
        <f>VLOOKUP(A45,'Données projet'!$A$113:$I$133,9,0)</f>
        <v>5.4791666666666652</v>
      </c>
      <c r="BX45" s="12">
        <f t="array" ref="BX45">INDEX(BW:BW,MIN(IF(ISNUMBER(BW45:BW241),ROW(BW45:BW241),"")))</f>
        <v>5.4791666666666652</v>
      </c>
      <c r="BY45" s="12">
        <f>IF('Données projet'!$A$114&gt;35,BY44+BX45-CG44,IF(A45&lt;'Données projet'!$A$114,$BV$205^A45,IF(A45='Données projet'!$A$114,'Données projet'!$B$114,BY44+BX45-CG44)))</f>
        <v>141.09615384615387</v>
      </c>
      <c r="BZ45" s="13">
        <f>BY45*VLOOKUP('Données projet'!$B$12,Paramètres!$A$1:$I$89,3,0)*VLOOKUP('Données projet'!$B$12,Paramètres!$A$1:$I$89,5,0)</f>
        <v>127.66380000000002</v>
      </c>
      <c r="CA45" s="13">
        <f t="shared" si="39"/>
        <v>33.455963688122218</v>
      </c>
      <c r="CB45" s="20">
        <f t="shared" si="10"/>
        <v>280.61692175681293</v>
      </c>
      <c r="CC45" s="59">
        <f t="shared" si="11"/>
        <v>573.95025509014624</v>
      </c>
      <c r="CD45" s="59">
        <f ca="1">AVERAGE(OFFSET($CC$3,0,0,'Données projet'!$E$12+1,1))-AVERAGE(OFFSET($H$3,0,0,'Données projet'!$E$12+1,1))</f>
        <v>302.4170391346459</v>
      </c>
      <c r="CE45" s="59">
        <f t="shared" si="40"/>
        <v>114.18498182856115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38.685897435897438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13.141346156249998</v>
      </c>
      <c r="N46" s="13">
        <f>IF('Données projet'!$A$36&gt;35,N45+M46-V45,IF(A46&lt;'Données projet'!$A$36,$K$205^A46,IF(A46='Données projet'!$A$36,'Données projet'!$B$36,N45+M46-V45)))</f>
        <v>290.01250004374981</v>
      </c>
      <c r="O46" s="13">
        <f>N46*VLOOKUP('Données projet'!$B$9,Paramètres!$A$1:$I$89,3,0)*VLOOKUP('Données projet'!$B$9,Paramètres!$A$1:$I$89,5,0)</f>
        <v>173.4274750261624</v>
      </c>
      <c r="P46" s="13">
        <f t="shared" si="33"/>
        <v>43.856769907026361</v>
      </c>
      <c r="Q46" s="20">
        <f t="shared" si="53"/>
        <v>378.4367265919704</v>
      </c>
      <c r="R46" s="59">
        <f t="shared" si="0"/>
        <v>671.77005992530371</v>
      </c>
      <c r="S46" s="59">
        <f ca="1">AVERAGE(OFFSET($R$3,0,0,'Données projet'!$E$9+1,1))-AVERAGE(OFFSET($H$3,0,0,'Données projet'!$E$9+1,1))</f>
        <v>194.89717355535993</v>
      </c>
      <c r="T46" s="59">
        <f t="shared" si="34"/>
        <v>195.422737562245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23.068898190104822</v>
      </c>
      <c r="AA46" s="21">
        <f>EXP(-LN(2)/25)*AA45+(1-EXP(-LN(2)/25))/(LN(2)/25)*Calculateur!V46*Calculateur!X46*VLOOKUP('Données projet'!$B$9,Paramètres!$A$1:$I$89,3,0)*0.475*44/12</f>
        <v>15.430471880121805</v>
      </c>
      <c r="AB46" s="21">
        <f>EXP(-LN(2)/2)*AB45+(1-EXP(-LN(2)/2))/(LN(2)/2)*V46*Y46*VLOOKUP('Données projet'!$B$9,Paramètres!$A$1:$I$89,3,0)*0.475*44/12</f>
        <v>0.5522681792805626</v>
      </c>
      <c r="AC46" s="22">
        <f t="shared" si="3"/>
        <v>39.051638249507185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176.94144000000003</v>
      </c>
      <c r="BF46" s="13">
        <f t="shared" si="37"/>
        <v>44.641035679901449</v>
      </c>
      <c r="BG46" s="20">
        <f t="shared" si="7"/>
        <v>385.92281180916171</v>
      </c>
      <c r="BH46" s="59">
        <f t="shared" si="8"/>
        <v>679.25614514249503</v>
      </c>
      <c r="BI46" s="59">
        <f ca="1">AVERAGE(OFFSET($BH$3,0,0,'Données projet'!$E$11+1,1))-AVERAGE(OFFSET($H$3,0,0,'Données projet'!$E$11+1,1))</f>
        <v>273.69926316253162</v>
      </c>
      <c r="BJ46" s="59">
        <f t="shared" si="38"/>
        <v>270.78513558650451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20.60347103306373</v>
      </c>
      <c r="BQ46" s="21">
        <f>EXP(-LN(2)/25)*BQ45+(1-EXP(-LN(2)/25))/(LN(2)/25)*Calculateur!BL46*Calculateur!BN46*VLOOKUP('Données projet'!$B$11,Paramètres!$A$1:$I$89,3,0)*0.475*44/12</f>
        <v>14.816732234958677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35.420203268022405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7.143429487179489</v>
      </c>
      <c r="BY46" s="12">
        <f>IF('Données projet'!$A$114&gt;35,BY45+BX46-CG45,IF(A46&lt;'Données projet'!$A$114,$BV$205^A46,IF(A46='Données projet'!$A$114,'Données projet'!$B$114,BY45+BX46-CG45)))</f>
        <v>109.55368589743594</v>
      </c>
      <c r="BZ46" s="13">
        <f>BY46*VLOOKUP('Données projet'!$B$12,Paramètres!$A$1:$I$89,3,0)*VLOOKUP('Données projet'!$B$12,Paramètres!$A$1:$I$89,5,0)</f>
        <v>99.124175000000037</v>
      </c>
      <c r="CA46" s="13">
        <f t="shared" si="39"/>
        <v>26.753237614333433</v>
      </c>
      <c r="CB46" s="20">
        <f t="shared" si="10"/>
        <v>219.2364936366308</v>
      </c>
      <c r="CC46" s="59">
        <f t="shared" si="11"/>
        <v>512.56982696996408</v>
      </c>
      <c r="CD46" s="59">
        <f ca="1">AVERAGE(OFFSET($CC$3,0,0,'Données projet'!$E$12+1,1))-AVERAGE(OFFSET($H$3,0,0,'Données projet'!$E$12+1,1))</f>
        <v>302.4170391346459</v>
      </c>
      <c r="CE46" s="59">
        <f t="shared" si="40"/>
        <v>114.18498182856115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303.15384619999998</v>
      </c>
      <c r="L47" s="12">
        <f>VLOOKUP(A47,'Données projet'!$A$35:$I$55,9,0)</f>
        <v>13.141346156249998</v>
      </c>
      <c r="M47" s="12">
        <f t="array" ref="M47">INDEX(L:L,MIN(IF(ISNUMBER(L47:L243),ROW(L47:L243),"")))</f>
        <v>13.141346156249998</v>
      </c>
      <c r="N47" s="13">
        <f>IF('Données projet'!$A$36&gt;35,N46+M47-V46,IF(A47&lt;'Données projet'!$A$36,$K$205^A47,IF(A47='Données projet'!$A$36,'Données projet'!$B$36,N46+M47-V46)))</f>
        <v>303.1538461999998</v>
      </c>
      <c r="O47" s="13">
        <f>N47*VLOOKUP('Données projet'!$B$9,Paramètres!$A$1:$I$89,3,0)*VLOOKUP('Données projet'!$B$9,Paramètres!$A$1:$I$89,5,0)</f>
        <v>181.28600002759993</v>
      </c>
      <c r="P47" s="13">
        <f t="shared" si="33"/>
        <v>45.608178827671999</v>
      </c>
      <c r="Q47" s="20">
        <f t="shared" si="53"/>
        <v>395.17402817293191</v>
      </c>
      <c r="R47" s="59">
        <f t="shared" si="0"/>
        <v>688.50736150626517</v>
      </c>
      <c r="S47" s="59">
        <f ca="1">AVERAGE(OFFSET($R$3,0,0,'Données projet'!$E$9+1,1))-AVERAGE(OFFSET($H$3,0,0,'Données projet'!$E$9+1,1))</f>
        <v>194.89717355535993</v>
      </c>
      <c r="T47" s="59">
        <f t="shared" si="34"/>
        <v>195.422737562245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64.476923080000006</v>
      </c>
      <c r="W47" s="16">
        <f>IF(ISNA(VLOOKUP(A47,'Données projet'!$A$35:$I$55,5,0)),0%,VLOOKUP(A47,'Données projet'!$A$35:$I$55,5,0)*VLOOKUP('Données projet'!$B$9,Paramètres!$A$1:$I$89,7,0))</f>
        <v>0.315</v>
      </c>
      <c r="X47" s="16">
        <f>IF(ISNA(VLOOKUP(A47,'Données projet'!$A$35:$I$55,6,0)),0%,VLOOKUP(A47,'Données projet'!$A$35:$I$55,6,0)*VLOOKUP('Données projet'!$B$9,Paramètres!$A$1:$I$89,7,0))</f>
        <v>7.6500000000000012E-2</v>
      </c>
      <c r="Y47" s="16">
        <f>IF(ISNA(VLOOKUP(A47,'Données projet'!$A$35:$I$55,7,0)),0%,VLOOKUP(A47,'Données projet'!$A$35:$I$55,7,0))</f>
        <v>0.13</v>
      </c>
      <c r="Z47" s="21">
        <f>EXP(-LN(2)/35)*Z46+(1-EXP(-LN(2)/35))/(LN(2)/35)*V47*W47*VLOOKUP('Données projet'!$B$9,Paramètres!$A$1:$I$89,3,0)*0.475*44/12</f>
        <v>38.728343639705415</v>
      </c>
      <c r="AA47" s="21">
        <f>EXP(-LN(2)/25)*AA46+(1-EXP(-LN(2)/25))/(LN(2)/25)*Calculateur!V47*Calculateur!X47*VLOOKUP('Données projet'!$B$9,Paramètres!$A$1:$I$89,3,0)*0.475*44/12</f>
        <v>18.905987103258468</v>
      </c>
      <c r="AB47" s="21">
        <f>EXP(-LN(2)/2)*AB46+(1-EXP(-LN(2)/2))/(LN(2)/2)*V47*Y47*VLOOKUP('Données projet'!$B$9,Paramètres!$A$1:$I$89,3,0)*0.475*44/12</f>
        <v>6.0657545033580336</v>
      </c>
      <c r="AC47" s="22">
        <f t="shared" si="3"/>
        <v>63.700085246321919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184.73832000000004</v>
      </c>
      <c r="BF47" s="13">
        <f t="shared" si="37"/>
        <v>46.374775595471988</v>
      </c>
      <c r="BG47" s="20">
        <f t="shared" si="7"/>
        <v>402.52197482878046</v>
      </c>
      <c r="BH47" s="59">
        <f t="shared" si="8"/>
        <v>695.85530816211372</v>
      </c>
      <c r="BI47" s="59">
        <f ca="1">AVERAGE(OFFSET($BH$3,0,0,'Données projet'!$E$11+1,1))-AVERAGE(OFFSET($H$3,0,0,'Données projet'!$E$11+1,1))</f>
        <v>273.69926316253162</v>
      </c>
      <c r="BJ47" s="59">
        <f t="shared" si="38"/>
        <v>270.78513558650451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20.199449532981806</v>
      </c>
      <c r="BQ47" s="21">
        <f>EXP(-LN(2)/25)*BQ46+(1-EXP(-LN(2)/25))/(LN(2)/25)*Calculateur!BL47*Calculateur!BN47*VLOOKUP('Données projet'!$B$11,Paramètres!$A$1:$I$89,3,0)*0.475*44/12</f>
        <v>14.411567912815647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34.611017445797451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7.143429487179489</v>
      </c>
      <c r="BY47" s="12">
        <f>IF('Données projet'!$A$114&gt;35,BY46+BX47-CG46,IF(A47&lt;'Données projet'!$A$114,$BV$205^A47,IF(A47='Données projet'!$A$114,'Données projet'!$B$114,BY46+BX47-CG46)))</f>
        <v>116.69711538461543</v>
      </c>
      <c r="BZ47" s="13">
        <f>BY47*VLOOKUP('Données projet'!$B$12,Paramètres!$A$1:$I$89,3,0)*VLOOKUP('Données projet'!$B$12,Paramètres!$A$1:$I$89,5,0)</f>
        <v>105.58755000000002</v>
      </c>
      <c r="CA47" s="13">
        <f t="shared" si="39"/>
        <v>28.288912863611589</v>
      </c>
      <c r="CB47" s="20">
        <f t="shared" si="10"/>
        <v>233.16817282079023</v>
      </c>
      <c r="CC47" s="59">
        <f t="shared" si="11"/>
        <v>526.50150615412349</v>
      </c>
      <c r="CD47" s="59">
        <f ca="1">AVERAGE(OFFSET($CC$3,0,0,'Données projet'!$E$12+1,1))-AVERAGE(OFFSET($H$3,0,0,'Données projet'!$E$12+1,1))</f>
        <v>302.4170391346459</v>
      </c>
      <c r="CE47" s="59">
        <f t="shared" si="40"/>
        <v>114.18498182856115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11.642307685000006</v>
      </c>
      <c r="N48" s="13">
        <f>IF('Données projet'!$A$36&gt;35,N47+M48-V47,IF(A48&lt;'Données projet'!$A$36,$K$205^A48,IF(A48='Données projet'!$A$36,'Données projet'!$B$36,N47+M48-V47)))</f>
        <v>250.31923080499979</v>
      </c>
      <c r="O48" s="13">
        <f>N48*VLOOKUP('Données projet'!$B$9,Paramètres!$A$1:$I$89,3,0)*VLOOKUP('Données projet'!$B$9,Paramètres!$A$1:$I$89,5,0)</f>
        <v>149.69090002138989</v>
      </c>
      <c r="P48" s="13">
        <f t="shared" si="33"/>
        <v>38.508333110656025</v>
      </c>
      <c r="Q48" s="20">
        <f t="shared" si="53"/>
        <v>327.78033103831331</v>
      </c>
      <c r="R48" s="59">
        <f t="shared" si="0"/>
        <v>621.11366437164656</v>
      </c>
      <c r="S48" s="59">
        <f ca="1">AVERAGE(OFFSET($R$3,0,0,'Données projet'!$E$9+1,1))-AVERAGE(OFFSET($H$3,0,0,'Données projet'!$E$9+1,1))</f>
        <v>194.89717355535993</v>
      </c>
      <c r="T48" s="59">
        <f t="shared" si="34"/>
        <v>195.422737562245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37.96890444288794</v>
      </c>
      <c r="AA48" s="21">
        <f>EXP(-LN(2)/25)*AA47+(1-EXP(-LN(2)/25))/(LN(2)/25)*Calculateur!V48*Calculateur!X48*VLOOKUP('Données projet'!$B$9,Paramètres!$A$1:$I$89,3,0)*0.475*44/12</f>
        <v>18.389001891697212</v>
      </c>
      <c r="AB48" s="21">
        <f>EXP(-LN(2)/2)*AB47+(1-EXP(-LN(2)/2))/(LN(2)/2)*V48*Y48*VLOOKUP('Données projet'!$B$9,Paramètres!$A$1:$I$89,3,0)*0.475*44/12</f>
        <v>4.2891361423373047</v>
      </c>
      <c r="AC48" s="22">
        <f t="shared" si="3"/>
        <v>60.647042476922458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192.53520000000006</v>
      </c>
      <c r="BF48" s="13">
        <f t="shared" si="37"/>
        <v>48.100016456123079</v>
      </c>
      <c r="BG48" s="20">
        <f t="shared" si="7"/>
        <v>419.10633532774779</v>
      </c>
      <c r="BH48" s="59">
        <f t="shared" si="8"/>
        <v>712.4396686610811</v>
      </c>
      <c r="BI48" s="59">
        <f ca="1">AVERAGE(OFFSET($BH$3,0,0,'Données projet'!$E$11+1,1))-AVERAGE(OFFSET($H$3,0,0,'Données projet'!$E$11+1,1))</f>
        <v>273.69926316253162</v>
      </c>
      <c r="BJ48" s="59">
        <f t="shared" si="38"/>
        <v>270.78513558650451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0.43990000000000001</v>
      </c>
      <c r="BN48" s="16">
        <f>IF(ISNA(VLOOKUP(A48,'Données projet'!$A$87:$I$107,6,0)),0%,VLOOKUP(A48,'Données projet'!$A$87:$I$107,6,0)*VLOOKUP('Données projet'!$B$11,Paramètres!$A$1:$I$89,7,0))</f>
        <v>6.8900000000000003E-2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29.088889009305952</v>
      </c>
      <c r="BQ48" s="21">
        <f>EXP(-LN(2)/25)*BQ47+(1-EXP(-LN(2)/25))/(LN(2)/25)*Calculateur!BL48*Calculateur!BN48*VLOOKUP('Données projet'!$B$11,Paramètres!$A$1:$I$89,3,0)*0.475*44/12</f>
        <v>15.466117885333276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44.555006894639227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7.143429487179489</v>
      </c>
      <c r="BY48" s="12">
        <f>IF('Données projet'!$A$114&gt;35,BY47+BX48-CG47,IF(A48&lt;'Données projet'!$A$114,$BV$205^A48,IF(A48='Données projet'!$A$114,'Données projet'!$B$114,BY47+BX48-CG47)))</f>
        <v>123.84054487179492</v>
      </c>
      <c r="BZ48" s="13">
        <f>BY48*VLOOKUP('Données projet'!$B$12,Paramètres!$A$1:$I$89,3,0)*VLOOKUP('Données projet'!$B$12,Paramètres!$A$1:$I$89,5,0)</f>
        <v>112.05092500000003</v>
      </c>
      <c r="CA48" s="13">
        <f t="shared" si="39"/>
        <v>29.813677753924459</v>
      </c>
      <c r="CB48" s="20">
        <f t="shared" si="10"/>
        <v>247.08084979641851</v>
      </c>
      <c r="CC48" s="59">
        <f t="shared" si="11"/>
        <v>540.41418312975179</v>
      </c>
      <c r="CD48" s="59">
        <f ca="1">AVERAGE(OFFSET($CC$3,0,0,'Données projet'!$E$12+1,1))-AVERAGE(OFFSET($H$3,0,0,'Données projet'!$E$12+1,1))</f>
        <v>302.4170391346459</v>
      </c>
      <c r="CE48" s="59">
        <f t="shared" si="40"/>
        <v>114.18498182856115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11.642307685000006</v>
      </c>
      <c r="N49" s="13">
        <f>IF('Données projet'!$A$36&gt;35,N48+M49-V48,IF(A49&lt;'Données projet'!$A$36,$K$205^A49,IF(A49='Données projet'!$A$36,'Données projet'!$B$36,N48+M49-V48)))</f>
        <v>261.96153848999978</v>
      </c>
      <c r="O49" s="13">
        <f>N49*VLOOKUP('Données projet'!$B$9,Paramètres!$A$1:$I$89,3,0)*VLOOKUP('Données projet'!$B$9,Paramètres!$A$1:$I$89,5,0)</f>
        <v>156.65300001701988</v>
      </c>
      <c r="P49" s="13">
        <f t="shared" si="33"/>
        <v>40.086663883204842</v>
      </c>
      <c r="Q49" s="20">
        <f t="shared" si="53"/>
        <v>342.65491462622475</v>
      </c>
      <c r="R49" s="59">
        <f t="shared" si="0"/>
        <v>635.98824795955807</v>
      </c>
      <c r="S49" s="59">
        <f ca="1">AVERAGE(OFFSET($R$3,0,0,'Données projet'!$E$9+1,1))-AVERAGE(OFFSET($H$3,0,0,'Données projet'!$E$9+1,1))</f>
        <v>194.89717355535993</v>
      </c>
      <c r="T49" s="59">
        <f t="shared" si="34"/>
        <v>195.422737562245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37.224357385507879</v>
      </c>
      <c r="AA49" s="21">
        <f>EXP(-LN(2)/25)*AA48+(1-EXP(-LN(2)/25))/(LN(2)/25)*Calculateur!V49*Calculateur!X49*VLOOKUP('Données projet'!$B$9,Paramètres!$A$1:$I$89,3,0)*0.475*44/12</f>
        <v>17.886153667933172</v>
      </c>
      <c r="AB49" s="21">
        <f>EXP(-LN(2)/2)*AB48+(1-EXP(-LN(2)/2))/(LN(2)/2)*V49*Y49*VLOOKUP('Données projet'!$B$9,Paramètres!$A$1:$I$89,3,0)*0.475*44/12</f>
        <v>3.0328772516790172</v>
      </c>
      <c r="AC49" s="22">
        <f t="shared" si="3"/>
        <v>58.14338830512007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180.28296000000006</v>
      </c>
      <c r="BF49" s="13">
        <f t="shared" si="37"/>
        <v>45.385133797071397</v>
      </c>
      <c r="BG49" s="20">
        <f t="shared" si="7"/>
        <v>393.03859669656612</v>
      </c>
      <c r="BH49" s="59">
        <f t="shared" si="8"/>
        <v>686.37193002989943</v>
      </c>
      <c r="BI49" s="59">
        <f ca="1">AVERAGE(OFFSET($BH$3,0,0,'Données projet'!$E$11+1,1))-AVERAGE(OFFSET($H$3,0,0,'Données projet'!$E$11+1,1))</f>
        <v>273.69926316253162</v>
      </c>
      <c r="BJ49" s="59">
        <f t="shared" si="38"/>
        <v>270.78513558650451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28.518473638303835</v>
      </c>
      <c r="BQ49" s="21">
        <f>EXP(-LN(2)/25)*BQ48+(1-EXP(-LN(2)/25))/(LN(2)/25)*Calculateur!BL49*Calculateur!BN49*VLOOKUP('Données projet'!$B$11,Paramètres!$A$1:$I$89,3,0)*0.475*44/12</f>
        <v>15.043196078431047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43.561669716734883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7.143429487179489</v>
      </c>
      <c r="BY49" s="12">
        <f>IF('Données projet'!$A$114&gt;35,BY48+BX49-CG48,IF(A49&lt;'Données projet'!$A$114,$BV$205^A49,IF(A49='Données projet'!$A$114,'Données projet'!$B$114,BY48+BX49-CG48)))</f>
        <v>130.98397435897442</v>
      </c>
      <c r="BZ49" s="13">
        <f>BY49*VLOOKUP('Données projet'!$B$12,Paramètres!$A$1:$I$89,3,0)*VLOOKUP('Données projet'!$B$12,Paramètres!$A$1:$I$89,5,0)</f>
        <v>118.51430000000005</v>
      </c>
      <c r="CA49" s="13">
        <f t="shared" si="39"/>
        <v>31.328233322607296</v>
      </c>
      <c r="CB49" s="20">
        <f t="shared" si="10"/>
        <v>260.97574553687451</v>
      </c>
      <c r="CC49" s="59">
        <f t="shared" si="11"/>
        <v>554.30907887020783</v>
      </c>
      <c r="CD49" s="59">
        <f ca="1">AVERAGE(OFFSET($CC$3,0,0,'Données projet'!$E$12+1,1))-AVERAGE(OFFSET($H$3,0,0,'Données projet'!$E$12+1,1))</f>
        <v>302.4170391346459</v>
      </c>
      <c r="CE49" s="59">
        <f t="shared" si="40"/>
        <v>114.18498182856115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11.642307685000006</v>
      </c>
      <c r="N50" s="13">
        <f>IF('Données projet'!$A$36&gt;35,N49+M50-V49,IF(A50&lt;'Données projet'!$A$36,$K$205^A50,IF(A50='Données projet'!$A$36,'Données projet'!$B$36,N49+M50-V49)))</f>
        <v>273.60384617499977</v>
      </c>
      <c r="O50" s="13">
        <f>N50*VLOOKUP('Données projet'!$B$9,Paramètres!$A$1:$I$89,3,0)*VLOOKUP('Données projet'!$B$9,Paramètres!$A$1:$I$89,5,0)</f>
        <v>163.61510001264989</v>
      </c>
      <c r="P50" s="13">
        <f t="shared" si="33"/>
        <v>41.656847975137872</v>
      </c>
      <c r="Q50" s="20">
        <f t="shared" si="53"/>
        <v>357.51530941206369</v>
      </c>
      <c r="R50" s="59">
        <f t="shared" si="0"/>
        <v>650.848642745397</v>
      </c>
      <c r="S50" s="59">
        <f ca="1">AVERAGE(OFFSET($R$3,0,0,'Données projet'!$E$9+1,1))-AVERAGE(OFFSET($H$3,0,0,'Données projet'!$E$9+1,1))</f>
        <v>194.89717355535993</v>
      </c>
      <c r="T50" s="59">
        <f t="shared" si="34"/>
        <v>195.422737562245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36.49441044179418</v>
      </c>
      <c r="AA50" s="21">
        <f>EXP(-LN(2)/25)*AA49+(1-EXP(-LN(2)/25))/(LN(2)/25)*Calculateur!V50*Calculateur!X50*VLOOKUP('Données projet'!$B$9,Paramètres!$A$1:$I$89,3,0)*0.475*44/12</f>
        <v>17.397055855291597</v>
      </c>
      <c r="AB50" s="21">
        <f>EXP(-LN(2)/2)*AB49+(1-EXP(-LN(2)/2))/(LN(2)/2)*V50*Y50*VLOOKUP('Données projet'!$B$9,Paramètres!$A$1:$I$89,3,0)*0.475*44/12</f>
        <v>2.1445680711686528</v>
      </c>
      <c r="AC50" s="22">
        <f t="shared" si="3"/>
        <v>56.036034368254434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187.12512000000004</v>
      </c>
      <c r="BF50" s="13">
        <f t="shared" si="37"/>
        <v>46.903794805770545</v>
      </c>
      <c r="BG50" s="20">
        <f t="shared" si="7"/>
        <v>407.60035995338376</v>
      </c>
      <c r="BH50" s="59">
        <f t="shared" si="8"/>
        <v>700.93369328671702</v>
      </c>
      <c r="BI50" s="59">
        <f ca="1">AVERAGE(OFFSET($BH$3,0,0,'Données projet'!$E$11+1,1))-AVERAGE(OFFSET($H$3,0,0,'Données projet'!$E$11+1,1))</f>
        <v>273.69926316253162</v>
      </c>
      <c r="BJ50" s="59">
        <f t="shared" si="38"/>
        <v>270.78513558650451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27.959243764808047</v>
      </c>
      <c r="BQ50" s="21">
        <f>EXP(-LN(2)/25)*BQ49+(1-EXP(-LN(2)/25))/(LN(2)/25)*Calculateur!BL50*Calculateur!BN50*VLOOKUP('Données projet'!$B$11,Paramètres!$A$1:$I$89,3,0)*0.475*44/12</f>
        <v>14.631839090579049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42.5910828553871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7.143429487179489</v>
      </c>
      <c r="BY50" s="12">
        <f>IF('Données projet'!$A$114&gt;35,BY49+BX50-CG49,IF(A50&lt;'Données projet'!$A$114,$BV$205^A50,IF(A50='Données projet'!$A$114,'Données projet'!$B$114,BY49+BX50-CG49)))</f>
        <v>138.12740384615392</v>
      </c>
      <c r="BZ50" s="13">
        <f>BY50*VLOOKUP('Données projet'!$B$12,Paramètres!$A$1:$I$89,3,0)*VLOOKUP('Données projet'!$B$12,Paramètres!$A$1:$I$89,5,0)</f>
        <v>124.97767500000008</v>
      </c>
      <c r="CA50" s="13">
        <f t="shared" si="39"/>
        <v>32.833199823952825</v>
      </c>
      <c r="CB50" s="20">
        <f t="shared" si="10"/>
        <v>274.85394031838462</v>
      </c>
      <c r="CC50" s="59">
        <f t="shared" si="11"/>
        <v>568.18727365171799</v>
      </c>
      <c r="CD50" s="59">
        <f ca="1">AVERAGE(OFFSET($CC$3,0,0,'Données projet'!$E$12+1,1))-AVERAGE(OFFSET($H$3,0,0,'Données projet'!$E$12+1,1))</f>
        <v>302.4170391346459</v>
      </c>
      <c r="CE50" s="59">
        <f t="shared" si="40"/>
        <v>114.18498182856115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11.642307685000006</v>
      </c>
      <c r="N51" s="13">
        <f>IF('Données projet'!$A$36&gt;35,N50+M51-V50,IF(A51&lt;'Données projet'!$A$36,$K$205^A51,IF(A51='Données projet'!$A$36,'Données projet'!$B$36,N50+M51-V50)))</f>
        <v>285.24615385999977</v>
      </c>
      <c r="O51" s="13">
        <f>N51*VLOOKUP('Données projet'!$B$9,Paramètres!$A$1:$I$89,3,0)*VLOOKUP('Données projet'!$B$9,Paramètres!$A$1:$I$89,5,0)</f>
        <v>170.57720000827987</v>
      </c>
      <c r="P51" s="13">
        <f t="shared" si="33"/>
        <v>43.219271673198868</v>
      </c>
      <c r="Q51" s="20">
        <f t="shared" si="53"/>
        <v>372.36218817857548</v>
      </c>
      <c r="R51" s="59">
        <f t="shared" si="0"/>
        <v>665.69552151190874</v>
      </c>
      <c r="S51" s="59">
        <f ca="1">AVERAGE(OFFSET($R$3,0,0,'Données projet'!$E$9+1,1))-AVERAGE(OFFSET($H$3,0,0,'Données projet'!$E$9+1,1))</f>
        <v>194.89717355535993</v>
      </c>
      <c r="T51" s="59">
        <f t="shared" si="34"/>
        <v>195.422737562245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35.778777312423031</v>
      </c>
      <c r="AA51" s="21">
        <f>EXP(-LN(2)/25)*AA50+(1-EXP(-LN(2)/25))/(LN(2)/25)*Calculateur!V51*Calculateur!X51*VLOOKUP('Données projet'!$B$9,Paramètres!$A$1:$I$89,3,0)*0.475*44/12</f>
        <v>16.921332448057242</v>
      </c>
      <c r="AB51" s="21">
        <f>EXP(-LN(2)/2)*AB50+(1-EXP(-LN(2)/2))/(LN(2)/2)*V51*Y51*VLOOKUP('Données projet'!$B$9,Paramètres!$A$1:$I$89,3,0)*0.475*44/12</f>
        <v>1.5164386258395088</v>
      </c>
      <c r="AC51" s="22">
        <f t="shared" si="3"/>
        <v>54.216548386319779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193.96728000000004</v>
      </c>
      <c r="BF51" s="13">
        <f t="shared" si="37"/>
        <v>48.41600442423902</v>
      </c>
      <c r="BG51" s="20">
        <f t="shared" si="7"/>
        <v>422.15088703888301</v>
      </c>
      <c r="BH51" s="59">
        <f t="shared" si="8"/>
        <v>715.48422037221633</v>
      </c>
      <c r="BI51" s="59">
        <f ca="1">AVERAGE(OFFSET($BH$3,0,0,'Données projet'!$E$11+1,1))-AVERAGE(OFFSET($H$3,0,0,'Données projet'!$E$11+1,1))</f>
        <v>273.69926316253162</v>
      </c>
      <c r="BJ51" s="59">
        <f t="shared" si="38"/>
        <v>270.78513558650451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27.410980048034968</v>
      </c>
      <c r="BQ51" s="21">
        <f>EXP(-LN(2)/25)*BQ50+(1-EXP(-LN(2)/25))/(LN(2)/25)*Calculateur!BL51*Calculateur!BN51*VLOOKUP('Données projet'!$B$11,Paramètres!$A$1:$I$89,3,0)*0.475*44/12</f>
        <v>14.23173068119219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41.642710729227161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7.143429487179489</v>
      </c>
      <c r="BY51" s="12">
        <f>IF('Données projet'!$A$114&gt;35,BY50+BX51-CG50,IF(A51&lt;'Données projet'!$A$114,$BV$205^A51,IF(A51='Données projet'!$A$114,'Données projet'!$B$114,BY50+BX51-CG50)))</f>
        <v>145.27083333333343</v>
      </c>
      <c r="BZ51" s="13">
        <f>BY51*VLOOKUP('Données projet'!$B$12,Paramètres!$A$1:$I$89,3,0)*VLOOKUP('Données projet'!$B$12,Paramètres!$A$1:$I$89,5,0)</f>
        <v>131.44105000000008</v>
      </c>
      <c r="CA51" s="13">
        <f t="shared" si="39"/>
        <v>34.329129734237071</v>
      </c>
      <c r="CB51" s="20">
        <f t="shared" si="10"/>
        <v>288.71639637046309</v>
      </c>
      <c r="CC51" s="59">
        <f t="shared" si="11"/>
        <v>582.0497297037964</v>
      </c>
      <c r="CD51" s="59">
        <f ca="1">AVERAGE(OFFSET($CC$3,0,0,'Données projet'!$E$12+1,1))-AVERAGE(OFFSET($H$3,0,0,'Données projet'!$E$12+1,1))</f>
        <v>302.4170391346459</v>
      </c>
      <c r="CE51" s="59">
        <f t="shared" si="40"/>
        <v>114.18498182856115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11.642307685000006</v>
      </c>
      <c r="N52" s="13">
        <f>IF('Données projet'!$A$36&gt;35,N51+M52-V51,IF(A52&lt;'Données projet'!$A$36,$K$205^A52,IF(A52='Données projet'!$A$36,'Données projet'!$B$36,N51+M52-V51)))</f>
        <v>296.88846154499976</v>
      </c>
      <c r="O52" s="13">
        <f>N52*VLOOKUP('Données projet'!$B$9,Paramètres!$A$1:$I$89,3,0)*VLOOKUP('Données projet'!$B$9,Paramètres!$A$1:$I$89,5,0)</f>
        <v>177.53930000390989</v>
      </c>
      <c r="P52" s="13">
        <f t="shared" si="33"/>
        <v>44.774287947173242</v>
      </c>
      <c r="Q52" s="20">
        <f t="shared" si="53"/>
        <v>387.19616568146972</v>
      </c>
      <c r="R52" s="59">
        <f t="shared" si="0"/>
        <v>680.52949901480304</v>
      </c>
      <c r="S52" s="59">
        <f ca="1">AVERAGE(OFFSET($R$3,0,0,'Données projet'!$E$9+1,1))-AVERAGE(OFFSET($H$3,0,0,'Données projet'!$E$9+1,1))</f>
        <v>194.89717355535993</v>
      </c>
      <c r="T52" s="59">
        <f t="shared" si="34"/>
        <v>195.422737562245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35.077177312225743</v>
      </c>
      <c r="AA52" s="21">
        <f>EXP(-LN(2)/25)*AA51+(1-EXP(-LN(2)/25))/(LN(2)/25)*Calculateur!V52*Calculateur!X52*VLOOKUP('Données projet'!$B$9,Paramètres!$A$1:$I$89,3,0)*0.475*44/12</f>
        <v>16.458617722410917</v>
      </c>
      <c r="AB52" s="21">
        <f>EXP(-LN(2)/2)*AB51+(1-EXP(-LN(2)/2))/(LN(2)/2)*V52*Y52*VLOOKUP('Données projet'!$B$9,Paramètres!$A$1:$I$89,3,0)*0.475*44/12</f>
        <v>1.0722840355843264</v>
      </c>
      <c r="AC52" s="22">
        <f t="shared" si="3"/>
        <v>52.608079070220988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200.80944000000002</v>
      </c>
      <c r="BF52" s="13">
        <f t="shared" si="37"/>
        <v>49.922016299484312</v>
      </c>
      <c r="BG52" s="20">
        <f t="shared" si="7"/>
        <v>436.69061972160188</v>
      </c>
      <c r="BH52" s="59">
        <f t="shared" si="8"/>
        <v>730.02395305493519</v>
      </c>
      <c r="BI52" s="59">
        <f ca="1">AVERAGE(OFFSET($BH$3,0,0,'Données projet'!$E$11+1,1))-AVERAGE(OFFSET($H$3,0,0,'Données projet'!$E$11+1,1))</f>
        <v>273.69926316253162</v>
      </c>
      <c r="BJ52" s="59">
        <f t="shared" si="38"/>
        <v>270.78513558650451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26.873467448339962</v>
      </c>
      <c r="BQ52" s="21">
        <f>EXP(-LN(2)/25)*BQ51+(1-EXP(-LN(2)/25))/(LN(2)/25)*Calculateur!BL52*Calculateur!BN52*VLOOKUP('Données projet'!$B$11,Paramètres!$A$1:$I$89,3,0)*0.475*44/12</f>
        <v>13.8425632573008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40.716030705640762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7.143429487179489</v>
      </c>
      <c r="BY52" s="12">
        <f>IF('Données projet'!$A$114&gt;35,BY51+BX52-CG51,IF(A52&lt;'Données projet'!$A$114,$BV$205^A52,IF(A52='Données projet'!$A$114,'Données projet'!$B$114,BY51+BX52-CG51)))</f>
        <v>152.41426282051293</v>
      </c>
      <c r="BZ52" s="13">
        <f>BY52*VLOOKUP('Données projet'!$B$12,Paramètres!$A$1:$I$89,3,0)*VLOOKUP('Données projet'!$B$12,Paramètres!$A$1:$I$89,5,0)</f>
        <v>137.90442500000009</v>
      </c>
      <c r="CA52" s="13">
        <f t="shared" si="39"/>
        <v>35.816518126136359</v>
      </c>
      <c r="CB52" s="20">
        <f t="shared" si="10"/>
        <v>302.56397594468757</v>
      </c>
      <c r="CC52" s="59">
        <f t="shared" si="11"/>
        <v>595.89730927802088</v>
      </c>
      <c r="CD52" s="59">
        <f ca="1">AVERAGE(OFFSET($CC$3,0,0,'Données projet'!$E$12+1,1))-AVERAGE(OFFSET($H$3,0,0,'Données projet'!$E$12+1,1))</f>
        <v>302.4170391346459</v>
      </c>
      <c r="CE52" s="59">
        <f t="shared" si="40"/>
        <v>114.18498182856115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11.642307685000006</v>
      </c>
      <c r="N53" s="13">
        <f>IF('Données projet'!$A$36&gt;35,N52+M53-V52,IF(A53&lt;'Données projet'!$A$36,$K$205^A53,IF(A53='Données projet'!$A$36,'Données projet'!$B$36,N52+M53-V52)))</f>
        <v>308.53076922999975</v>
      </c>
      <c r="O53" s="13">
        <f>N53*VLOOKUP('Données projet'!$B$9,Paramètres!$A$1:$I$89,3,0)*VLOOKUP('Données projet'!$B$9,Paramètres!$A$1:$I$89,5,0)</f>
        <v>184.50139999953984</v>
      </c>
      <c r="P53" s="13">
        <f t="shared" si="33"/>
        <v>46.322220516504473</v>
      </c>
      <c r="Q53" s="20">
        <f t="shared" si="53"/>
        <v>402.0178057321105</v>
      </c>
      <c r="R53" s="59">
        <f t="shared" si="0"/>
        <v>695.35113906544382</v>
      </c>
      <c r="S53" s="59">
        <f ca="1">AVERAGE(OFFSET($R$3,0,0,'Données projet'!$E$9+1,1))-AVERAGE(OFFSET($H$3,0,0,'Données projet'!$E$9+1,1))</f>
        <v>194.89717355535993</v>
      </c>
      <c r="T53" s="59">
        <f t="shared" si="34"/>
        <v>195.422737562245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34.389335260098576</v>
      </c>
      <c r="AA53" s="21">
        <f>EXP(-LN(2)/25)*AA52+(1-EXP(-LN(2)/25))/(LN(2)/25)*Calculateur!V53*Calculateur!X53*VLOOKUP('Données projet'!$B$9,Paramètres!$A$1:$I$89,3,0)*0.475*44/12</f>
        <v>16.008555955270502</v>
      </c>
      <c r="AB53" s="21">
        <f>EXP(-LN(2)/2)*AB52+(1-EXP(-LN(2)/2))/(LN(2)/2)*V53*Y53*VLOOKUP('Données projet'!$B$9,Paramètres!$A$1:$I$89,3,0)*0.475*44/12</f>
        <v>0.75821931291975442</v>
      </c>
      <c r="AC53" s="22">
        <f t="shared" si="3"/>
        <v>51.156110528288835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207.65160000000006</v>
      </c>
      <c r="BF53" s="13">
        <f t="shared" si="37"/>
        <v>51.422065813018108</v>
      </c>
      <c r="BG53" s="20">
        <f t="shared" si="7"/>
        <v>451.2199679576733</v>
      </c>
      <c r="BH53" s="59">
        <f t="shared" si="8"/>
        <v>744.55330129100662</v>
      </c>
      <c r="BI53" s="59">
        <f ca="1">AVERAGE(OFFSET($BH$3,0,0,'Données projet'!$E$11+1,1))-AVERAGE(OFFSET($H$3,0,0,'Données projet'!$E$11+1,1))</f>
        <v>273.69926316253162</v>
      </c>
      <c r="BJ53" s="59">
        <f t="shared" si="38"/>
        <v>270.78513558650451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0.44519999999999998</v>
      </c>
      <c r="BN53" s="16">
        <f>IF(ISNA(VLOOKUP(A53,'Données projet'!$A$87:$I$107,6,0)),0%,VLOOKUP(A53,'Données projet'!$A$87:$I$107,6,0)*VLOOKUP('Données projet'!$B$11,Paramètres!$A$1:$I$89,7,0))</f>
        <v>5.8300000000000005E-2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33.786113227465187</v>
      </c>
      <c r="BQ53" s="21">
        <f>EXP(-LN(2)/25)*BQ52+(1-EXP(-LN(2)/25))/(LN(2)/25)*Calculateur!BL53*Calculateur!BN53*VLOOKUP('Données projet'!$B$11,Paramètres!$A$1:$I$89,3,0)*0.475*44/12</f>
        <v>14.434437401464745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48.220550628929928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159.55769230769232</v>
      </c>
      <c r="BW53" s="12">
        <f>VLOOKUP(A53,'Données projet'!$A$113:$I$133,9,0)</f>
        <v>7.143429487179489</v>
      </c>
      <c r="BX53" s="12">
        <f t="array" ref="BX53">INDEX(BW:BW,MIN(IF(ISNUMBER(BW53:BW249),ROW(BW53:BW249),"")))</f>
        <v>7.143429487179489</v>
      </c>
      <c r="BY53" s="12">
        <f>IF('Données projet'!$A$114&gt;35,BY52+BX53-CG52,IF(A53&lt;'Données projet'!$A$114,$BV$205^A53,IF(A53='Données projet'!$A$114,'Données projet'!$B$114,BY52+BX53-CG52)))</f>
        <v>159.55769230769243</v>
      </c>
      <c r="BZ53" s="13">
        <f>BY53*VLOOKUP('Données projet'!$B$12,Paramètres!$A$1:$I$89,3,0)*VLOOKUP('Données projet'!$B$12,Paramètres!$A$1:$I$89,5,0)</f>
        <v>144.3678000000001</v>
      </c>
      <c r="CA53" s="13">
        <f t="shared" si="39"/>
        <v>37.295811043150216</v>
      </c>
      <c r="CB53" s="20">
        <f t="shared" si="10"/>
        <v>316.39745590015349</v>
      </c>
      <c r="CC53" s="59">
        <f t="shared" si="11"/>
        <v>609.7307892334868</v>
      </c>
      <c r="CD53" s="59">
        <f ca="1">AVERAGE(OFFSET($CC$3,0,0,'Données projet'!$E$12+1,1))-AVERAGE(OFFSET($H$3,0,0,'Données projet'!$E$12+1,1))</f>
        <v>302.4170391346459</v>
      </c>
      <c r="CE53" s="59">
        <f t="shared" si="40"/>
        <v>114.18498182856115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29.416666666666664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11.642307685000006</v>
      </c>
      <c r="N54" s="13">
        <f>IF('Données projet'!$A$36&gt;35,N53+M54-V53,IF(A54&lt;'Données projet'!$A$36,$K$205^A54,IF(A54='Données projet'!$A$36,'Données projet'!$B$36,N53+M54-V53)))</f>
        <v>320.17307691499974</v>
      </c>
      <c r="O54" s="13">
        <f>N54*VLOOKUP('Données projet'!$B$9,Paramètres!$A$1:$I$89,3,0)*VLOOKUP('Données projet'!$B$9,Paramètres!$A$1:$I$89,5,0)</f>
        <v>191.46349999516985</v>
      </c>
      <c r="P54" s="13">
        <f t="shared" si="33"/>
        <v>47.863367285841179</v>
      </c>
      <c r="Q54" s="20">
        <f t="shared" si="53"/>
        <v>416.82762718109416</v>
      </c>
      <c r="R54" s="59">
        <f t="shared" si="0"/>
        <v>710.16096051442742</v>
      </c>
      <c r="S54" s="59">
        <f ca="1">AVERAGE(OFFSET($R$3,0,0,'Données projet'!$E$9+1,1))-AVERAGE(OFFSET($H$3,0,0,'Données projet'!$E$9+1,1))</f>
        <v>194.89717355535993</v>
      </c>
      <c r="T54" s="59">
        <f t="shared" si="34"/>
        <v>195.422737562245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33.714981371071403</v>
      </c>
      <c r="AA54" s="21">
        <f>EXP(-LN(2)/25)*AA53+(1-EXP(-LN(2)/25))/(LN(2)/25)*Calculateur!V54*Calculateur!X54*VLOOKUP('Données projet'!$B$9,Paramètres!$A$1:$I$89,3,0)*0.475*44/12</f>
        <v>15.570801150820261</v>
      </c>
      <c r="AB54" s="21">
        <f>EXP(-LN(2)/2)*AB53+(1-EXP(-LN(2)/2))/(LN(2)/2)*V54*Y54*VLOOKUP('Données projet'!$B$9,Paramètres!$A$1:$I$89,3,0)*0.475*44/12</f>
        <v>0.53614201779216319</v>
      </c>
      <c r="AC54" s="22">
        <f t="shared" si="3"/>
        <v>49.821924539683828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198.42264000000003</v>
      </c>
      <c r="BF54" s="13">
        <f t="shared" si="37"/>
        <v>49.397352151183256</v>
      </c>
      <c r="BG54" s="20">
        <f t="shared" si="7"/>
        <v>431.61981966331086</v>
      </c>
      <c r="BH54" s="59">
        <f t="shared" si="8"/>
        <v>724.95315299664412</v>
      </c>
      <c r="BI54" s="59">
        <f ca="1">AVERAGE(OFFSET($BH$3,0,0,'Données projet'!$E$11+1,1))-AVERAGE(OFFSET($H$3,0,0,'Données projet'!$E$11+1,1))</f>
        <v>273.69926316253162</v>
      </c>
      <c r="BJ54" s="59">
        <f t="shared" si="38"/>
        <v>270.78513558650451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33.123588154568843</v>
      </c>
      <c r="BQ54" s="21">
        <f>EXP(-LN(2)/25)*BQ53+(1-EXP(-LN(2)/25))/(LN(2)/25)*Calculateur!BL54*Calculateur!BN54*VLOOKUP('Données projet'!$B$11,Paramètres!$A$1:$I$89,3,0)*0.475*44/12</f>
        <v>14.039726951647619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47.163315106216459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7.2307692307692264</v>
      </c>
      <c r="BY54" s="12">
        <f>IF('Données projet'!$A$114&gt;35,BY53+BX54-CG53,IF(A54&lt;'Données projet'!$A$114,$BV$205^A54,IF(A54='Données projet'!$A$114,'Données projet'!$B$114,BY53+BX54-CG53)))</f>
        <v>137.371794871795</v>
      </c>
      <c r="BZ54" s="13">
        <f>BY54*VLOOKUP('Données projet'!$B$12,Paramètres!$A$1:$I$89,3,0)*VLOOKUP('Données projet'!$B$12,Paramètres!$A$1:$I$89,5,0)</f>
        <v>124.29400000000012</v>
      </c>
      <c r="CA54" s="13">
        <f t="shared" si="39"/>
        <v>32.674445813839228</v>
      </c>
      <c r="CB54" s="20">
        <f t="shared" si="10"/>
        <v>273.38670979243687</v>
      </c>
      <c r="CC54" s="59">
        <f t="shared" si="11"/>
        <v>566.72004312577019</v>
      </c>
      <c r="CD54" s="59">
        <f ca="1">AVERAGE(OFFSET($CC$3,0,0,'Données projet'!$E$12+1,1))-AVERAGE(OFFSET($H$3,0,0,'Données projet'!$E$12+1,1))</f>
        <v>302.4170391346459</v>
      </c>
      <c r="CE54" s="59">
        <f t="shared" si="40"/>
        <v>114.18498182856115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331.81538460000002</v>
      </c>
      <c r="L55" s="12">
        <f>VLOOKUP(A55,'Données projet'!$A$35:$I$55,9,0)</f>
        <v>11.642307685000006</v>
      </c>
      <c r="M55" s="12">
        <f t="array" ref="M55">INDEX(L:L,MIN(IF(ISNUMBER(L55:L251),ROW(L55:L251),"")))</f>
        <v>11.642307685000006</v>
      </c>
      <c r="N55" s="13">
        <f>IF('Données projet'!$A$36&gt;35,N54+M55-V54,IF(A55&lt;'Données projet'!$A$36,$K$205^A55,IF(A55='Données projet'!$A$36,'Données projet'!$B$36,N54+M55-V54)))</f>
        <v>331.81538459999973</v>
      </c>
      <c r="O55" s="13">
        <f>N55*VLOOKUP('Données projet'!$B$9,Paramètres!$A$1:$I$89,3,0)*VLOOKUP('Données projet'!$B$9,Paramètres!$A$1:$I$89,5,0)</f>
        <v>198.42559999079987</v>
      </c>
      <c r="P55" s="13">
        <f t="shared" si="33"/>
        <v>49.398003266838877</v>
      </c>
      <c r="Q55" s="20">
        <f t="shared" si="53"/>
        <v>431.62610900705414</v>
      </c>
      <c r="R55" s="59">
        <f t="shared" si="0"/>
        <v>724.95944234038745</v>
      </c>
      <c r="S55" s="59">
        <f ca="1">AVERAGE(OFFSET($R$3,0,0,'Données projet'!$E$9+1,1))-AVERAGE(OFFSET($H$3,0,0,'Données projet'!$E$9+1,1))</f>
        <v>194.89717355535993</v>
      </c>
      <c r="T55" s="59">
        <f t="shared" si="34"/>
        <v>195.422737562245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61.784615379999998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7.6500000000000012E-2</v>
      </c>
      <c r="Y55" s="16">
        <f>IF(ISNA(VLOOKUP(A55,'Données projet'!$A$35:$I$55,7,0)),0%,VLOOKUP(A55,'Données projet'!$A$35:$I$55,7,0))</f>
        <v>0.13</v>
      </c>
      <c r="Z55" s="21">
        <f>EXP(-LN(2)/35)*Z54+(1-EXP(-LN(2)/35))/(LN(2)/35)*V55*W55*VLOOKUP('Données projet'!$B$9,Paramètres!$A$1:$I$89,3,0)*0.475*44/12</f>
        <v>48.492896457464447</v>
      </c>
      <c r="AA55" s="21">
        <f>EXP(-LN(2)/25)*AA54+(1-EXP(-LN(2)/25))/(LN(2)/25)*Calculateur!V55*Calculateur!X55*VLOOKUP('Données projet'!$B$9,Paramètres!$A$1:$I$89,3,0)*0.475*44/12</f>
        <v>18.879736065212967</v>
      </c>
      <c r="AB55" s="21">
        <f>EXP(-LN(2)/2)*AB54+(1-EXP(-LN(2)/2))/(LN(2)/2)*V55*Y55*VLOOKUP('Données projet'!$B$9,Paramètres!$A$1:$I$89,3,0)*0.475*44/12</f>
        <v>5.8173753646657111</v>
      </c>
      <c r="AC55" s="22">
        <f t="shared" si="3"/>
        <v>73.190007887343114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204.31008000000003</v>
      </c>
      <c r="BF55" s="13">
        <f t="shared" si="37"/>
        <v>50.690214235398379</v>
      </c>
      <c r="BG55" s="20">
        <f t="shared" si="7"/>
        <v>444.12551245998549</v>
      </c>
      <c r="BH55" s="59">
        <f t="shared" si="8"/>
        <v>737.4588457933188</v>
      </c>
      <c r="BI55" s="59">
        <f ca="1">AVERAGE(OFFSET($BH$3,0,0,'Données projet'!$E$11+1,1))-AVERAGE(OFFSET($H$3,0,0,'Données projet'!$E$11+1,1))</f>
        <v>273.69926316253162</v>
      </c>
      <c r="BJ55" s="59">
        <f t="shared" si="38"/>
        <v>270.78513558650451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32.4740547942516</v>
      </c>
      <c r="BQ55" s="21">
        <f>EXP(-LN(2)/25)*BQ54+(1-EXP(-LN(2)/25))/(LN(2)/25)*Calculateur!BL55*Calculateur!BN55*VLOOKUP('Données projet'!$B$11,Paramètres!$A$1:$I$89,3,0)*0.475*44/12</f>
        <v>13.655809879837664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46.129864674089262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7.2307692307692264</v>
      </c>
      <c r="BY55" s="12">
        <f>IF('Données projet'!$A$114&gt;35,BY54+BX55-CG54,IF(A55&lt;'Données projet'!$A$114,$BV$205^A55,IF(A55='Données projet'!$A$114,'Données projet'!$B$114,BY54+BX55-CG54)))</f>
        <v>144.60256410256423</v>
      </c>
      <c r="BZ55" s="13">
        <f>BY55*VLOOKUP('Données projet'!$B$12,Paramètres!$A$1:$I$89,3,0)*VLOOKUP('Données projet'!$B$12,Paramètres!$A$1:$I$89,5,0)</f>
        <v>130.83640000000011</v>
      </c>
      <c r="CA55" s="13">
        <f t="shared" si="39"/>
        <v>34.189554618744111</v>
      </c>
      <c r="CB55" s="20">
        <f t="shared" si="10"/>
        <v>287.42020429431284</v>
      </c>
      <c r="CC55" s="59">
        <f t="shared" si="11"/>
        <v>580.75353762764621</v>
      </c>
      <c r="CD55" s="59">
        <f ca="1">AVERAGE(OFFSET($CC$3,0,0,'Données projet'!$E$12+1,1))-AVERAGE(OFFSET($H$3,0,0,'Données projet'!$E$12+1,1))</f>
        <v>302.4170391346459</v>
      </c>
      <c r="CE55" s="59">
        <f t="shared" si="40"/>
        <v>114.18498182856115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10.433653847499997</v>
      </c>
      <c r="N56" s="13">
        <f>IF('Données projet'!$A$36&gt;35,N55+M56-V55,IF(A56&lt;'Données projet'!$A$36,$K$205^A56,IF(A56='Données projet'!$A$36,'Données projet'!$B$36,N55+M56-V55)))</f>
        <v>280.46442306749975</v>
      </c>
      <c r="O56" s="13">
        <f>N56*VLOOKUP('Données projet'!$B$9,Paramètres!$A$1:$I$89,3,0)*VLOOKUP('Données projet'!$B$9,Paramètres!$A$1:$I$89,5,0)</f>
        <v>167.71772499436486</v>
      </c>
      <c r="P56" s="13">
        <f t="shared" si="33"/>
        <v>42.5784685091621</v>
      </c>
      <c r="Q56" s="20">
        <f t="shared" si="53"/>
        <v>366.26587035197605</v>
      </c>
      <c r="R56" s="59">
        <f t="shared" si="0"/>
        <v>659.59920368530936</v>
      </c>
      <c r="S56" s="59">
        <f ca="1">AVERAGE(OFFSET($R$3,0,0,'Données projet'!$E$9+1,1))-AVERAGE(OFFSET($H$3,0,0,'Données projet'!$E$9+1,1))</f>
        <v>194.89717355535993</v>
      </c>
      <c r="T56" s="59">
        <f t="shared" si="34"/>
        <v>195.422737562245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47.541980335679845</v>
      </c>
      <c r="AA56" s="21">
        <f>EXP(-LN(2)/25)*AA55+(1-EXP(-LN(2)/25))/(LN(2)/25)*Calculateur!V56*Calculateur!X56*VLOOKUP('Données projet'!$B$9,Paramètres!$A$1:$I$89,3,0)*0.475*44/12</f>
        <v>18.363468689667549</v>
      </c>
      <c r="AB56" s="21">
        <f>EXP(-LN(2)/2)*AB55+(1-EXP(-LN(2)/2))/(LN(2)/2)*V56*Y56*VLOOKUP('Données projet'!$B$9,Paramètres!$A$1:$I$89,3,0)*0.475*44/12</f>
        <v>4.1135055690626894</v>
      </c>
      <c r="AC56" s="22">
        <f t="shared" si="3"/>
        <v>70.01895459441009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210.19752</v>
      </c>
      <c r="BF56" s="13">
        <f t="shared" si="37"/>
        <v>51.978746425856599</v>
      </c>
      <c r="BG56" s="20">
        <f t="shared" si="7"/>
        <v>456.62366402503358</v>
      </c>
      <c r="BH56" s="59">
        <f t="shared" si="8"/>
        <v>749.95699735836683</v>
      </c>
      <c r="BI56" s="59">
        <f ca="1">AVERAGE(OFFSET($BH$3,0,0,'Données projet'!$E$11+1,1))-AVERAGE(OFFSET($H$3,0,0,'Données projet'!$E$11+1,1))</f>
        <v>273.69926316253162</v>
      </c>
      <c r="BJ56" s="59">
        <f t="shared" si="38"/>
        <v>270.78513558650451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31.837258386953952</v>
      </c>
      <c r="BQ56" s="21">
        <f>EXP(-LN(2)/25)*BQ55+(1-EXP(-LN(2)/25))/(LN(2)/25)*Calculateur!BL56*Calculateur!BN56*VLOOKUP('Données projet'!$B$11,Paramètres!$A$1:$I$89,3,0)*0.475*44/12</f>
        <v>13.282391040545672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45.119649427499624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7.2307692307692264</v>
      </c>
      <c r="BY56" s="12">
        <f>IF('Données projet'!$A$114&gt;35,BY55+BX56-CG55,IF(A56&lt;'Données projet'!$A$114,$BV$205^A56,IF(A56='Données projet'!$A$114,'Données projet'!$B$114,BY55+BX56-CG55)))</f>
        <v>151.83333333333346</v>
      </c>
      <c r="BZ56" s="13">
        <f>BY56*VLOOKUP('Données projet'!$B$12,Paramètres!$A$1:$I$89,3,0)*VLOOKUP('Données projet'!$B$12,Paramètres!$A$1:$I$89,5,0)</f>
        <v>137.37880000000013</v>
      </c>
      <c r="CA56" s="13">
        <f t="shared" si="39"/>
        <v>35.695866453131174</v>
      </c>
      <c r="CB56" s="20">
        <f t="shared" si="10"/>
        <v>301.43837740587037</v>
      </c>
      <c r="CC56" s="59">
        <f t="shared" si="11"/>
        <v>594.77171073920363</v>
      </c>
      <c r="CD56" s="59">
        <f ca="1">AVERAGE(OFFSET($CC$3,0,0,'Données projet'!$E$12+1,1))-AVERAGE(OFFSET($H$3,0,0,'Données projet'!$E$12+1,1))</f>
        <v>302.4170391346459</v>
      </c>
      <c r="CE56" s="59">
        <f t="shared" si="40"/>
        <v>114.18498182856115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10.433653847499997</v>
      </c>
      <c r="N57" s="13">
        <f>IF('Données projet'!$A$36&gt;35,N56+M57-V56,IF(A57&lt;'Données projet'!$A$36,$K$205^A57,IF(A57='Données projet'!$A$36,'Données projet'!$B$36,N56+M57-V56)))</f>
        <v>290.89807691499976</v>
      </c>
      <c r="O57" s="13">
        <f>N57*VLOOKUP('Données projet'!$B$9,Paramètres!$A$1:$I$89,3,0)*VLOOKUP('Données projet'!$B$9,Paramètres!$A$1:$I$89,5,0)</f>
        <v>173.95704999516985</v>
      </c>
      <c r="P57" s="13">
        <f t="shared" si="33"/>
        <v>43.975080817470442</v>
      </c>
      <c r="Q57" s="20">
        <f t="shared" si="53"/>
        <v>379.56512783201515</v>
      </c>
      <c r="R57" s="59">
        <f t="shared" si="0"/>
        <v>672.89846116534841</v>
      </c>
      <c r="S57" s="59">
        <f ca="1">AVERAGE(OFFSET($R$3,0,0,'Données projet'!$E$9+1,1))-AVERAGE(OFFSET($H$3,0,0,'Données projet'!$E$9+1,1))</f>
        <v>194.89717355535993</v>
      </c>
      <c r="T57" s="59">
        <f t="shared" si="34"/>
        <v>195.422737562245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46.609711099041881</v>
      </c>
      <c r="AA57" s="21">
        <f>EXP(-LN(2)/25)*AA56+(1-EXP(-LN(2)/25))/(LN(2)/25)*Calculateur!V57*Calculateur!X57*VLOOKUP('Données projet'!$B$9,Paramètres!$A$1:$I$89,3,0)*0.475*44/12</f>
        <v>17.861318672655742</v>
      </c>
      <c r="AB57" s="21">
        <f>EXP(-LN(2)/2)*AB56+(1-EXP(-LN(2)/2))/(LN(2)/2)*V57*Y57*VLOOKUP('Données projet'!$B$9,Paramètres!$A$1:$I$89,3,0)*0.475*44/12</f>
        <v>2.908687682332856</v>
      </c>
      <c r="AC57" s="22">
        <f t="shared" si="3"/>
        <v>67.379717454030484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216.08496</v>
      </c>
      <c r="BF57" s="13">
        <f t="shared" si="37"/>
        <v>53.26308393083157</v>
      </c>
      <c r="BG57" s="20">
        <f t="shared" si="7"/>
        <v>469.11450984619825</v>
      </c>
      <c r="BH57" s="59">
        <f t="shared" si="8"/>
        <v>762.44784317953156</v>
      </c>
      <c r="BI57" s="59">
        <f ca="1">AVERAGE(OFFSET($BH$3,0,0,'Données projet'!$E$11+1,1))-AVERAGE(OFFSET($H$3,0,0,'Données projet'!$E$11+1,1))</f>
        <v>273.69926316253162</v>
      </c>
      <c r="BJ57" s="59">
        <f t="shared" si="38"/>
        <v>270.78513558650451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31.212949168795951</v>
      </c>
      <c r="BQ57" s="21">
        <f>EXP(-LN(2)/25)*BQ56+(1-EXP(-LN(2)/25))/(LN(2)/25)*Calculateur!BL57*Calculateur!BN57*VLOOKUP('Données projet'!$B$11,Paramètres!$A$1:$I$89,3,0)*0.475*44/12</f>
        <v>12.919183359051363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44.132132527847318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7.2307692307692264</v>
      </c>
      <c r="BY57" s="12">
        <f>IF('Données projet'!$A$114&gt;35,BY56+BX57-CG56,IF(A57&lt;'Données projet'!$A$114,$BV$205^A57,IF(A57='Données projet'!$A$114,'Données projet'!$B$114,BY56+BX57-CG56)))</f>
        <v>159.06410256410268</v>
      </c>
      <c r="BZ57" s="13">
        <f>BY57*VLOOKUP('Données projet'!$B$12,Paramètres!$A$1:$I$89,3,0)*VLOOKUP('Données projet'!$B$12,Paramètres!$A$1:$I$89,5,0)</f>
        <v>143.92120000000011</v>
      </c>
      <c r="CA57" s="13">
        <f t="shared" si="39"/>
        <v>37.193848087208842</v>
      </c>
      <c r="CB57" s="20">
        <f t="shared" si="10"/>
        <v>315.44204208522223</v>
      </c>
      <c r="CC57" s="59">
        <f t="shared" si="11"/>
        <v>608.77537541855554</v>
      </c>
      <c r="CD57" s="59">
        <f ca="1">AVERAGE(OFFSET($CC$3,0,0,'Données projet'!$E$12+1,1))-AVERAGE(OFFSET($H$3,0,0,'Données projet'!$E$12+1,1))</f>
        <v>302.4170391346459</v>
      </c>
      <c r="CE57" s="59">
        <f t="shared" si="40"/>
        <v>114.18498182856115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10.433653847499997</v>
      </c>
      <c r="N58" s="13">
        <f>IF('Données projet'!$A$36&gt;35,N57+M58-V57,IF(A58&lt;'Données projet'!$A$36,$K$205^A58,IF(A58='Données projet'!$A$36,'Données projet'!$B$36,N57+M58-V57)))</f>
        <v>301.33173076249977</v>
      </c>
      <c r="O58" s="13">
        <f>N58*VLOOKUP('Données projet'!$B$9,Paramètres!$A$1:$I$89,3,0)*VLOOKUP('Données projet'!$B$9,Paramètres!$A$1:$I$89,5,0)</f>
        <v>180.19637499597488</v>
      </c>
      <c r="P58" s="13">
        <f t="shared" si="33"/>
        <v>45.365873212232607</v>
      </c>
      <c r="Q58" s="20">
        <f t="shared" si="53"/>
        <v>392.85424896262799</v>
      </c>
      <c r="R58" s="59">
        <f t="shared" si="0"/>
        <v>686.18758229596131</v>
      </c>
      <c r="S58" s="59">
        <f ca="1">AVERAGE(OFFSET($R$3,0,0,'Données projet'!$E$9+1,1))-AVERAGE(OFFSET($H$3,0,0,'Données projet'!$E$9+1,1))</f>
        <v>194.89717355535993</v>
      </c>
      <c r="T58" s="59">
        <f t="shared" si="34"/>
        <v>195.422737562245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45.695723093506295</v>
      </c>
      <c r="AA58" s="21">
        <f>EXP(-LN(2)/25)*AA57+(1-EXP(-LN(2)/25))/(LN(2)/25)*Calculateur!V58*Calculateur!X58*VLOOKUP('Données projet'!$B$9,Paramètres!$A$1:$I$89,3,0)*0.475*44/12</f>
        <v>17.372899974266044</v>
      </c>
      <c r="AB58" s="21">
        <f>EXP(-LN(2)/2)*AB57+(1-EXP(-LN(2)/2))/(LN(2)/2)*V58*Y58*VLOOKUP('Données projet'!$B$9,Paramètres!$A$1:$I$89,3,0)*0.475*44/12</f>
        <v>2.0567527845313451</v>
      </c>
      <c r="AC58" s="22">
        <f t="shared" si="3"/>
        <v>65.125375852303677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221.97239999999996</v>
      </c>
      <c r="BF58" s="13">
        <f t="shared" si="37"/>
        <v>54.543354171476821</v>
      </c>
      <c r="BG58" s="20">
        <f t="shared" si="7"/>
        <v>481.59827184865543</v>
      </c>
      <c r="BH58" s="59">
        <f t="shared" si="8"/>
        <v>774.93160518198874</v>
      </c>
      <c r="BI58" s="59">
        <f ca="1">AVERAGE(OFFSET($BH$3,0,0,'Données projet'!$E$11+1,1))-AVERAGE(OFFSET($H$3,0,0,'Données projet'!$E$11+1,1))</f>
        <v>273.69926316253162</v>
      </c>
      <c r="BJ58" s="59">
        <f t="shared" si="38"/>
        <v>270.78513558650451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0.46640000000000004</v>
      </c>
      <c r="BN58" s="16">
        <f>IF(ISNA(VLOOKUP(A58,'Données projet'!$A$87:$I$107,6,0)),0%,VLOOKUP(A58,'Données projet'!$A$87:$I$107,6,0)*VLOOKUP('Données projet'!$B$11,Paramètres!$A$1:$I$89,7,0))</f>
        <v>3.1800000000000002E-2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37.164154368291364</v>
      </c>
      <c r="BQ58" s="21">
        <f>EXP(-LN(2)/25)*BQ57+(1-EXP(-LN(2)/25))/(LN(2)/25)*Calculateur!BL58*Calculateur!BN58*VLOOKUP('Données projet'!$B$11,Paramètres!$A$1:$I$89,3,0)*0.475*44/12</f>
        <v>13.011641473773929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50.175795842065291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7.2307692307692264</v>
      </c>
      <c r="BY58" s="12">
        <f>IF('Données projet'!$A$114&gt;35,BY57+BX58-CG57,IF(A58&lt;'Données projet'!$A$114,$BV$205^A58,IF(A58='Données projet'!$A$114,'Données projet'!$B$114,BY57+BX58-CG57)))</f>
        <v>166.29487179487191</v>
      </c>
      <c r="BZ58" s="13">
        <f>BY58*VLOOKUP('Données projet'!$B$12,Paramètres!$A$1:$I$89,3,0)*VLOOKUP('Données projet'!$B$12,Paramètres!$A$1:$I$89,5,0)</f>
        <v>150.4636000000001</v>
      </c>
      <c r="CA58" s="13">
        <f t="shared" si="39"/>
        <v>38.683921455302077</v>
      </c>
      <c r="CB58" s="20">
        <f t="shared" si="10"/>
        <v>329.43193320131792</v>
      </c>
      <c r="CC58" s="59">
        <f t="shared" si="11"/>
        <v>622.76526653465123</v>
      </c>
      <c r="CD58" s="59">
        <f ca="1">AVERAGE(OFFSET($CC$3,0,0,'Données projet'!$E$12+1,1))-AVERAGE(OFFSET($H$3,0,0,'Données projet'!$E$12+1,1))</f>
        <v>302.4170391346459</v>
      </c>
      <c r="CE58" s="59">
        <f t="shared" si="40"/>
        <v>114.18498182856115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10.433653847499997</v>
      </c>
      <c r="N59" s="13">
        <f>IF('Données projet'!$A$36&gt;35,N58+M59-V58,IF(A59&lt;'Données projet'!$A$36,$K$205^A59,IF(A59='Données projet'!$A$36,'Données projet'!$B$36,N58+M59-V58)))</f>
        <v>311.76538460999978</v>
      </c>
      <c r="O59" s="13">
        <f>N59*VLOOKUP('Données projet'!$B$9,Paramètres!$A$1:$I$89,3,0)*VLOOKUP('Données projet'!$B$9,Paramètres!$A$1:$I$89,5,0)</f>
        <v>186.43569999677987</v>
      </c>
      <c r="P59" s="13">
        <f t="shared" si="33"/>
        <v>46.751070303630897</v>
      </c>
      <c r="Q59" s="20">
        <f t="shared" si="53"/>
        <v>406.13362493988211</v>
      </c>
      <c r="R59" s="59">
        <f t="shared" si="0"/>
        <v>699.46695827321537</v>
      </c>
      <c r="S59" s="59">
        <f ca="1">AVERAGE(OFFSET($R$3,0,0,'Données projet'!$E$9+1,1))-AVERAGE(OFFSET($H$3,0,0,'Données projet'!$E$9+1,1))</f>
        <v>194.89717355535993</v>
      </c>
      <c r="T59" s="59">
        <f t="shared" si="34"/>
        <v>195.422737562245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44.799657835281629</v>
      </c>
      <c r="AA59" s="21">
        <f>EXP(-LN(2)/25)*AA58+(1-EXP(-LN(2)/25))/(LN(2)/25)*Calculateur!V59*Calculateur!X59*VLOOKUP('Données projet'!$B$9,Paramètres!$A$1:$I$89,3,0)*0.475*44/12</f>
        <v>16.897837110868636</v>
      </c>
      <c r="AB59" s="21">
        <f>EXP(-LN(2)/2)*AB58+(1-EXP(-LN(2)/2))/(LN(2)/2)*V59*Y59*VLOOKUP('Données projet'!$B$9,Paramètres!$A$1:$I$89,3,0)*0.475*44/12</f>
        <v>1.4543438411664282</v>
      </c>
      <c r="AC59" s="22">
        <f t="shared" si="3"/>
        <v>63.151838787316692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214.17551999999998</v>
      </c>
      <c r="BF59" s="13">
        <f t="shared" si="37"/>
        <v>52.846993696165399</v>
      </c>
      <c r="BG59" s="20">
        <f t="shared" si="7"/>
        <v>465.06421135415468</v>
      </c>
      <c r="BH59" s="59">
        <f t="shared" si="8"/>
        <v>758.39754468748799</v>
      </c>
      <c r="BI59" s="59">
        <f ca="1">AVERAGE(OFFSET($BH$3,0,0,'Données projet'!$E$11+1,1))-AVERAGE(OFFSET($H$3,0,0,'Données projet'!$E$11+1,1))</f>
        <v>273.69926316253162</v>
      </c>
      <c r="BJ59" s="59">
        <f t="shared" si="38"/>
        <v>270.78513558650451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36.435387969025065</v>
      </c>
      <c r="BQ59" s="21">
        <f>EXP(-LN(2)/25)*BQ58+(1-EXP(-LN(2)/25))/(LN(2)/25)*Calculateur!BL59*Calculateur!BN59*VLOOKUP('Données projet'!$B$11,Paramètres!$A$1:$I$89,3,0)*0.475*44/12</f>
        <v>12.655837453421094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49.091225422446158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7.2307692307692264</v>
      </c>
      <c r="BY59" s="12">
        <f>IF('Données projet'!$A$114&gt;35,BY58+BX59-CG58,IF(A59&lt;'Données projet'!$A$114,$BV$205^A59,IF(A59='Données projet'!$A$114,'Données projet'!$B$114,BY58+BX59-CG58)))</f>
        <v>173.52564102564114</v>
      </c>
      <c r="BZ59" s="13">
        <f>BY59*VLOOKUP('Données projet'!$B$12,Paramètres!$A$1:$I$89,3,0)*VLOOKUP('Données projet'!$B$12,Paramètres!$A$1:$I$89,5,0)</f>
        <v>157.00600000000009</v>
      </c>
      <c r="CA59" s="13">
        <f t="shared" si="39"/>
        <v>40.166469723989842</v>
      </c>
      <c r="CB59" s="20">
        <f t="shared" si="10"/>
        <v>343.40871810261575</v>
      </c>
      <c r="CC59" s="59">
        <f t="shared" si="11"/>
        <v>636.74205143594907</v>
      </c>
      <c r="CD59" s="59">
        <f ca="1">AVERAGE(OFFSET($CC$3,0,0,'Données projet'!$E$12+1,1))-AVERAGE(OFFSET($H$3,0,0,'Données projet'!$E$12+1,1))</f>
        <v>302.4170391346459</v>
      </c>
      <c r="CE59" s="59">
        <f t="shared" si="40"/>
        <v>114.18498182856115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10.433653847499997</v>
      </c>
      <c r="N60" s="13">
        <f>IF('Données projet'!$A$36&gt;35,N59+M60-V59,IF(A60&lt;'Données projet'!$A$36,$K$205^A60,IF(A60='Données projet'!$A$36,'Données projet'!$B$36,N59+M60-V59)))</f>
        <v>322.1990384574998</v>
      </c>
      <c r="O60" s="13">
        <f>N60*VLOOKUP('Données projet'!$B$9,Paramètres!$A$1:$I$89,3,0)*VLOOKUP('Données projet'!$B$9,Paramètres!$A$1:$I$89,5,0)</f>
        <v>192.6750249975849</v>
      </c>
      <c r="P60" s="13">
        <f t="shared" si="33"/>
        <v>48.130880815036704</v>
      </c>
      <c r="Q60" s="20">
        <f t="shared" si="53"/>
        <v>419.40361929031593</v>
      </c>
      <c r="R60" s="59">
        <f t="shared" si="0"/>
        <v>712.73695262364924</v>
      </c>
      <c r="S60" s="59">
        <f ca="1">AVERAGE(OFFSET($R$3,0,0,'Données projet'!$E$9+1,1))-AVERAGE(OFFSET($H$3,0,0,'Données projet'!$E$9+1,1))</f>
        <v>194.89717355535993</v>
      </c>
      <c r="T60" s="59">
        <f t="shared" si="34"/>
        <v>195.422737562245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43.921163870224909</v>
      </c>
      <c r="AA60" s="21">
        <f>EXP(-LN(2)/25)*AA59+(1-EXP(-LN(2)/25))/(LN(2)/25)*Calculateur!V60*Calculateur!X60*VLOOKUP('Données projet'!$B$9,Paramètres!$A$1:$I$89,3,0)*0.475*44/12</f>
        <v>16.435764866453301</v>
      </c>
      <c r="AB60" s="21">
        <f>EXP(-LN(2)/2)*AB59+(1-EXP(-LN(2)/2))/(LN(2)/2)*V60*Y60*VLOOKUP('Données projet'!$B$9,Paramètres!$A$1:$I$89,3,0)*0.475*44/12</f>
        <v>1.0283763922656726</v>
      </c>
      <c r="AC60" s="22">
        <f t="shared" si="3"/>
        <v>61.385305128943884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219.10823999999994</v>
      </c>
      <c r="BF60" s="13">
        <f t="shared" si="37"/>
        <v>53.921020297295854</v>
      </c>
      <c r="BG60" s="20">
        <f t="shared" si="7"/>
        <v>475.52596168445672</v>
      </c>
      <c r="BH60" s="59">
        <f t="shared" si="8"/>
        <v>768.85929501779003</v>
      </c>
      <c r="BI60" s="59">
        <f ca="1">AVERAGE(OFFSET($BH$3,0,0,'Données projet'!$E$11+1,1))-AVERAGE(OFFSET($H$3,0,0,'Données projet'!$E$11+1,1))</f>
        <v>273.69926316253162</v>
      </c>
      <c r="BJ60" s="59">
        <f t="shared" si="38"/>
        <v>270.78513558650451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35.720912234344766</v>
      </c>
      <c r="BQ60" s="21">
        <f>EXP(-LN(2)/25)*BQ59+(1-EXP(-LN(2)/25))/(LN(2)/25)*Calculateur!BL60*Calculateur!BN60*VLOOKUP('Données projet'!$B$11,Paramètres!$A$1:$I$89,3,0)*0.475*44/12</f>
        <v>12.309762912715728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48.030675147060492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7.2307692307692264</v>
      </c>
      <c r="BY60" s="12">
        <f>IF('Données projet'!$A$114&gt;35,BY59+BX60-CG59,IF(A60&lt;'Données projet'!$A$114,$BV$205^A60,IF(A60='Données projet'!$A$114,'Données projet'!$B$114,BY59+BX60-CG59)))</f>
        <v>180.75641025641036</v>
      </c>
      <c r="BZ60" s="13">
        <f>BY60*VLOOKUP('Données projet'!$B$12,Paramètres!$A$1:$I$89,3,0)*VLOOKUP('Données projet'!$B$12,Paramètres!$A$1:$I$89,5,0)</f>
        <v>163.54840000000007</v>
      </c>
      <c r="CA60" s="13">
        <f t="shared" si="39"/>
        <v>41.641842320311184</v>
      </c>
      <c r="CB60" s="20">
        <f t="shared" si="10"/>
        <v>357.37300537454212</v>
      </c>
      <c r="CC60" s="59">
        <f t="shared" si="11"/>
        <v>650.70633870787537</v>
      </c>
      <c r="CD60" s="59">
        <f ca="1">AVERAGE(OFFSET($CC$3,0,0,'Données projet'!$E$12+1,1))-AVERAGE(OFFSET($H$3,0,0,'Données projet'!$E$12+1,1))</f>
        <v>302.4170391346459</v>
      </c>
      <c r="CE60" s="59">
        <f t="shared" si="40"/>
        <v>114.18498182856115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10.433653847499997</v>
      </c>
      <c r="N61" s="13">
        <f>IF('Données projet'!$A$36&gt;35,N60+M61-V60,IF(A61&lt;'Données projet'!$A$36,$K$205^A61,IF(A61='Données projet'!$A$36,'Données projet'!$B$36,N60+M61-V60)))</f>
        <v>332.63269230499981</v>
      </c>
      <c r="O61" s="13">
        <f>N61*VLOOKUP('Données projet'!$B$9,Paramètres!$A$1:$I$89,3,0)*VLOOKUP('Données projet'!$B$9,Paramètres!$A$1:$I$89,5,0)</f>
        <v>198.91434999838989</v>
      </c>
      <c r="P61" s="13">
        <f t="shared" si="33"/>
        <v>49.505499184388462</v>
      </c>
      <c r="Q61" s="20">
        <f t="shared" si="53"/>
        <v>432.66457066000567</v>
      </c>
      <c r="R61" s="59">
        <f t="shared" si="0"/>
        <v>725.99790399333892</v>
      </c>
      <c r="S61" s="59">
        <f ca="1">AVERAGE(OFFSET($R$3,0,0,'Données projet'!$E$9+1,1))-AVERAGE(OFFSET($H$3,0,0,'Données projet'!$E$9+1,1))</f>
        <v>194.89717355535993</v>
      </c>
      <c r="T61" s="59">
        <f t="shared" si="34"/>
        <v>195.422737562245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43.059896635994541</v>
      </c>
      <c r="AA61" s="21">
        <f>EXP(-LN(2)/25)*AA60+(1-EXP(-LN(2)/25))/(LN(2)/25)*Calculateur!V61*Calculateur!X61*VLOOKUP('Données projet'!$B$9,Paramètres!$A$1:$I$89,3,0)*0.475*44/12</f>
        <v>15.986328011860826</v>
      </c>
      <c r="AB61" s="21">
        <f>EXP(-LN(2)/2)*AB60+(1-EXP(-LN(2)/2))/(LN(2)/2)*V61*Y61*VLOOKUP('Données projet'!$B$9,Paramètres!$A$1:$I$89,3,0)*0.475*44/12</f>
        <v>0.72717192058321412</v>
      </c>
      <c r="AC61" s="22">
        <f t="shared" si="3"/>
        <v>59.773396568438585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224.04095999999993</v>
      </c>
      <c r="BF61" s="13">
        <f t="shared" si="37"/>
        <v>54.992235867381233</v>
      </c>
      <c r="BG61" s="20">
        <f t="shared" si="7"/>
        <v>485.98281613568884</v>
      </c>
      <c r="BH61" s="59">
        <f t="shared" si="8"/>
        <v>779.31614946902209</v>
      </c>
      <c r="BI61" s="59">
        <f ca="1">AVERAGE(OFFSET($BH$3,0,0,'Données projet'!$E$11+1,1))-AVERAGE(OFFSET($H$3,0,0,'Données projet'!$E$11+1,1))</f>
        <v>273.69926316253162</v>
      </c>
      <c r="BJ61" s="59">
        <f t="shared" si="38"/>
        <v>270.78513558650451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35.020446933034378</v>
      </c>
      <c r="BQ61" s="21">
        <f>EXP(-LN(2)/25)*BQ60+(1-EXP(-LN(2)/25))/(LN(2)/25)*Calculateur!BL61*Calculateur!BN61*VLOOKUP('Données projet'!$B$11,Paramètres!$A$1:$I$89,3,0)*0.475*44/12</f>
        <v>11.973151798525219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46.993598731559601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187.98717948717947</v>
      </c>
      <c r="BW61" s="12">
        <f>VLOOKUP(A61,'Données projet'!$A$113:$I$133,9,0)</f>
        <v>7.2307692307692264</v>
      </c>
      <c r="BX61" s="12">
        <f t="array" ref="BX61">INDEX(BW:BW,MIN(IF(ISNUMBER(BW61:BW257),ROW(BW61:BW257),"")))</f>
        <v>7.2307692307692264</v>
      </c>
      <c r="BY61" s="12">
        <f>IF('Données projet'!$A$114&gt;35,BY60+BX61-CG60,IF(A61&lt;'Données projet'!$A$114,$BV$205^A61,IF(A61='Données projet'!$A$114,'Données projet'!$B$114,BY60+BX61-CG60)))</f>
        <v>187.98717948717959</v>
      </c>
      <c r="BZ61" s="13">
        <f>BY61*VLOOKUP('Données projet'!$B$12,Paramètres!$A$1:$I$89,3,0)*VLOOKUP('Données projet'!$B$12,Paramètres!$A$1:$I$89,5,0)</f>
        <v>170.09080000000009</v>
      </c>
      <c r="CA61" s="13">
        <f t="shared" si="39"/>
        <v>43.1103591327537</v>
      </c>
      <c r="CB61" s="20">
        <f t="shared" si="10"/>
        <v>371.32535215621283</v>
      </c>
      <c r="CC61" s="59">
        <f t="shared" si="11"/>
        <v>664.65868548954609</v>
      </c>
      <c r="CD61" s="59">
        <f ca="1">AVERAGE(OFFSET($CC$3,0,0,'Données projet'!$E$12+1,1))-AVERAGE(OFFSET($H$3,0,0,'Données projet'!$E$12+1,1))</f>
        <v>302.4170391346459</v>
      </c>
      <c r="CE61" s="59">
        <f t="shared" si="40"/>
        <v>114.18498182856115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35.88461538461538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10.433653847499997</v>
      </c>
      <c r="N62" s="13">
        <f>IF('Données projet'!$A$36&gt;35,N61+M62-V61,IF(A62&lt;'Données projet'!$A$36,$K$205^A62,IF(A62='Données projet'!$A$36,'Données projet'!$B$36,N61+M62-V61)))</f>
        <v>343.06634615249982</v>
      </c>
      <c r="O62" s="13">
        <f>N62*VLOOKUP('Données projet'!$B$9,Paramètres!$A$1:$I$89,3,0)*VLOOKUP('Données projet'!$B$9,Paramètres!$A$1:$I$89,5,0)</f>
        <v>205.15367499919492</v>
      </c>
      <c r="P62" s="13">
        <f t="shared" si="33"/>
        <v>50.875106959004015</v>
      </c>
      <c r="Q62" s="20">
        <f t="shared" si="53"/>
        <v>445.91679524386308</v>
      </c>
      <c r="R62" s="59">
        <f t="shared" si="0"/>
        <v>739.25012857719639</v>
      </c>
      <c r="S62" s="59">
        <f ca="1">AVERAGE(OFFSET($R$3,0,0,'Données projet'!$E$9+1,1))-AVERAGE(OFFSET($H$3,0,0,'Données projet'!$E$9+1,1))</f>
        <v>194.89717355535993</v>
      </c>
      <c r="T62" s="59">
        <f t="shared" si="34"/>
        <v>195.422737562245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42.215518326906285</v>
      </c>
      <c r="AA62" s="21">
        <f>EXP(-LN(2)/25)*AA61+(1-EXP(-LN(2)/25))/(LN(2)/25)*Calculateur!V62*Calculateur!X62*VLOOKUP('Données projet'!$B$9,Paramètres!$A$1:$I$89,3,0)*0.475*44/12</f>
        <v>15.549181031692038</v>
      </c>
      <c r="AB62" s="21">
        <f>EXP(-LN(2)/2)*AB61+(1-EXP(-LN(2)/2))/(LN(2)/2)*V62*Y62*VLOOKUP('Données projet'!$B$9,Paramètres!$A$1:$I$89,3,0)*0.475*44/12</f>
        <v>0.51418819613283628</v>
      </c>
      <c r="AC62" s="22">
        <f t="shared" si="3"/>
        <v>58.278887554731156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228.97367999999994</v>
      </c>
      <c r="BF62" s="13">
        <f t="shared" si="37"/>
        <v>56.060709423888284</v>
      </c>
      <c r="BG62" s="20">
        <f t="shared" si="7"/>
        <v>496.43489491327199</v>
      </c>
      <c r="BH62" s="59">
        <f t="shared" si="8"/>
        <v>789.7682282466053</v>
      </c>
      <c r="BI62" s="59">
        <f ca="1">AVERAGE(OFFSET($BH$3,0,0,'Données projet'!$E$11+1,1))-AVERAGE(OFFSET($H$3,0,0,'Données projet'!$E$11+1,1))</f>
        <v>273.69926316253162</v>
      </c>
      <c r="BJ62" s="59">
        <f t="shared" si="38"/>
        <v>270.78513558650451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34.333717329041043</v>
      </c>
      <c r="BQ62" s="21">
        <f>EXP(-LN(2)/25)*BQ61+(1-EXP(-LN(2)/25))/(LN(2)/25)*Calculateur!BL62*Calculateur!BN62*VLOOKUP('Données projet'!$B$11,Paramètres!$A$1:$I$89,3,0)*0.475*44/12</f>
        <v>11.645745332953858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45.979462661994901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6.9975961538461569</v>
      </c>
      <c r="BY62" s="12">
        <f>IF('Données projet'!$A$114&gt;35,BY61+BX62-CG61,IF(A62&lt;'Données projet'!$A$114,$BV$205^A62,IF(A62='Données projet'!$A$114,'Données projet'!$B$114,BY61+BX62-CG61)))</f>
        <v>159.10016025641036</v>
      </c>
      <c r="BZ62" s="13">
        <f>BY62*VLOOKUP('Données projet'!$B$12,Paramètres!$A$1:$I$89,3,0)*VLOOKUP('Données projet'!$B$12,Paramètres!$A$1:$I$89,5,0)</f>
        <v>143.95382500000008</v>
      </c>
      <c r="CA62" s="13">
        <f t="shared" si="39"/>
        <v>37.201297925394456</v>
      </c>
      <c r="CB62" s="20">
        <f t="shared" si="10"/>
        <v>315.51183909506216</v>
      </c>
      <c r="CC62" s="59">
        <f t="shared" si="11"/>
        <v>608.84517242839547</v>
      </c>
      <c r="CD62" s="59">
        <f ca="1">AVERAGE(OFFSET($CC$3,0,0,'Données projet'!$E$12+1,1))-AVERAGE(OFFSET($H$3,0,0,'Données projet'!$E$12+1,1))</f>
        <v>302.4170391346459</v>
      </c>
      <c r="CE62" s="59">
        <f t="shared" si="40"/>
        <v>114.18498182856115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353.5</v>
      </c>
      <c r="L63" s="12">
        <f>VLOOKUP(A63,'Données projet'!$A$35:$I$55,9,0)</f>
        <v>10.433653847499997</v>
      </c>
      <c r="M63" s="12">
        <f t="array" ref="M63">INDEX(L:L,MIN(IF(ISNUMBER(L63:L259),ROW(L63:L259),"")))</f>
        <v>10.433653847499997</v>
      </c>
      <c r="N63" s="13">
        <f>IF('Données projet'!$A$36&gt;35,N62+M63-V62,IF(A63&lt;'Données projet'!$A$36,$K$205^A63,IF(A63='Données projet'!$A$36,'Données projet'!$B$36,N62+M63-V62)))</f>
        <v>353.49999999999983</v>
      </c>
      <c r="O63" s="13">
        <f>N63*VLOOKUP('Données projet'!$B$9,Paramètres!$A$1:$I$89,3,0)*VLOOKUP('Données projet'!$B$9,Paramètres!$A$1:$I$89,5,0)</f>
        <v>211.39299999999992</v>
      </c>
      <c r="P63" s="13">
        <f t="shared" si="33"/>
        <v>52.239874015944039</v>
      </c>
      <c r="Q63" s="20">
        <f t="shared" si="53"/>
        <v>459.16058891110237</v>
      </c>
      <c r="R63" s="59">
        <f t="shared" si="0"/>
        <v>752.49392224443568</v>
      </c>
      <c r="S63" s="59">
        <f ca="1">AVERAGE(OFFSET($R$3,0,0,'Données projet'!$E$9+1,1))-AVERAGE(OFFSET($H$3,0,0,'Données projet'!$E$9+1,1))</f>
        <v>194.89717355535993</v>
      </c>
      <c r="T63" s="59">
        <f t="shared" si="34"/>
        <v>195.422737562245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353.5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7.6500000000000012E-2</v>
      </c>
      <c r="Y63" s="16">
        <f>IF(ISNA(VLOOKUP(A63,'Données projet'!$A$35:$I$55,7,0)),0%,VLOOKUP(A63,'Données projet'!$A$35:$I$55,7,0))</f>
        <v>0.13</v>
      </c>
      <c r="Z63" s="21">
        <f>EXP(-LN(2)/35)*Z62+(1-EXP(-LN(2)/35))/(LN(2)/35)*V63*W63*VLOOKUP('Données projet'!$B$9,Paramètres!$A$1:$I$89,3,0)*0.475*44/12</f>
        <v>129.72202633898954</v>
      </c>
      <c r="AA63" s="21">
        <f>EXP(-LN(2)/25)*AA62+(1-EXP(-LN(2)/25))/(LN(2)/25)*Calculateur!V63*Calculateur!X63*VLOOKUP('Données projet'!$B$9,Paramètres!$A$1:$I$89,3,0)*0.475*44/12</f>
        <v>36.49214336375141</v>
      </c>
      <c r="AB63" s="21">
        <f>EXP(-LN(2)/2)*AB62+(1-EXP(-LN(2)/2))/(LN(2)/2)*V63*Y63*VLOOKUP('Données projet'!$B$9,Paramètres!$A$1:$I$89,3,0)*0.475*44/12</f>
        <v>31.47856362952319</v>
      </c>
      <c r="AC63" s="22">
        <f t="shared" si="3"/>
        <v>197.69273333226414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233.90639999999991</v>
      </c>
      <c r="BF63" s="13">
        <f t="shared" si="37"/>
        <v>57.126506840778347</v>
      </c>
      <c r="BG63" s="20">
        <f t="shared" si="7"/>
        <v>506.88231274768879</v>
      </c>
      <c r="BH63" s="59">
        <f t="shared" si="8"/>
        <v>800.2156460810221</v>
      </c>
      <c r="BI63" s="59">
        <f ca="1">AVERAGE(OFFSET($BH$3,0,0,'Données projet'!$E$11+1,1))-AVERAGE(OFFSET($H$3,0,0,'Données projet'!$E$11+1,1))</f>
        <v>273.69926316253162</v>
      </c>
      <c r="BJ63" s="59">
        <f t="shared" si="38"/>
        <v>270.78513558650451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0.49290000000000006</v>
      </c>
      <c r="BN63" s="16">
        <f>IF(ISNA(VLOOKUP(A63,'Données projet'!$A$87:$I$107,6,0)),0%,VLOOKUP(A63,'Données projet'!$A$87:$I$107,6,0)*VLOOKUP('Données projet'!$B$11,Paramètres!$A$1:$I$89,7,0))</f>
        <v>3.7100000000000008E-2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39.729616195357956</v>
      </c>
      <c r="BQ63" s="21">
        <f>EXP(-LN(2)/25)*BQ62+(1-EXP(-LN(2)/25))/(LN(2)/25)*Calculateur!BL63*Calculateur!BN63*VLOOKUP('Données projet'!$B$11,Paramètres!$A$1:$I$89,3,0)*0.475*44/12</f>
        <v>11.782311799614467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51.511927994972424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6.9975961538461569</v>
      </c>
      <c r="BY63" s="12">
        <f>IF('Données projet'!$A$114&gt;35,BY62+BX63-CG62,IF(A63&lt;'Données projet'!$A$114,$BV$205^A63,IF(A63='Données projet'!$A$114,'Données projet'!$B$114,BY62+BX63-CG62)))</f>
        <v>166.09775641025652</v>
      </c>
      <c r="BZ63" s="13">
        <f>BY63*VLOOKUP('Données projet'!$B$12,Paramètres!$A$1:$I$89,3,0)*VLOOKUP('Données projet'!$B$12,Paramètres!$A$1:$I$89,5,0)</f>
        <v>150.2852500000001</v>
      </c>
      <c r="CA63" s="13">
        <f t="shared" si="39"/>
        <v>38.643402537471268</v>
      </c>
      <c r="CB63" s="20">
        <f t="shared" si="10"/>
        <v>329.05073650276262</v>
      </c>
      <c r="CC63" s="59">
        <f t="shared" si="11"/>
        <v>622.38406983609593</v>
      </c>
      <c r="CD63" s="59">
        <f ca="1">AVERAGE(OFFSET($CC$3,0,0,'Données projet'!$E$12+1,1))-AVERAGE(OFFSET($H$3,0,0,'Données projet'!$E$12+1,1))</f>
        <v>302.4170391346459</v>
      </c>
      <c r="CE63" s="59">
        <f t="shared" si="40"/>
        <v>114.18498182856115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194.89717355535993</v>
      </c>
      <c r="T64" s="59">
        <f t="shared" si="34"/>
        <v>195.422737562245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127.17825652510531</v>
      </c>
      <c r="AA64" s="21">
        <f>EXP(-LN(2)/25)*AA63+(1-EXP(-LN(2)/25))/(LN(2)/25)*Calculateur!V64*Calculateur!X64*VLOOKUP('Données projet'!$B$9,Paramètres!$A$1:$I$89,3,0)*0.475*44/12</f>
        <v>35.494263784431212</v>
      </c>
      <c r="AB64" s="21">
        <f>EXP(-LN(2)/2)*AB63+(1-EXP(-LN(2)/2))/(LN(2)/2)*V64*Y64*VLOOKUP('Données projet'!$B$9,Paramètres!$A$1:$I$89,3,0)*0.475*44/12</f>
        <v>22.25870580444807</v>
      </c>
      <c r="AC64" s="22">
        <f t="shared" si="3"/>
        <v>184.93122611398462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226.90511999999993</v>
      </c>
      <c r="BF64" s="13">
        <f t="shared" si="37"/>
        <v>55.612969408444364</v>
      </c>
      <c r="BG64" s="20">
        <f t="shared" si="7"/>
        <v>492.05233905304044</v>
      </c>
      <c r="BH64" s="59">
        <f t="shared" si="8"/>
        <v>785.3856723863737</v>
      </c>
      <c r="BI64" s="59">
        <f ca="1">AVERAGE(OFFSET($BH$3,0,0,'Données projet'!$E$11+1,1))-AVERAGE(OFFSET($H$3,0,0,'Données projet'!$E$11+1,1))</f>
        <v>273.69926316253162</v>
      </c>
      <c r="BJ64" s="59">
        <f t="shared" si="38"/>
        <v>270.78513558650451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38.950542654440085</v>
      </c>
      <c r="BQ64" s="21">
        <f>EXP(-LN(2)/25)*BQ63+(1-EXP(-LN(2)/25))/(LN(2)/25)*Calculateur!BL64*Calculateur!BN64*VLOOKUP('Données projet'!$B$11,Paramètres!$A$1:$I$89,3,0)*0.475*44/12</f>
        <v>11.46012386384916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50.410666518289247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6.9975961538461569</v>
      </c>
      <c r="BY64" s="12">
        <f>IF('Données projet'!$A$114&gt;35,BY63+BX64-CG63,IF(A64&lt;'Données projet'!$A$114,$BV$205^A64,IF(A64='Données projet'!$A$114,'Données projet'!$B$114,BY63+BX64-CG63)))</f>
        <v>173.09535256410268</v>
      </c>
      <c r="BZ64" s="13">
        <f>BY64*VLOOKUP('Données projet'!$B$12,Paramètres!$A$1:$I$89,3,0)*VLOOKUP('Données projet'!$B$12,Paramètres!$A$1:$I$89,5,0)</f>
        <v>156.6166750000001</v>
      </c>
      <c r="CA64" s="13">
        <f t="shared" si="39"/>
        <v>40.078450376926597</v>
      </c>
      <c r="CB64" s="20">
        <f t="shared" si="10"/>
        <v>342.57734336481394</v>
      </c>
      <c r="CC64" s="59">
        <f t="shared" si="11"/>
        <v>635.9106766981472</v>
      </c>
      <c r="CD64" s="59">
        <f ca="1">AVERAGE(OFFSET($CC$3,0,0,'Données projet'!$E$12+1,1))-AVERAGE(OFFSET($H$3,0,0,'Données projet'!$E$12+1,1))</f>
        <v>302.4170391346459</v>
      </c>
      <c r="CE64" s="59">
        <f t="shared" si="40"/>
        <v>114.18498182856115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194.89717355535993</v>
      </c>
      <c r="T65" s="59">
        <f t="shared" si="34"/>
        <v>195.422737562245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124.68436848572497</v>
      </c>
      <c r="AA65" s="21">
        <f>EXP(-LN(2)/25)*AA64+(1-EXP(-LN(2)/25))/(LN(2)/25)*Calculateur!V65*Calculateur!X65*VLOOKUP('Données projet'!$B$9,Paramètres!$A$1:$I$89,3,0)*0.475*44/12</f>
        <v>34.523671274683728</v>
      </c>
      <c r="AB65" s="21">
        <f>EXP(-LN(2)/2)*AB64+(1-EXP(-LN(2)/2))/(LN(2)/2)*V65*Y65*VLOOKUP('Données projet'!$B$9,Paramètres!$A$1:$I$89,3,0)*0.475*44/12</f>
        <v>15.739281814761597</v>
      </c>
      <c r="AC65" s="22">
        <f t="shared" si="3"/>
        <v>174.94732157517029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231.04223999999991</v>
      </c>
      <c r="BF65" s="13">
        <f t="shared" si="37"/>
        <v>56.507978852931409</v>
      </c>
      <c r="BG65" s="20">
        <f t="shared" si="7"/>
        <v>500.81663116885539</v>
      </c>
      <c r="BH65" s="59">
        <f t="shared" si="8"/>
        <v>794.14996450218871</v>
      </c>
      <c r="BI65" s="59">
        <f ca="1">AVERAGE(OFFSET($BH$3,0,0,'Données projet'!$E$11+1,1))-AVERAGE(OFFSET($H$3,0,0,'Données projet'!$E$11+1,1))</f>
        <v>273.69926316253162</v>
      </c>
      <c r="BJ65" s="59">
        <f t="shared" si="38"/>
        <v>270.78513558650451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38.18674627047168</v>
      </c>
      <c r="BQ65" s="21">
        <f>EXP(-LN(2)/25)*BQ64+(1-EXP(-LN(2)/25))/(LN(2)/25)*Calculateur!BL65*Calculateur!BN65*VLOOKUP('Données projet'!$B$11,Paramètres!$A$1:$I$89,3,0)*0.475*44/12</f>
        <v>11.146746174130485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49.333492444602165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6.9975961538461569</v>
      </c>
      <c r="BY65" s="12">
        <f>IF('Données projet'!$A$114&gt;35,BY64+BX65-CG64,IF(A65&lt;'Données projet'!$A$114,$BV$205^A65,IF(A65='Données projet'!$A$114,'Données projet'!$B$114,BY64+BX65-CG64)))</f>
        <v>180.09294871794884</v>
      </c>
      <c r="BZ65" s="13">
        <f>BY65*VLOOKUP('Données projet'!$B$12,Paramètres!$A$1:$I$89,3,0)*VLOOKUP('Données projet'!$B$12,Paramètres!$A$1:$I$89,5,0)</f>
        <v>162.94810000000012</v>
      </c>
      <c r="CA65" s="13">
        <f t="shared" si="39"/>
        <v>41.506759357421522</v>
      </c>
      <c r="CB65" s="20">
        <f t="shared" si="10"/>
        <v>356.09221338084268</v>
      </c>
      <c r="CC65" s="59">
        <f t="shared" si="11"/>
        <v>649.42554671417599</v>
      </c>
      <c r="CD65" s="59">
        <f ca="1">AVERAGE(OFFSET($CC$3,0,0,'Données projet'!$E$12+1,1))-AVERAGE(OFFSET($H$3,0,0,'Données projet'!$E$12+1,1))</f>
        <v>302.4170391346459</v>
      </c>
      <c r="CE65" s="59">
        <f t="shared" si="40"/>
        <v>114.18498182856115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194.89717355535993</v>
      </c>
      <c r="T66" s="59">
        <f t="shared" si="34"/>
        <v>195.422737562245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122.23938406967538</v>
      </c>
      <c r="AA66" s="21">
        <f>EXP(-LN(2)/25)*AA65+(1-EXP(-LN(2)/25))/(LN(2)/25)*Calculateur!V66*Calculateur!X66*VLOOKUP('Données projet'!$B$9,Paramètres!$A$1:$I$89,3,0)*0.475*44/12</f>
        <v>33.579619668156532</v>
      </c>
      <c r="AB66" s="21">
        <f>EXP(-LN(2)/2)*AB65+(1-EXP(-LN(2)/2))/(LN(2)/2)*V66*Y66*VLOOKUP('Données projet'!$B$9,Paramètres!$A$1:$I$89,3,0)*0.475*44/12</f>
        <v>11.129352902224037</v>
      </c>
      <c r="AC66" s="22">
        <f t="shared" si="3"/>
        <v>166.94835664005595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235.17935999999989</v>
      </c>
      <c r="BF66" s="13">
        <f t="shared" si="37"/>
        <v>57.401124668909425</v>
      </c>
      <c r="BG66" s="20">
        <f t="shared" si="7"/>
        <v>509.57767746501708</v>
      </c>
      <c r="BH66" s="59">
        <f t="shared" si="8"/>
        <v>802.91101079835039</v>
      </c>
      <c r="BI66" s="59">
        <f ca="1">AVERAGE(OFFSET($BH$3,0,0,'Données projet'!$E$11+1,1))-AVERAGE(OFFSET($H$3,0,0,'Données projet'!$E$11+1,1))</f>
        <v>273.69926316253162</v>
      </c>
      <c r="BJ66" s="59">
        <f t="shared" si="38"/>
        <v>270.78513558650451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37.4379274677231</v>
      </c>
      <c r="BQ66" s="21">
        <f>EXP(-LN(2)/25)*BQ65+(1-EXP(-LN(2)/25))/(LN(2)/25)*Calculateur!BL66*Calculateur!BN66*VLOOKUP('Données projet'!$B$11,Paramètres!$A$1:$I$89,3,0)*0.475*44/12</f>
        <v>10.841937813816982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48.279865281540083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6.9975961538461569</v>
      </c>
      <c r="BY66" s="12">
        <f>IF('Données projet'!$A$114&gt;35,BY65+BX66-CG65,IF(A66&lt;'Données projet'!$A$114,$BV$205^A66,IF(A66='Données projet'!$A$114,'Données projet'!$B$114,BY65+BX66-CG65)))</f>
        <v>187.090544871795</v>
      </c>
      <c r="BZ66" s="13">
        <f>BY66*VLOOKUP('Données projet'!$B$12,Paramètres!$A$1:$I$89,3,0)*VLOOKUP('Données projet'!$B$12,Paramètres!$A$1:$I$89,5,0)</f>
        <v>169.27952500000012</v>
      </c>
      <c r="CA66" s="13">
        <f t="shared" si="39"/>
        <v>42.928621288335528</v>
      </c>
      <c r="CB66" s="20">
        <f t="shared" si="10"/>
        <v>369.59585478551793</v>
      </c>
      <c r="CC66" s="59">
        <f t="shared" si="11"/>
        <v>662.92918811885124</v>
      </c>
      <c r="CD66" s="59">
        <f ca="1">AVERAGE(OFFSET($CC$3,0,0,'Données projet'!$E$12+1,1))-AVERAGE(OFFSET($H$3,0,0,'Données projet'!$E$12+1,1))</f>
        <v>302.4170391346459</v>
      </c>
      <c r="CE66" s="59">
        <f t="shared" si="40"/>
        <v>114.18498182856115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194.89717355535993</v>
      </c>
      <c r="T67" s="59">
        <f t="shared" si="34"/>
        <v>195.422737562245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119.84234430673128</v>
      </c>
      <c r="AA67" s="21">
        <f>EXP(-LN(2)/25)*AA66+(1-EXP(-LN(2)/25))/(LN(2)/25)*Calculateur!V67*Calculateur!X67*VLOOKUP('Données projet'!$B$9,Paramètres!$A$1:$I$89,3,0)*0.475*44/12</f>
        <v>32.66138320245534</v>
      </c>
      <c r="AB67" s="21">
        <f>EXP(-LN(2)/2)*AB66+(1-EXP(-LN(2)/2))/(LN(2)/2)*V67*Y67*VLOOKUP('Données projet'!$B$9,Paramètres!$A$1:$I$89,3,0)*0.475*44/12</f>
        <v>7.8696409073808002</v>
      </c>
      <c r="AC67" s="22">
        <f t="shared" si="3"/>
        <v>160.37336841656742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239.3164799999999</v>
      </c>
      <c r="BF67" s="13">
        <f t="shared" si="37"/>
        <v>58.292443422481945</v>
      </c>
      <c r="BG67" s="20">
        <f t="shared" si="7"/>
        <v>518.33554162748919</v>
      </c>
      <c r="BH67" s="59">
        <f t="shared" si="8"/>
        <v>811.66887496082245</v>
      </c>
      <c r="BI67" s="59">
        <f ca="1">AVERAGE(OFFSET($BH$3,0,0,'Données projet'!$E$11+1,1))-AVERAGE(OFFSET($H$3,0,0,'Données projet'!$E$11+1,1))</f>
        <v>273.69926316253162</v>
      </c>
      <c r="BJ67" s="59">
        <f t="shared" si="38"/>
        <v>270.78513558650451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36.703792544962049</v>
      </c>
      <c r="BQ67" s="21">
        <f>EXP(-LN(2)/25)*BQ66+(1-EXP(-LN(2)/25))/(LN(2)/25)*Calculateur!BL67*Calculateur!BN67*VLOOKUP('Données projet'!$B$11,Paramètres!$A$1:$I$89,3,0)*0.475*44/12</f>
        <v>10.545464454145426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47.249256999107473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6.9975961538461569</v>
      </c>
      <c r="BY67" s="12">
        <f>IF('Données projet'!$A$114&gt;35,BY66+BX67-CG66,IF(A67&lt;'Données projet'!$A$114,$BV$205^A67,IF(A67='Données projet'!$A$114,'Données projet'!$B$114,BY66+BX67-CG66)))</f>
        <v>194.08814102564116</v>
      </c>
      <c r="BZ67" s="13">
        <f>BY67*VLOOKUP('Données projet'!$B$12,Paramètres!$A$1:$I$89,3,0)*VLOOKUP('Données projet'!$B$12,Paramètres!$A$1:$I$89,5,0)</f>
        <v>175.61095000000012</v>
      </c>
      <c r="CA67" s="13">
        <f t="shared" si="39"/>
        <v>44.344304913788697</v>
      </c>
      <c r="CB67" s="20">
        <f t="shared" si="10"/>
        <v>383.08873564151554</v>
      </c>
      <c r="CC67" s="59">
        <f t="shared" si="11"/>
        <v>676.4220689748488</v>
      </c>
      <c r="CD67" s="59">
        <f ca="1">AVERAGE(OFFSET($CC$3,0,0,'Données projet'!$E$12+1,1))-AVERAGE(OFFSET($H$3,0,0,'Données projet'!$E$12+1,1))</f>
        <v>302.4170391346459</v>
      </c>
      <c r="CE67" s="59">
        <f t="shared" si="40"/>
        <v>114.18498182856115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194.89717355535993</v>
      </c>
      <c r="T68" s="59">
        <f t="shared" si="34"/>
        <v>195.422737562245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117.49230903148862</v>
      </c>
      <c r="AA68" s="21">
        <f>EXP(-LN(2)/25)*AA67+(1-EXP(-LN(2)/25))/(LN(2)/25)*Calculateur!V68*Calculateur!X68*VLOOKUP('Données projet'!$B$9,Paramètres!$A$1:$I$89,3,0)*0.475*44/12</f>
        <v>31.768255961196704</v>
      </c>
      <c r="AB68" s="21">
        <f>EXP(-LN(2)/2)*AB67+(1-EXP(-LN(2)/2))/(LN(2)/2)*V68*Y68*VLOOKUP('Données projet'!$B$9,Paramètres!$A$1:$I$89,3,0)*0.475*44/12</f>
        <v>5.5646764511120193</v>
      </c>
      <c r="AC68" s="22">
        <f t="shared" ref="AC68:AC131" si="57">SUM(Z68:AB68)</f>
        <v>154.82524144379732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243.45359999999988</v>
      </c>
      <c r="BF68" s="13">
        <f t="shared" si="37"/>
        <v>59.181970343065267</v>
      </c>
      <c r="BG68" s="20">
        <f t="shared" ref="BG68:BG131" si="61">(BE68+BF68)*0.475*44/12</f>
        <v>527.09028501417163</v>
      </c>
      <c r="BH68" s="59">
        <f t="shared" ref="BH68:BH131" si="62">BG68+(AY68+AZ68)*44/12</f>
        <v>820.423618347505</v>
      </c>
      <c r="BI68" s="59">
        <f ca="1">AVERAGE(OFFSET($BH$3,0,0,'Données projet'!$E$11+1,1))-AVERAGE(OFFSET($H$3,0,0,'Données projet'!$E$11+1,1))</f>
        <v>273.69926316253162</v>
      </c>
      <c r="BJ68" s="59">
        <f t="shared" si="38"/>
        <v>270.78513558650451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0.48760000000000003</v>
      </c>
      <c r="BN68" s="16">
        <f>IF(ISNA(VLOOKUP(A68,'Données projet'!$A$87:$I$107,6,0)),0%,VLOOKUP(A68,'Données projet'!$A$87:$I$107,6,0)*VLOOKUP('Données projet'!$B$11,Paramètres!$A$1:$I$89,7,0))</f>
        <v>4.24E-2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41.559105708861182</v>
      </c>
      <c r="BQ68" s="21">
        <f>EXP(-LN(2)/25)*BQ67+(1-EXP(-LN(2)/25))/(LN(2)/25)*Calculateur!BL68*Calculateur!BN68*VLOOKUP('Données projet'!$B$11,Paramètres!$A$1:$I$89,3,0)*0.475*44/12</f>
        <v>10.739976525739944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52.29908223460113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6.9975961538461569</v>
      </c>
      <c r="BY68" s="12">
        <f>IF('Données projet'!$A$114&gt;35,BY67+BX68-CG67,IF(A68&lt;'Données projet'!$A$114,$BV$205^A68,IF(A68='Données projet'!$A$114,'Données projet'!$B$114,BY67+BX68-CG67)))</f>
        <v>201.08573717948732</v>
      </c>
      <c r="BZ68" s="13">
        <f>BY68*VLOOKUP('Données projet'!$B$12,Paramètres!$A$1:$I$89,3,0)*VLOOKUP('Données projet'!$B$12,Paramètres!$A$1:$I$89,5,0)</f>
        <v>181.94237500000011</v>
      </c>
      <c r="CA68" s="13">
        <f t="shared" si="39"/>
        <v>45.754058501074866</v>
      </c>
      <c r="CB68" s="20">
        <f t="shared" ref="CB68:CB131" si="64">(BZ68+CA68)*0.475*44/12</f>
        <v>396.5712883477056</v>
      </c>
      <c r="CC68" s="59">
        <f t="shared" ref="CC68:CC131" si="65">CB68+(BT68+BU68)*44/12</f>
        <v>689.90462168103886</v>
      </c>
      <c r="CD68" s="59">
        <f ca="1">AVERAGE(OFFSET($CC$3,0,0,'Données projet'!$E$12+1,1))-AVERAGE(OFFSET($H$3,0,0,'Données projet'!$E$12+1,1))</f>
        <v>302.4170391346459</v>
      </c>
      <c r="CE68" s="59">
        <f t="shared" si="40"/>
        <v>114.18498182856115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194.89717355535993</v>
      </c>
      <c r="T69" s="59">
        <f t="shared" ref="T69:T132" si="88">$T$3</f>
        <v>195.422737562245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115.18835651461347</v>
      </c>
      <c r="AA69" s="21">
        <f>EXP(-LN(2)/25)*AA68+(1-EXP(-LN(2)/25))/(LN(2)/25)*Calculateur!V69*Calculateur!X69*VLOOKUP('Données projet'!$B$9,Paramètres!$A$1:$I$89,3,0)*0.475*44/12</f>
        <v>30.899551331317806</v>
      </c>
      <c r="AB69" s="21">
        <f>EXP(-LN(2)/2)*AB68+(1-EXP(-LN(2)/2))/(LN(2)/2)*V69*Y69*VLOOKUP('Données projet'!$B$9,Paramètres!$A$1:$I$89,3,0)*0.475*44/12</f>
        <v>3.9348204536904006</v>
      </c>
      <c r="AC69" s="22">
        <f t="shared" si="57"/>
        <v>150.02272829962169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236.7705599999999</v>
      </c>
      <c r="BF69" s="13">
        <f t="shared" ref="BF69:BF132" si="91">EXP(-1.0587+0.8836*LN(BE69)+0.284)</f>
        <v>57.744153841586879</v>
      </c>
      <c r="BG69" s="20">
        <f t="shared" si="61"/>
        <v>512.9464599407637</v>
      </c>
      <c r="BH69" s="59">
        <f t="shared" si="62"/>
        <v>806.27979327409707</v>
      </c>
      <c r="BI69" s="59">
        <f ca="1">AVERAGE(OFFSET($BH$3,0,0,'Données projet'!$E$11+1,1))-AVERAGE(OFFSET($H$3,0,0,'Données projet'!$E$11+1,1))</f>
        <v>273.69926316253162</v>
      </c>
      <c r="BJ69" s="59">
        <f t="shared" ref="BJ69:BJ132" si="92">$BJ$3</f>
        <v>270.78513558650451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40.744156994461932</v>
      </c>
      <c r="BQ69" s="21">
        <f>EXP(-LN(2)/25)*BQ68+(1-EXP(-LN(2)/25))/(LN(2)/25)*Calculateur!BL69*Calculateur!BN69*VLOOKUP('Données projet'!$B$11,Paramètres!$A$1:$I$89,3,0)*0.475*44/12</f>
        <v>10.446291302852767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51.190448297314703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208.08333333333334</v>
      </c>
      <c r="BW69" s="12">
        <f>VLOOKUP(A69,'Données projet'!$A$113:$I$133,9,0)</f>
        <v>6.9975961538461569</v>
      </c>
      <c r="BX69" s="12">
        <f t="array" ref="BX69">INDEX(BW:BW,MIN(IF(ISNUMBER(BW69:BW265),ROW(BW69:BW265),"")))</f>
        <v>6.9975961538461569</v>
      </c>
      <c r="BY69" s="12">
        <f>IF('Données projet'!$A$114&gt;35,BY68+BX69-CG68,IF(A69&lt;'Données projet'!$A$114,$BV$205^A69,IF(A69='Données projet'!$A$114,'Données projet'!$B$114,BY68+BX69-CG68)))</f>
        <v>208.08333333333348</v>
      </c>
      <c r="BZ69" s="13">
        <f>BY69*VLOOKUP('Données projet'!$B$12,Paramètres!$A$1:$I$89,3,0)*VLOOKUP('Données projet'!$B$12,Paramètres!$A$1:$I$89,5,0)</f>
        <v>188.27380000000014</v>
      </c>
      <c r="CA69" s="13">
        <f t="shared" ref="CA69:CA132" si="93">EXP(-1.0587+0.8836*LN(BZ69)+0.284)</f>
        <v>47.158112058671726</v>
      </c>
      <c r="CB69" s="20">
        <f t="shared" si="64"/>
        <v>410.0439135021868</v>
      </c>
      <c r="CC69" s="59">
        <f t="shared" si="65"/>
        <v>703.37724683552005</v>
      </c>
      <c r="CD69" s="59">
        <f ca="1">AVERAGE(OFFSET($CC$3,0,0,'Données projet'!$E$12+1,1))-AVERAGE(OFFSET($H$3,0,0,'Données projet'!$E$12+1,1))</f>
        <v>302.4170391346459</v>
      </c>
      <c r="CE69" s="59">
        <f t="shared" ref="CE69:CE132" si="94">$CE$3</f>
        <v>114.18498182856115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39.166666666666664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194.89717355535993</v>
      </c>
      <c r="T70" s="59">
        <f t="shared" si="88"/>
        <v>195.422737562245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112.92958310132198</v>
      </c>
      <c r="AA70" s="21">
        <f>EXP(-LN(2)/25)*AA69+(1-EXP(-LN(2)/25))/(LN(2)/25)*Calculateur!V70*Calculateur!X70*VLOOKUP('Données projet'!$B$9,Paramètres!$A$1:$I$89,3,0)*0.475*44/12</f>
        <v>30.054601475226139</v>
      </c>
      <c r="AB70" s="21">
        <f>EXP(-LN(2)/2)*AB69+(1-EXP(-LN(2)/2))/(LN(2)/2)*V70*Y70*VLOOKUP('Données projet'!$B$9,Paramètres!$A$1:$I$89,3,0)*0.475*44/12</f>
        <v>2.7823382255560101</v>
      </c>
      <c r="AC70" s="22">
        <f t="shared" si="57"/>
        <v>145.76652280210413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240.43031999999991</v>
      </c>
      <c r="BF70" s="13">
        <f t="shared" si="91"/>
        <v>58.532106271380506</v>
      </c>
      <c r="BG70" s="20">
        <f t="shared" si="61"/>
        <v>520.69289242265415</v>
      </c>
      <c r="BH70" s="59">
        <f t="shared" si="62"/>
        <v>814.02622575598753</v>
      </c>
      <c r="BI70" s="59">
        <f ca="1">AVERAGE(OFFSET($BH$3,0,0,'Données projet'!$E$11+1,1))-AVERAGE(OFFSET($H$3,0,0,'Données projet'!$E$11+1,1))</f>
        <v>273.69926316253162</v>
      </c>
      <c r="BJ70" s="59">
        <f t="shared" si="92"/>
        <v>270.78513558650451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39.945188927282423</v>
      </c>
      <c r="BQ70" s="21">
        <f>EXP(-LN(2)/25)*BQ69+(1-EXP(-LN(2)/25))/(LN(2)/25)*Calculateur!BL70*Calculateur!BN70*VLOOKUP('Données projet'!$B$11,Paramètres!$A$1:$I$89,3,0)*0.475*44/12</f>
        <v>10.160636917829674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50.105825845112093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6.6995192307692264</v>
      </c>
      <c r="BY70" s="12">
        <f>IF('Données projet'!$A$114&gt;35,BY69+BX70-CG69,IF(A70&lt;'Données projet'!$A$114,$BV$205^A70,IF(A70='Données projet'!$A$114,'Données projet'!$B$114,BY69+BX70-CG69)))</f>
        <v>175.61618589743605</v>
      </c>
      <c r="BZ70" s="13">
        <f>BY70*VLOOKUP('Données projet'!$B$12,Paramètres!$A$1:$I$89,3,0)*VLOOKUP('Données projet'!$B$12,Paramètres!$A$1:$I$89,5,0)</f>
        <v>158.89752500000012</v>
      </c>
      <c r="CA70" s="13">
        <f t="shared" si="93"/>
        <v>40.593749114952736</v>
      </c>
      <c r="CB70" s="20">
        <f t="shared" si="64"/>
        <v>347.44730241687625</v>
      </c>
      <c r="CC70" s="59">
        <f t="shared" si="65"/>
        <v>640.78063575020951</v>
      </c>
      <c r="CD70" s="59">
        <f ca="1">AVERAGE(OFFSET($CC$3,0,0,'Données projet'!$E$12+1,1))-AVERAGE(OFFSET($H$3,0,0,'Données projet'!$E$12+1,1))</f>
        <v>302.4170391346459</v>
      </c>
      <c r="CE70" s="59">
        <f t="shared" si="94"/>
        <v>114.18498182856115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194.89717355535993</v>
      </c>
      <c r="T71" s="59">
        <f t="shared" si="88"/>
        <v>195.422737562245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110.71510285694939</v>
      </c>
      <c r="AA71" s="21">
        <f>EXP(-LN(2)/25)*AA70+(1-EXP(-LN(2)/25))/(LN(2)/25)*Calculateur!V71*Calculateur!X71*VLOOKUP('Données projet'!$B$9,Paramètres!$A$1:$I$89,3,0)*0.475*44/12</f>
        <v>29.232756817383279</v>
      </c>
      <c r="AB71" s="21">
        <f>EXP(-LN(2)/2)*AB70+(1-EXP(-LN(2)/2))/(LN(2)/2)*V71*Y71*VLOOKUP('Données projet'!$B$9,Paramètres!$A$1:$I$89,3,0)*0.475*44/12</f>
        <v>1.9674102268452007</v>
      </c>
      <c r="AC71" s="22">
        <f t="shared" si="57"/>
        <v>141.91526990117788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244.09007999999994</v>
      </c>
      <c r="BF71" s="13">
        <f t="shared" si="91"/>
        <v>59.318663780863893</v>
      </c>
      <c r="BG71" s="20">
        <f t="shared" si="61"/>
        <v>528.43689541833794</v>
      </c>
      <c r="BH71" s="59">
        <f t="shared" si="62"/>
        <v>821.77022875167131</v>
      </c>
      <c r="BI71" s="59">
        <f ca="1">AVERAGE(OFFSET($BH$3,0,0,'Données projet'!$E$11+1,1))-AVERAGE(OFFSET($H$3,0,0,'Données projet'!$E$11+1,1))</f>
        <v>273.69926316253162</v>
      </c>
      <c r="BJ71" s="59">
        <f t="shared" si="92"/>
        <v>270.78513558650451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39.1618881365779</v>
      </c>
      <c r="BQ71" s="21">
        <f>EXP(-LN(2)/25)*BQ70+(1-EXP(-LN(2)/25))/(LN(2)/25)*Calculateur!BL71*Calculateur!BN71*VLOOKUP('Données projet'!$B$11,Paramètres!$A$1:$I$89,3,0)*0.475*44/12</f>
        <v>9.8827937669869481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49.04468190356485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6.6995192307692264</v>
      </c>
      <c r="BY71" s="12">
        <f>IF('Données projet'!$A$114&gt;35,BY70+BX71-CG70,IF(A71&lt;'Données projet'!$A$114,$BV$205^A71,IF(A71='Données projet'!$A$114,'Données projet'!$B$114,BY70+BX71-CG70)))</f>
        <v>182.31570512820528</v>
      </c>
      <c r="BZ71" s="13">
        <f>BY71*VLOOKUP('Données projet'!$B$12,Paramètres!$A$1:$I$89,3,0)*VLOOKUP('Données projet'!$B$12,Paramètres!$A$1:$I$89,5,0)</f>
        <v>164.95925000000014</v>
      </c>
      <c r="CA71" s="13">
        <f t="shared" si="93"/>
        <v>41.959093163339809</v>
      </c>
      <c r="CB71" s="20">
        <f t="shared" si="64"/>
        <v>360.38278100948378</v>
      </c>
      <c r="CC71" s="59">
        <f t="shared" si="65"/>
        <v>653.71611434281704</v>
      </c>
      <c r="CD71" s="59">
        <f ca="1">AVERAGE(OFFSET($CC$3,0,0,'Données projet'!$E$12+1,1))-AVERAGE(OFFSET($H$3,0,0,'Données projet'!$E$12+1,1))</f>
        <v>302.4170391346459</v>
      </c>
      <c r="CE71" s="59">
        <f t="shared" si="94"/>
        <v>114.18498182856115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194.89717355535993</v>
      </c>
      <c r="T72" s="59">
        <f t="shared" si="88"/>
        <v>195.422737562245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108.54404721946936</v>
      </c>
      <c r="AA72" s="21">
        <f>EXP(-LN(2)/25)*AA71+(1-EXP(-LN(2)/25))/(LN(2)/25)*Calculateur!V72*Calculateur!X72*VLOOKUP('Données projet'!$B$9,Paramètres!$A$1:$I$89,3,0)*0.475*44/12</f>
        <v>28.433385544928065</v>
      </c>
      <c r="AB72" s="21">
        <f>EXP(-LN(2)/2)*AB71+(1-EXP(-LN(2)/2))/(LN(2)/2)*V72*Y72*VLOOKUP('Données projet'!$B$9,Paramètres!$A$1:$I$89,3,0)*0.475*44/12</f>
        <v>1.3911691127780053</v>
      </c>
      <c r="AC72" s="22">
        <f t="shared" si="57"/>
        <v>138.36860187717545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247.74983999999995</v>
      </c>
      <c r="BF72" s="13">
        <f t="shared" si="91"/>
        <v>60.103849700617872</v>
      </c>
      <c r="BG72" s="20">
        <f t="shared" si="61"/>
        <v>536.17850956190932</v>
      </c>
      <c r="BH72" s="59">
        <f t="shared" si="62"/>
        <v>829.51184289524258</v>
      </c>
      <c r="BI72" s="59">
        <f ca="1">AVERAGE(OFFSET($BH$3,0,0,'Données projet'!$E$11+1,1))-AVERAGE(OFFSET($H$3,0,0,'Données projet'!$E$11+1,1))</f>
        <v>273.69926316253162</v>
      </c>
      <c r="BJ72" s="59">
        <f t="shared" si="92"/>
        <v>270.78513558650451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38.393947396612788</v>
      </c>
      <c r="BQ72" s="21">
        <f>EXP(-LN(2)/25)*BQ71+(1-EXP(-LN(2)/25))/(LN(2)/25)*Calculateur!BL72*Calculateur!BN72*VLOOKUP('Données projet'!$B$11,Paramètres!$A$1:$I$89,3,0)*0.475*44/12</f>
        <v>9.6125482517151539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48.006495648327942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6.6995192307692264</v>
      </c>
      <c r="BY72" s="12">
        <f>IF('Données projet'!$A$114&gt;35,BY71+BX72-CG71,IF(A72&lt;'Données projet'!$A$114,$BV$205^A72,IF(A72='Données projet'!$A$114,'Données projet'!$B$114,BY71+BX72-CG71)))</f>
        <v>189.01522435897451</v>
      </c>
      <c r="BZ72" s="13">
        <f>BY72*VLOOKUP('Données projet'!$B$12,Paramètres!$A$1:$I$89,3,0)*VLOOKUP('Données projet'!$B$12,Paramètres!$A$1:$I$89,5,0)</f>
        <v>171.02097500000013</v>
      </c>
      <c r="CA72" s="13">
        <f t="shared" si="93"/>
        <v>43.318608274033679</v>
      </c>
      <c r="CB72" s="20">
        <f t="shared" si="64"/>
        <v>373.30810753560894</v>
      </c>
      <c r="CC72" s="59">
        <f t="shared" si="65"/>
        <v>666.64144086894225</v>
      </c>
      <c r="CD72" s="59">
        <f ca="1">AVERAGE(OFFSET($CC$3,0,0,'Données projet'!$E$12+1,1))-AVERAGE(OFFSET($H$3,0,0,'Données projet'!$E$12+1,1))</f>
        <v>302.4170391346459</v>
      </c>
      <c r="CE72" s="59">
        <f t="shared" si="94"/>
        <v>114.18498182856115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194.89717355535993</v>
      </c>
      <c r="T73" s="59">
        <f t="shared" si="88"/>
        <v>195.422737562245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106.41556465882714</v>
      </c>
      <c r="AA73" s="21">
        <f>EXP(-LN(2)/25)*AA72+(1-EXP(-LN(2)/25))/(LN(2)/25)*Calculateur!V73*Calculateur!X73*VLOOKUP('Données projet'!$B$9,Paramètres!$A$1:$I$89,3,0)*0.475*44/12</f>
        <v>27.655873121955246</v>
      </c>
      <c r="AB73" s="21">
        <f>EXP(-LN(2)/2)*AB72+(1-EXP(-LN(2)/2))/(LN(2)/2)*V73*Y73*VLOOKUP('Données projet'!$B$9,Paramètres!$A$1:$I$89,3,0)*0.475*44/12</f>
        <v>0.98370511342260047</v>
      </c>
      <c r="AC73" s="22">
        <f t="shared" si="57"/>
        <v>135.05514289420498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251.40959999999995</v>
      </c>
      <c r="BF73" s="13">
        <f t="shared" si="91"/>
        <v>60.887686632376123</v>
      </c>
      <c r="BG73" s="20">
        <f t="shared" si="61"/>
        <v>543.917774218055</v>
      </c>
      <c r="BH73" s="59">
        <f t="shared" si="62"/>
        <v>837.25110755138826</v>
      </c>
      <c r="BI73" s="59">
        <f ca="1">AVERAGE(OFFSET($BH$3,0,0,'Données projet'!$E$11+1,1))-AVERAGE(OFFSET($H$3,0,0,'Données projet'!$E$11+1,1))</f>
        <v>273.69926316253162</v>
      </c>
      <c r="BJ73" s="59">
        <f t="shared" si="92"/>
        <v>270.78513558650451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0.48760000000000003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43.216117654763707</v>
      </c>
      <c r="BQ73" s="21">
        <f>EXP(-LN(2)/25)*BQ72+(1-EXP(-LN(2)/25))/(LN(2)/25)*Calculateur!BL73*Calculateur!BN73*VLOOKUP('Données projet'!$B$11,Paramètres!$A$1:$I$89,3,0)*0.475*44/12</f>
        <v>9.3496926142700598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52.565810269033769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6.6995192307692264</v>
      </c>
      <c r="BY73" s="12">
        <f>IF('Données projet'!$A$114&gt;35,BY72+BX73-CG72,IF(A73&lt;'Données projet'!$A$114,$BV$205^A73,IF(A73='Données projet'!$A$114,'Données projet'!$B$114,BY72+BX73-CG72)))</f>
        <v>195.71474358974373</v>
      </c>
      <c r="BZ73" s="13">
        <f>BY73*VLOOKUP('Données projet'!$B$12,Paramètres!$A$1:$I$89,3,0)*VLOOKUP('Données projet'!$B$12,Paramètres!$A$1:$I$89,5,0)</f>
        <v>177.08270000000013</v>
      </c>
      <c r="CA73" s="13">
        <f t="shared" si="93"/>
        <v>44.672524721320137</v>
      </c>
      <c r="CB73" s="20">
        <f t="shared" si="64"/>
        <v>386.22368305629948</v>
      </c>
      <c r="CC73" s="59">
        <f t="shared" si="65"/>
        <v>679.55701638963274</v>
      </c>
      <c r="CD73" s="59">
        <f ca="1">AVERAGE(OFFSET($CC$3,0,0,'Données projet'!$E$12+1,1))-AVERAGE(OFFSET($H$3,0,0,'Données projet'!$E$12+1,1))</f>
        <v>302.4170391346459</v>
      </c>
      <c r="CE73" s="59">
        <f t="shared" si="94"/>
        <v>114.18498182856115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194.89717355535993</v>
      </c>
      <c r="T74" s="59">
        <f t="shared" si="88"/>
        <v>195.422737562245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104.32882034295294</v>
      </c>
      <c r="AA74" s="21">
        <f>EXP(-LN(2)/25)*AA73+(1-EXP(-LN(2)/25))/(LN(2)/25)*Calculateur!V74*Calculateur!X74*VLOOKUP('Données projet'!$B$9,Paramètres!$A$1:$I$89,3,0)*0.475*44/12</f>
        <v>26.89962181707622</v>
      </c>
      <c r="AB74" s="21">
        <f>EXP(-LN(2)/2)*AB73+(1-EXP(-LN(2)/2))/(LN(2)/2)*V74*Y74*VLOOKUP('Données projet'!$B$9,Paramètres!$A$1:$I$89,3,0)*0.475*44/12</f>
        <v>0.69558455638900274</v>
      </c>
      <c r="AC74" s="22">
        <f t="shared" si="57"/>
        <v>131.92402671641815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244.40831999999995</v>
      </c>
      <c r="BF74" s="13">
        <f t="shared" si="91"/>
        <v>59.38699493610541</v>
      </c>
      <c r="BG74" s="20">
        <f t="shared" si="61"/>
        <v>529.11017351371675</v>
      </c>
      <c r="BH74" s="59">
        <f t="shared" si="62"/>
        <v>822.44350684705</v>
      </c>
      <c r="BI74" s="59">
        <f ca="1">AVERAGE(OFFSET($BH$3,0,0,'Données projet'!$E$11+1,1))-AVERAGE(OFFSET($H$3,0,0,'Données projet'!$E$11+1,1))</f>
        <v>273.69926316253162</v>
      </c>
      <c r="BJ74" s="59">
        <f t="shared" si="92"/>
        <v>270.78513558650451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42.368675946782801</v>
      </c>
      <c r="BQ74" s="21">
        <f>EXP(-LN(2)/25)*BQ73+(1-EXP(-LN(2)/25))/(LN(2)/25)*Calculateur!BL74*Calculateur!BN74*VLOOKUP('Données projet'!$B$11,Paramètres!$A$1:$I$89,3,0)*0.475*44/12</f>
        <v>9.0940247780538801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51.462700724836679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6.6995192307692264</v>
      </c>
      <c r="BY74" s="12">
        <f>IF('Données projet'!$A$114&gt;35,BY73+BX74-CG73,IF(A74&lt;'Données projet'!$A$114,$BV$205^A74,IF(A74='Données projet'!$A$114,'Données projet'!$B$114,BY73+BX74-CG73)))</f>
        <v>202.41426282051296</v>
      </c>
      <c r="BZ74" s="13">
        <f>BY74*VLOOKUP('Données projet'!$B$12,Paramètres!$A$1:$I$89,3,0)*VLOOKUP('Données projet'!$B$12,Paramètres!$A$1:$I$89,5,0)</f>
        <v>183.14442500000013</v>
      </c>
      <c r="CA74" s="13">
        <f t="shared" si="93"/>
        <v>46.02105612019141</v>
      </c>
      <c r="CB74" s="20">
        <f t="shared" si="64"/>
        <v>399.12987961766686</v>
      </c>
      <c r="CC74" s="59">
        <f t="shared" si="65"/>
        <v>692.46321295100017</v>
      </c>
      <c r="CD74" s="59">
        <f ca="1">AVERAGE(OFFSET($CC$3,0,0,'Données projet'!$E$12+1,1))-AVERAGE(OFFSET($H$3,0,0,'Données projet'!$E$12+1,1))</f>
        <v>302.4170391346459</v>
      </c>
      <c r="CE74" s="59">
        <f t="shared" si="94"/>
        <v>114.18498182856115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194.89717355535993</v>
      </c>
      <c r="T75" s="59">
        <f t="shared" si="88"/>
        <v>195.422737562245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102.28299581032468</v>
      </c>
      <c r="AA75" s="21">
        <f>EXP(-LN(2)/25)*AA74+(1-EXP(-LN(2)/25))/(LN(2)/25)*Calculateur!V75*Calculateur!X75*VLOOKUP('Données projet'!$B$9,Paramètres!$A$1:$I$89,3,0)*0.475*44/12</f>
        <v>26.16405024389864</v>
      </c>
      <c r="AB75" s="21">
        <f>EXP(-LN(2)/2)*AB74+(1-EXP(-LN(2)/2))/(LN(2)/2)*V75*Y75*VLOOKUP('Données projet'!$B$9,Paramètres!$A$1:$I$89,3,0)*0.475*44/12</f>
        <v>0.49185255671130035</v>
      </c>
      <c r="AC75" s="22">
        <f t="shared" si="57"/>
        <v>128.93889861093461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247.74983999999995</v>
      </c>
      <c r="BF75" s="13">
        <f t="shared" si="91"/>
        <v>60.103849700617872</v>
      </c>
      <c r="BG75" s="20">
        <f t="shared" si="61"/>
        <v>536.17850956190932</v>
      </c>
      <c r="BH75" s="59">
        <f t="shared" si="62"/>
        <v>829.51184289524258</v>
      </c>
      <c r="BI75" s="59">
        <f ca="1">AVERAGE(OFFSET($BH$3,0,0,'Données projet'!$E$11+1,1))-AVERAGE(OFFSET($H$3,0,0,'Données projet'!$E$11+1,1))</f>
        <v>273.69926316253162</v>
      </c>
      <c r="BJ75" s="59">
        <f t="shared" si="92"/>
        <v>270.78513558650451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41.537852053807001</v>
      </c>
      <c r="BQ75" s="21">
        <f>EXP(-LN(2)/25)*BQ74+(1-EXP(-LN(2)/25))/(LN(2)/25)*Calculateur!BL75*Calculateur!BN75*VLOOKUP('Données projet'!$B$11,Paramètres!$A$1:$I$89,3,0)*0.475*44/12</f>
        <v>8.8453481922640176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50.38320024607102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6.6995192307692264</v>
      </c>
      <c r="BY75" s="12">
        <f>IF('Données projet'!$A$114&gt;35,BY74+BX75-CG74,IF(A75&lt;'Données projet'!$A$114,$BV$205^A75,IF(A75='Données projet'!$A$114,'Données projet'!$B$114,BY74+BX75-CG74)))</f>
        <v>209.11378205128219</v>
      </c>
      <c r="BZ75" s="13">
        <f>BY75*VLOOKUP('Données projet'!$B$12,Paramètres!$A$1:$I$89,3,0)*VLOOKUP('Données projet'!$B$12,Paramètres!$A$1:$I$89,5,0)</f>
        <v>189.20615000000009</v>
      </c>
      <c r="CA75" s="13">
        <f t="shared" si="93"/>
        <v>47.364401142673302</v>
      </c>
      <c r="CB75" s="20">
        <f t="shared" si="64"/>
        <v>412.02704324015616</v>
      </c>
      <c r="CC75" s="59">
        <f t="shared" si="65"/>
        <v>705.36037657348948</v>
      </c>
      <c r="CD75" s="59">
        <f ca="1">AVERAGE(OFFSET($CC$3,0,0,'Données projet'!$E$12+1,1))-AVERAGE(OFFSET($H$3,0,0,'Données projet'!$E$12+1,1))</f>
        <v>302.4170391346459</v>
      </c>
      <c r="CE75" s="59">
        <f t="shared" si="94"/>
        <v>114.18498182856115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194.89717355535993</v>
      </c>
      <c r="T76" s="59">
        <f t="shared" si="88"/>
        <v>195.422737562245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100.2772886489515</v>
      </c>
      <c r="AA76" s="21">
        <f>EXP(-LN(2)/25)*AA75+(1-EXP(-LN(2)/25))/(LN(2)/25)*Calculateur!V76*Calculateur!X76*VLOOKUP('Données projet'!$B$9,Paramètres!$A$1:$I$89,3,0)*0.475*44/12</f>
        <v>25.448592914071629</v>
      </c>
      <c r="AB76" s="21">
        <f>EXP(-LN(2)/2)*AB75+(1-EXP(-LN(2)/2))/(LN(2)/2)*V76*Y76*VLOOKUP('Données projet'!$B$9,Paramètres!$A$1:$I$89,3,0)*0.475*44/12</f>
        <v>0.34779227819450143</v>
      </c>
      <c r="AC76" s="22">
        <f t="shared" si="57"/>
        <v>126.07367384121763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251.09135999999995</v>
      </c>
      <c r="BF76" s="13">
        <f t="shared" si="91"/>
        <v>60.81957989149403</v>
      </c>
      <c r="BG76" s="20">
        <f t="shared" si="61"/>
        <v>543.24488697768527</v>
      </c>
      <c r="BH76" s="59">
        <f t="shared" si="62"/>
        <v>836.57822031101864</v>
      </c>
      <c r="BI76" s="59">
        <f ca="1">AVERAGE(OFFSET($BH$3,0,0,'Données projet'!$E$11+1,1))-AVERAGE(OFFSET($H$3,0,0,'Données projet'!$E$11+1,1))</f>
        <v>273.69926316253162</v>
      </c>
      <c r="BJ76" s="59">
        <f t="shared" si="92"/>
        <v>270.78513558650451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40.723320110619916</v>
      </c>
      <c r="BQ76" s="21">
        <f>EXP(-LN(2)/25)*BQ75+(1-EXP(-LN(2)/25))/(LN(2)/25)*Calculateur!BL76*Calculateur!BN76*VLOOKUP('Données projet'!$B$11,Paramètres!$A$1:$I$89,3,0)*0.475*44/12</f>
        <v>8.6034716807899123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49.326791791409832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6.6995192307692264</v>
      </c>
      <c r="BY76" s="12">
        <f>IF('Données projet'!$A$114&gt;35,BY75+BX76-CG75,IF(A76&lt;'Données projet'!$A$114,$BV$205^A76,IF(A76='Données projet'!$A$114,'Données projet'!$B$114,BY75+BX76-CG75)))</f>
        <v>215.81330128205141</v>
      </c>
      <c r="BZ76" s="13">
        <f>BY76*VLOOKUP('Données projet'!$B$12,Paramètres!$A$1:$I$89,3,0)*VLOOKUP('Données projet'!$B$12,Paramètres!$A$1:$I$89,5,0)</f>
        <v>195.26787500000012</v>
      </c>
      <c r="CA76" s="13">
        <f t="shared" si="93"/>
        <v>48.702745008025673</v>
      </c>
      <c r="CB76" s="20">
        <f t="shared" si="64"/>
        <v>424.91549651397821</v>
      </c>
      <c r="CC76" s="59">
        <f t="shared" si="65"/>
        <v>718.24882984731153</v>
      </c>
      <c r="CD76" s="59">
        <f ca="1">AVERAGE(OFFSET($CC$3,0,0,'Données projet'!$E$12+1,1))-AVERAGE(OFFSET($H$3,0,0,'Données projet'!$E$12+1,1))</f>
        <v>302.4170391346459</v>
      </c>
      <c r="CE76" s="59">
        <f t="shared" si="94"/>
        <v>114.18498182856115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194.89717355535993</v>
      </c>
      <c r="T77" s="59">
        <f t="shared" si="88"/>
        <v>195.422737562245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98.310912181652284</v>
      </c>
      <c r="AA77" s="21">
        <f>EXP(-LN(2)/25)*AA76+(1-EXP(-LN(2)/25))/(LN(2)/25)*Calculateur!V77*Calculateur!X77*VLOOKUP('Données projet'!$B$9,Paramètres!$A$1:$I$89,3,0)*0.475*44/12</f>
        <v>24.752699802553003</v>
      </c>
      <c r="AB77" s="21">
        <f>EXP(-LN(2)/2)*AB76+(1-EXP(-LN(2)/2))/(LN(2)/2)*V77*Y77*VLOOKUP('Données projet'!$B$9,Paramètres!$A$1:$I$89,3,0)*0.475*44/12</f>
        <v>0.2459262783556502</v>
      </c>
      <c r="AC77" s="22">
        <f t="shared" si="57"/>
        <v>123.30953826256095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254.43287999999995</v>
      </c>
      <c r="BF77" s="13">
        <f t="shared" si="91"/>
        <v>61.534202204620392</v>
      </c>
      <c r="BG77" s="20">
        <f t="shared" si="61"/>
        <v>550.30933483971376</v>
      </c>
      <c r="BH77" s="59">
        <f t="shared" si="62"/>
        <v>843.64266817304701</v>
      </c>
      <c r="BI77" s="59">
        <f ca="1">AVERAGE(OFFSET($BH$3,0,0,'Données projet'!$E$11+1,1))-AVERAGE(OFFSET($H$3,0,0,'Données projet'!$E$11+1,1))</f>
        <v>273.69926316253162</v>
      </c>
      <c r="BJ77" s="59">
        <f t="shared" si="92"/>
        <v>270.78513558650451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39.924760642023301</v>
      </c>
      <c r="BQ77" s="21">
        <f>EXP(-LN(2)/25)*BQ76+(1-EXP(-LN(2)/25))/(LN(2)/25)*Calculateur!BL77*Calculateur!BN77*VLOOKUP('Données projet'!$B$11,Paramètres!$A$1:$I$89,3,0)*0.475*44/12</f>
        <v>8.3682092952417992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48.292969937265099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222.5128205128205</v>
      </c>
      <c r="BW77" s="12">
        <f>VLOOKUP(A77,'Données projet'!$A$113:$I$133,9,0)</f>
        <v>6.6995192307692264</v>
      </c>
      <c r="BX77" s="12">
        <f t="array" ref="BX77">INDEX(BW:BW,MIN(IF(ISNUMBER(BW77:BW273),ROW(BW77:BW273),"")))</f>
        <v>6.6995192307692264</v>
      </c>
      <c r="BY77" s="12">
        <f>IF('Données projet'!$A$114&gt;35,BY76+BX77-CG76,IF(A77&lt;'Données projet'!$A$114,$BV$205^A77,IF(A77='Données projet'!$A$114,'Données projet'!$B$114,BY76+BX77-CG76)))</f>
        <v>222.51282051282064</v>
      </c>
      <c r="BZ77" s="13">
        <f>BY77*VLOOKUP('Données projet'!$B$12,Paramètres!$A$1:$I$89,3,0)*VLOOKUP('Données projet'!$B$12,Paramètres!$A$1:$I$89,5,0)</f>
        <v>201.32960000000011</v>
      </c>
      <c r="CA77" s="13">
        <f t="shared" si="93"/>
        <v>50.0362607827022</v>
      </c>
      <c r="CB77" s="20">
        <f t="shared" si="64"/>
        <v>437.79554086320655</v>
      </c>
      <c r="CC77" s="59">
        <f t="shared" si="65"/>
        <v>731.12887419653987</v>
      </c>
      <c r="CD77" s="59">
        <f ca="1">AVERAGE(OFFSET($CC$3,0,0,'Données projet'!$E$12+1,1))-AVERAGE(OFFSET($H$3,0,0,'Données projet'!$E$12+1,1))</f>
        <v>302.4170391346459</v>
      </c>
      <c r="CE77" s="59">
        <f t="shared" si="94"/>
        <v>114.18498182856115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36.865384615384613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194.89717355535993</v>
      </c>
      <c r="T78" s="59">
        <f t="shared" si="88"/>
        <v>195.422737562245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96.383095157505593</v>
      </c>
      <c r="AA78" s="21">
        <f>EXP(-LN(2)/25)*AA77+(1-EXP(-LN(2)/25))/(LN(2)/25)*Calculateur!V78*Calculateur!X78*VLOOKUP('Données projet'!$B$9,Paramètres!$A$1:$I$89,3,0)*0.475*44/12</f>
        <v>24.075835924764281</v>
      </c>
      <c r="AB78" s="21">
        <f>EXP(-LN(2)/2)*AB77+(1-EXP(-LN(2)/2))/(LN(2)/2)*V78*Y78*VLOOKUP('Données projet'!$B$9,Paramètres!$A$1:$I$89,3,0)*0.475*44/12</f>
        <v>0.17389613909725074</v>
      </c>
      <c r="AC78" s="22">
        <f t="shared" si="57"/>
        <v>120.63282722136712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257.77439999999996</v>
      </c>
      <c r="BF78" s="13">
        <f t="shared" si="91"/>
        <v>62.247732872134293</v>
      </c>
      <c r="BG78" s="20">
        <f t="shared" si="61"/>
        <v>557.37188141896718</v>
      </c>
      <c r="BH78" s="59">
        <f t="shared" si="62"/>
        <v>850.70521475230044</v>
      </c>
      <c r="BI78" s="59">
        <f ca="1">AVERAGE(OFFSET($BH$3,0,0,'Données projet'!$E$11+1,1))-AVERAGE(OFFSET($H$3,0,0,'Données projet'!$E$11+1,1))</f>
        <v>273.69926316253162</v>
      </c>
      <c r="BJ78" s="59">
        <f t="shared" si="92"/>
        <v>270.78513558650451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0.48760000000000003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44.288062420858459</v>
      </c>
      <c r="BQ78" s="21">
        <f>EXP(-LN(2)/25)*BQ77+(1-EXP(-LN(2)/25))/(LN(2)/25)*Calculateur!BL78*Calculateur!BN78*VLOOKUP('Données projet'!$B$11,Paramètres!$A$1:$I$89,3,0)*0.475*44/12</f>
        <v>8.1393801719984111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52.42744259285687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6.5339743589743566</v>
      </c>
      <c r="BY78" s="12">
        <f>IF('Données projet'!$A$114&gt;35,BY77+BX78-CG77,IF(A78&lt;'Données projet'!$A$114,$BV$205^A78,IF(A78='Données projet'!$A$114,'Données projet'!$B$114,BY77+BX78-CG77)))</f>
        <v>192.18141025641037</v>
      </c>
      <c r="BZ78" s="13">
        <f>BY78*VLOOKUP('Données projet'!$B$12,Paramètres!$A$1:$I$89,3,0)*VLOOKUP('Données projet'!$B$12,Paramètres!$A$1:$I$89,5,0)</f>
        <v>173.88574000000008</v>
      </c>
      <c r="CA78" s="13">
        <f t="shared" si="93"/>
        <v>43.959152089733649</v>
      </c>
      <c r="CB78" s="20">
        <f t="shared" si="64"/>
        <v>379.41318705628618</v>
      </c>
      <c r="CC78" s="59">
        <f t="shared" si="65"/>
        <v>672.74652038961949</v>
      </c>
      <c r="CD78" s="59">
        <f ca="1">AVERAGE(OFFSET($CC$3,0,0,'Données projet'!$E$12+1,1))-AVERAGE(OFFSET($H$3,0,0,'Données projet'!$E$12+1,1))</f>
        <v>302.4170391346459</v>
      </c>
      <c r="CE78" s="59">
        <f t="shared" si="94"/>
        <v>114.18498182856115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194.89717355535993</v>
      </c>
      <c r="T79" s="59">
        <f t="shared" si="88"/>
        <v>195.422737562245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94.493081449350129</v>
      </c>
      <c r="AA79" s="21">
        <f>EXP(-LN(2)/25)*AA78+(1-EXP(-LN(2)/25))/(LN(2)/25)*Calculateur!V79*Calculateur!X79*VLOOKUP('Données projet'!$B$9,Paramètres!$A$1:$I$89,3,0)*0.475*44/12</f>
        <v>23.417480925308418</v>
      </c>
      <c r="AB79" s="21">
        <f>EXP(-LN(2)/2)*AB78+(1-EXP(-LN(2)/2))/(LN(2)/2)*V79*Y79*VLOOKUP('Données projet'!$B$9,Paramètres!$A$1:$I$89,3,0)*0.475*44/12</f>
        <v>0.12296313917782511</v>
      </c>
      <c r="AC79" s="22">
        <f t="shared" si="57"/>
        <v>118.03352551383638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251.09135999999995</v>
      </c>
      <c r="BF79" s="13">
        <f t="shared" si="91"/>
        <v>60.81957989149403</v>
      </c>
      <c r="BG79" s="20">
        <f t="shared" si="61"/>
        <v>543.24488697768527</v>
      </c>
      <c r="BH79" s="59">
        <f t="shared" si="62"/>
        <v>836.57822031101864</v>
      </c>
      <c r="BI79" s="59">
        <f ca="1">AVERAGE(OFFSET($BH$3,0,0,'Données projet'!$E$11+1,1))-AVERAGE(OFFSET($H$3,0,0,'Données projet'!$E$11+1,1))</f>
        <v>273.69926316253162</v>
      </c>
      <c r="BJ79" s="59">
        <f t="shared" si="92"/>
        <v>270.78513558650451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43.419600529836181</v>
      </c>
      <c r="BQ79" s="21">
        <f>EXP(-LN(2)/25)*BQ78+(1-EXP(-LN(2)/25))/(LN(2)/25)*Calculateur!BL79*Calculateur!BN79*VLOOKUP('Données projet'!$B$11,Paramètres!$A$1:$I$89,3,0)*0.475*44/12</f>
        <v>7.9168083931637145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51.336408922999894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6.5339743589743566</v>
      </c>
      <c r="BY79" s="12">
        <f>IF('Données projet'!$A$114&gt;35,BY78+BX79-CG78,IF(A79&lt;'Données projet'!$A$114,$BV$205^A79,IF(A79='Données projet'!$A$114,'Données projet'!$B$114,BY78+BX79-CG78)))</f>
        <v>198.71538461538472</v>
      </c>
      <c r="BZ79" s="13">
        <f>BY79*VLOOKUP('Données projet'!$B$12,Paramètres!$A$1:$I$89,3,0)*VLOOKUP('Données projet'!$B$12,Paramètres!$A$1:$I$89,5,0)</f>
        <v>179.7976800000001</v>
      </c>
      <c r="CA79" s="13">
        <f t="shared" si="93"/>
        <v>45.277170748284568</v>
      </c>
      <c r="CB79" s="20">
        <f t="shared" si="64"/>
        <v>392.00536505326244</v>
      </c>
      <c r="CC79" s="59">
        <f t="shared" si="65"/>
        <v>685.33869838659575</v>
      </c>
      <c r="CD79" s="59">
        <f ca="1">AVERAGE(OFFSET($CC$3,0,0,'Données projet'!$E$12+1,1))-AVERAGE(OFFSET($H$3,0,0,'Données projet'!$E$12+1,1))</f>
        <v>302.4170391346459</v>
      </c>
      <c r="CE79" s="59">
        <f t="shared" si="94"/>
        <v>114.18498182856115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194.89717355535993</v>
      </c>
      <c r="T80" s="59">
        <f t="shared" si="88"/>
        <v>195.422737562245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92.640129757217068</v>
      </c>
      <c r="AA80" s="21">
        <f>EXP(-LN(2)/25)*AA79+(1-EXP(-LN(2)/25))/(LN(2)/25)*Calculateur!V80*Calculateur!X80*VLOOKUP('Données projet'!$B$9,Paramètres!$A$1:$I$89,3,0)*0.475*44/12</f>
        <v>22.777128677934058</v>
      </c>
      <c r="AB80" s="21">
        <f>EXP(-LN(2)/2)*AB79+(1-EXP(-LN(2)/2))/(LN(2)/2)*V80*Y80*VLOOKUP('Données projet'!$B$9,Paramètres!$A$1:$I$89,3,0)*0.475*44/12</f>
        <v>8.6948069548625384E-2</v>
      </c>
      <c r="AC80" s="22">
        <f t="shared" si="57"/>
        <v>115.50420650469975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253.95551999999998</v>
      </c>
      <c r="BF80" s="13">
        <f t="shared" si="91"/>
        <v>61.432180511879253</v>
      </c>
      <c r="BG80" s="20">
        <f t="shared" si="61"/>
        <v>549.30024505818972</v>
      </c>
      <c r="BH80" s="59">
        <f t="shared" si="62"/>
        <v>842.63357839152309</v>
      </c>
      <c r="BI80" s="59">
        <f ca="1">AVERAGE(OFFSET($BH$3,0,0,'Données projet'!$E$11+1,1))-AVERAGE(OFFSET($H$3,0,0,'Données projet'!$E$11+1,1))</f>
        <v>273.69926316253162</v>
      </c>
      <c r="BJ80" s="59">
        <f t="shared" si="92"/>
        <v>270.78513558650451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42.568168646787406</v>
      </c>
      <c r="BQ80" s="21">
        <f>EXP(-LN(2)/25)*BQ79+(1-EXP(-LN(2)/25))/(LN(2)/25)*Calculateur!BL80*Calculateur!BN80*VLOOKUP('Données projet'!$B$11,Paramètres!$A$1:$I$89,3,0)*0.475*44/12</f>
        <v>7.7003228513257937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50.2684914981132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6.5339743589743566</v>
      </c>
      <c r="BY80" s="12">
        <f>IF('Données projet'!$A$114&gt;35,BY79+BX80-CG79,IF(A80&lt;'Données projet'!$A$114,$BV$205^A80,IF(A80='Données projet'!$A$114,'Données projet'!$B$114,BY79+BX80-CG79)))</f>
        <v>205.24935897435907</v>
      </c>
      <c r="BZ80" s="13">
        <f>BY80*VLOOKUP('Données projet'!$B$12,Paramètres!$A$1:$I$89,3,0)*VLOOKUP('Données projet'!$B$12,Paramètres!$A$1:$I$89,5,0)</f>
        <v>185.70962000000009</v>
      </c>
      <c r="CA80" s="13">
        <f t="shared" si="93"/>
        <v>46.590153562220287</v>
      </c>
      <c r="CB80" s="20">
        <f t="shared" si="64"/>
        <v>404.5887722875338</v>
      </c>
      <c r="CC80" s="59">
        <f t="shared" si="65"/>
        <v>697.92210562086711</v>
      </c>
      <c r="CD80" s="59">
        <f ca="1">AVERAGE(OFFSET($CC$3,0,0,'Données projet'!$E$12+1,1))-AVERAGE(OFFSET($H$3,0,0,'Données projet'!$E$12+1,1))</f>
        <v>302.4170391346459</v>
      </c>
      <c r="CE80" s="59">
        <f t="shared" si="94"/>
        <v>114.18498182856115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194.89717355535993</v>
      </c>
      <c r="T81" s="59">
        <f t="shared" si="88"/>
        <v>195.422737562245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90.823513317577792</v>
      </c>
      <c r="AA81" s="21">
        <f>EXP(-LN(2)/25)*AA80+(1-EXP(-LN(2)/25))/(LN(2)/25)*Calculateur!V81*Calculateur!X81*VLOOKUP('Données projet'!$B$9,Paramètres!$A$1:$I$89,3,0)*0.475*44/12</f>
        <v>22.154286896438812</v>
      </c>
      <c r="AB81" s="21">
        <f>EXP(-LN(2)/2)*AB80+(1-EXP(-LN(2)/2))/(LN(2)/2)*V81*Y81*VLOOKUP('Données projet'!$B$9,Paramètres!$A$1:$I$89,3,0)*0.475*44/12</f>
        <v>6.1481569588912571E-2</v>
      </c>
      <c r="AC81" s="22">
        <f t="shared" si="57"/>
        <v>113.03928178360552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256.81968000000001</v>
      </c>
      <c r="BF81" s="13">
        <f t="shared" si="91"/>
        <v>62.043977430851903</v>
      </c>
      <c r="BG81" s="20">
        <f t="shared" si="61"/>
        <v>555.35420335873368</v>
      </c>
      <c r="BH81" s="59">
        <f t="shared" si="62"/>
        <v>848.68753669206694</v>
      </c>
      <c r="BI81" s="59">
        <f ca="1">AVERAGE(OFFSET($BH$3,0,0,'Données projet'!$E$11+1,1))-AVERAGE(OFFSET($H$3,0,0,'Données projet'!$E$11+1,1))</f>
        <v>273.69926316253162</v>
      </c>
      <c r="BJ81" s="59">
        <f t="shared" si="92"/>
        <v>270.78513558650451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41.733432823643042</v>
      </c>
      <c r="BQ81" s="21">
        <f>EXP(-LN(2)/25)*BQ80+(1-EXP(-LN(2)/25))/(LN(2)/25)*Calculateur!BL81*Calculateur!BN81*VLOOKUP('Données projet'!$B$11,Paramètres!$A$1:$I$89,3,0)*0.475*44/12</f>
        <v>7.4897571180139106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49.223189941656955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6.5339743589743566</v>
      </c>
      <c r="BY81" s="12">
        <f>IF('Données projet'!$A$114&gt;35,BY80+BX81-CG80,IF(A81&lt;'Données projet'!$A$114,$BV$205^A81,IF(A81='Données projet'!$A$114,'Données projet'!$B$114,BY80+BX81-CG80)))</f>
        <v>211.78333333333342</v>
      </c>
      <c r="BZ81" s="13">
        <f>BY81*VLOOKUP('Données projet'!$B$12,Paramètres!$A$1:$I$89,3,0)*VLOOKUP('Données projet'!$B$12,Paramètres!$A$1:$I$89,5,0)</f>
        <v>191.62156000000007</v>
      </c>
      <c r="CA81" s="13">
        <f t="shared" si="93"/>
        <v>47.898279234721343</v>
      </c>
      <c r="CB81" s="20">
        <f t="shared" si="64"/>
        <v>417.16372000047312</v>
      </c>
      <c r="CC81" s="59">
        <f t="shared" si="65"/>
        <v>710.49705333380643</v>
      </c>
      <c r="CD81" s="59">
        <f ca="1">AVERAGE(OFFSET($CC$3,0,0,'Données projet'!$E$12+1,1))-AVERAGE(OFFSET($H$3,0,0,'Données projet'!$E$12+1,1))</f>
        <v>302.4170391346459</v>
      </c>
      <c r="CE81" s="59">
        <f t="shared" si="94"/>
        <v>114.18498182856115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194.89717355535993</v>
      </c>
      <c r="T82" s="59">
        <f t="shared" si="88"/>
        <v>195.422737562245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89.042519618293227</v>
      </c>
      <c r="AA82" s="21">
        <f>EXP(-LN(2)/25)*AA81+(1-EXP(-LN(2)/25))/(LN(2)/25)*Calculateur!V82*Calculateur!X82*VLOOKUP('Données projet'!$B$9,Paramètres!$A$1:$I$89,3,0)*0.475*44/12</f>
        <v>21.548476756212381</v>
      </c>
      <c r="AB82" s="21">
        <f>EXP(-LN(2)/2)*AB81+(1-EXP(-LN(2)/2))/(LN(2)/2)*V82*Y82*VLOOKUP('Données projet'!$B$9,Paramètres!$A$1:$I$89,3,0)*0.475*44/12</f>
        <v>4.3474034774312699E-2</v>
      </c>
      <c r="AC82" s="22">
        <f t="shared" si="57"/>
        <v>110.63447040927991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259.68384000000003</v>
      </c>
      <c r="BF82" s="13">
        <f t="shared" si="91"/>
        <v>62.654980648867358</v>
      </c>
      <c r="BG82" s="20">
        <f t="shared" si="61"/>
        <v>561.40677929677736</v>
      </c>
      <c r="BH82" s="59">
        <f t="shared" si="62"/>
        <v>854.74011263011062</v>
      </c>
      <c r="BI82" s="59">
        <f ca="1">AVERAGE(OFFSET($BH$3,0,0,'Données projet'!$E$11+1,1))-AVERAGE(OFFSET($H$3,0,0,'Données projet'!$E$11+1,1))</f>
        <v>273.69926316253162</v>
      </c>
      <c r="BJ82" s="59">
        <f t="shared" si="92"/>
        <v>270.78513558650451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40.915065660851965</v>
      </c>
      <c r="BQ82" s="21">
        <f>EXP(-LN(2)/25)*BQ81+(1-EXP(-LN(2)/25))/(LN(2)/25)*Calculateur!BL82*Calculateur!BN82*VLOOKUP('Données projet'!$B$11,Paramètres!$A$1:$I$89,3,0)*0.475*44/12</f>
        <v>7.2849493157526117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48.200014976604578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6.5339743589743566</v>
      </c>
      <c r="BY82" s="12">
        <f>IF('Données projet'!$A$114&gt;35,BY81+BX82-CG81,IF(A82&lt;'Données projet'!$A$114,$BV$205^A82,IF(A82='Données projet'!$A$114,'Données projet'!$B$114,BY81+BX82-CG81)))</f>
        <v>218.31730769230776</v>
      </c>
      <c r="BZ82" s="13">
        <f>BY82*VLOOKUP('Données projet'!$B$12,Paramètres!$A$1:$I$89,3,0)*VLOOKUP('Données projet'!$B$12,Paramètres!$A$1:$I$89,5,0)</f>
        <v>197.53350000000006</v>
      </c>
      <c r="CA82" s="13">
        <f t="shared" si="93"/>
        <v>49.201714815770728</v>
      </c>
      <c r="CB82" s="20">
        <f t="shared" si="64"/>
        <v>429.73049913746746</v>
      </c>
      <c r="CC82" s="59">
        <f t="shared" si="65"/>
        <v>723.06383247080078</v>
      </c>
      <c r="CD82" s="59">
        <f ca="1">AVERAGE(OFFSET($CC$3,0,0,'Données projet'!$E$12+1,1))-AVERAGE(OFFSET($H$3,0,0,'Données projet'!$E$12+1,1))</f>
        <v>302.4170391346459</v>
      </c>
      <c r="CE82" s="59">
        <f t="shared" si="94"/>
        <v>114.18498182856115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194.89717355535993</v>
      </c>
      <c r="T83" s="59">
        <f t="shared" si="88"/>
        <v>195.422737562245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87.296450119152738</v>
      </c>
      <c r="AA83" s="21">
        <f>EXP(-LN(2)/25)*AA82+(1-EXP(-LN(2)/25))/(LN(2)/25)*Calculateur!V83*Calculateur!X83*VLOOKUP('Données projet'!$B$9,Paramètres!$A$1:$I$89,3,0)*0.475*44/12</f>
        <v>20.959232526128609</v>
      </c>
      <c r="AB83" s="21">
        <f>EXP(-LN(2)/2)*AB82+(1-EXP(-LN(2)/2))/(LN(2)/2)*V83*Y83*VLOOKUP('Données projet'!$B$9,Paramètres!$A$1:$I$89,3,0)*0.475*44/12</f>
        <v>3.0740784794456289E-2</v>
      </c>
      <c r="AC83" s="22">
        <f t="shared" si="57"/>
        <v>108.28642343007581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262.548</v>
      </c>
      <c r="BF83" s="13">
        <f t="shared" si="91"/>
        <v>63.265199933079444</v>
      </c>
      <c r="BG83" s="20">
        <f t="shared" si="61"/>
        <v>567.45798988344666</v>
      </c>
      <c r="BH83" s="59">
        <f t="shared" si="62"/>
        <v>860.79132321678003</v>
      </c>
      <c r="BI83" s="59">
        <f ca="1">AVERAGE(OFFSET($BH$3,0,0,'Données projet'!$E$11+1,1))-AVERAGE(OFFSET($H$3,0,0,'Données projet'!$E$11+1,1))</f>
        <v>273.69926316253162</v>
      </c>
      <c r="BJ83" s="59">
        <f t="shared" si="92"/>
        <v>270.78513558650451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0.48230000000000006</v>
      </c>
      <c r="BN83" s="16">
        <f>IF(ISNA(VLOOKUP(A83,'Données projet'!$A$87:$I$107,6,0)),0%,VLOOKUP(A83,'Données projet'!$A$87:$I$107,6,0)*VLOOKUP('Données projet'!$B$11,Paramètres!$A$1:$I$89,7,0))</f>
        <v>4.7699999999999999E-2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44.778822433777506</v>
      </c>
      <c r="BQ83" s="21">
        <f>EXP(-LN(2)/25)*BQ82+(1-EXP(-LN(2)/25))/(LN(2)/25)*Calculateur!BL83*Calculateur!BN83*VLOOKUP('Données projet'!$B$11,Paramètres!$A$1:$I$89,3,0)*0.475*44/12</f>
        <v>7.5454050399014907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52.324227473678995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6.5339743589743566</v>
      </c>
      <c r="BY83" s="12">
        <f>IF('Données projet'!$A$114&gt;35,BY82+BX83-CG82,IF(A83&lt;'Données projet'!$A$114,$BV$205^A83,IF(A83='Données projet'!$A$114,'Données projet'!$B$114,BY82+BX83-CG82)))</f>
        <v>224.85128205128211</v>
      </c>
      <c r="BZ83" s="13">
        <f>BY83*VLOOKUP('Données projet'!$B$12,Paramètres!$A$1:$I$89,3,0)*VLOOKUP('Données projet'!$B$12,Paramètres!$A$1:$I$89,5,0)</f>
        <v>203.44544000000002</v>
      </c>
      <c r="CA83" s="13">
        <f t="shared" si="93"/>
        <v>50.50061678781659</v>
      </c>
      <c r="CB83" s="20">
        <f t="shared" si="64"/>
        <v>442.28938223878066</v>
      </c>
      <c r="CC83" s="59">
        <f t="shared" si="65"/>
        <v>735.62271557211398</v>
      </c>
      <c r="CD83" s="59">
        <f ca="1">AVERAGE(OFFSET($CC$3,0,0,'Données projet'!$E$12+1,1))-AVERAGE(OFFSET($H$3,0,0,'Données projet'!$E$12+1,1))</f>
        <v>302.4170391346459</v>
      </c>
      <c r="CE83" s="59">
        <f t="shared" si="94"/>
        <v>114.18498182856115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194.89717355535993</v>
      </c>
      <c r="T84" s="59">
        <f t="shared" si="88"/>
        <v>195.422737562245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85.584619977893155</v>
      </c>
      <c r="AA84" s="21">
        <f>EXP(-LN(2)/25)*AA83+(1-EXP(-LN(2)/25))/(LN(2)/25)*Calculateur!V84*Calculateur!X84*VLOOKUP('Données projet'!$B$9,Paramètres!$A$1:$I$89,3,0)*0.475*44/12</f>
        <v>20.386101210503487</v>
      </c>
      <c r="AB84" s="21">
        <f>EXP(-LN(2)/2)*AB83+(1-EXP(-LN(2)/2))/(LN(2)/2)*V84*Y84*VLOOKUP('Données projet'!$B$9,Paramètres!$A$1:$I$89,3,0)*0.475*44/12</f>
        <v>2.1737017387156353E-2</v>
      </c>
      <c r="AC84" s="22">
        <f t="shared" si="57"/>
        <v>105.99245820578379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253.79640000000001</v>
      </c>
      <c r="BF84" s="13">
        <f t="shared" si="91"/>
        <v>61.39816832228076</v>
      </c>
      <c r="BG84" s="20">
        <f t="shared" si="61"/>
        <v>548.96387316130563</v>
      </c>
      <c r="BH84" s="59">
        <f t="shared" si="62"/>
        <v>842.29720649463889</v>
      </c>
      <c r="BI84" s="59">
        <f ca="1">AVERAGE(OFFSET($BH$3,0,0,'Données projet'!$E$11+1,1))-AVERAGE(OFFSET($H$3,0,0,'Données projet'!$E$11+1,1))</f>
        <v>273.69926316253162</v>
      </c>
      <c r="BJ84" s="59">
        <f t="shared" si="92"/>
        <v>270.78513558650451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43.900737038235938</v>
      </c>
      <c r="BQ84" s="21">
        <f>EXP(-LN(2)/25)*BQ83+(1-EXP(-LN(2)/25))/(LN(2)/25)*Calculateur!BL84*Calculateur!BN84*VLOOKUP('Données projet'!$B$11,Paramètres!$A$1:$I$89,3,0)*0.475*44/12</f>
        <v>7.3390755422897787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51.239812580525715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6.5339743589743566</v>
      </c>
      <c r="BY84" s="12">
        <f>IF('Données projet'!$A$114&gt;35,BY83+BX84-CG83,IF(A84&lt;'Données projet'!$A$114,$BV$205^A84,IF(A84='Données projet'!$A$114,'Données projet'!$B$114,BY83+BX84-CG83)))</f>
        <v>231.38525641025646</v>
      </c>
      <c r="BZ84" s="13">
        <f>BY84*VLOOKUP('Données projet'!$B$12,Paramètres!$A$1:$I$89,3,0)*VLOOKUP('Données projet'!$B$12,Paramètres!$A$1:$I$89,5,0)</f>
        <v>209.35738000000003</v>
      </c>
      <c r="CA84" s="13">
        <f t="shared" si="93"/>
        <v>51.79513202169526</v>
      </c>
      <c r="CB84" s="20">
        <f t="shared" si="64"/>
        <v>454.84062510445273</v>
      </c>
      <c r="CC84" s="59">
        <f t="shared" si="65"/>
        <v>748.17395843778604</v>
      </c>
      <c r="CD84" s="59">
        <f ca="1">AVERAGE(OFFSET($CC$3,0,0,'Données projet'!$E$12+1,1))-AVERAGE(OFFSET($H$3,0,0,'Données projet'!$E$12+1,1))</f>
        <v>302.4170391346459</v>
      </c>
      <c r="CE84" s="59">
        <f t="shared" si="94"/>
        <v>114.18498182856115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194.89717355535993</v>
      </c>
      <c r="T85" s="59">
        <f t="shared" si="88"/>
        <v>195.422737562245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83.906357781590387</v>
      </c>
      <c r="AA85" s="21">
        <f>EXP(-LN(2)/25)*AA84+(1-EXP(-LN(2)/25))/(LN(2)/25)*Calculateur!V85*Calculateur!X85*VLOOKUP('Données projet'!$B$9,Paramètres!$A$1:$I$89,3,0)*0.475*44/12</f>
        <v>19.828642200843799</v>
      </c>
      <c r="AB85" s="21">
        <f>EXP(-LN(2)/2)*AB84+(1-EXP(-LN(2)/2))/(LN(2)/2)*V85*Y85*VLOOKUP('Données projet'!$B$9,Paramètres!$A$1:$I$89,3,0)*0.475*44/12</f>
        <v>1.5370392397228148E-2</v>
      </c>
      <c r="AC85" s="22">
        <f t="shared" si="57"/>
        <v>103.75037037483142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253.79640000000001</v>
      </c>
      <c r="BF85" s="13">
        <f t="shared" si="91"/>
        <v>61.39816832228076</v>
      </c>
      <c r="BG85" s="20">
        <f t="shared" si="61"/>
        <v>548.96387316130563</v>
      </c>
      <c r="BH85" s="59">
        <f t="shared" si="62"/>
        <v>842.29720649463889</v>
      </c>
      <c r="BI85" s="59">
        <f ca="1">AVERAGE(OFFSET($BH$3,0,0,'Données projet'!$E$11+1,1))-AVERAGE(OFFSET($H$3,0,0,'Données projet'!$E$11+1,1))</f>
        <v>273.69926316253162</v>
      </c>
      <c r="BJ85" s="59">
        <f t="shared" si="92"/>
        <v>270.78513558650451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43.039870361721732</v>
      </c>
      <c r="BQ85" s="21">
        <f>EXP(-LN(2)/25)*BQ84+(1-EXP(-LN(2)/25))/(LN(2)/25)*Calculateur!BL85*Calculateur!BN85*VLOOKUP('Données projet'!$B$11,Paramètres!$A$1:$I$89,3,0)*0.475*44/12</f>
        <v>7.138388135640656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50.178258497362386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6.5339743589743566</v>
      </c>
      <c r="BY85" s="12">
        <f>IF('Données projet'!$A$114&gt;35,BY84+BX85-CG84,IF(A85&lt;'Données projet'!$A$114,$BV$205^A85,IF(A85='Données projet'!$A$114,'Données projet'!$B$114,BY84+BX85-CG84)))</f>
        <v>237.91923076923081</v>
      </c>
      <c r="BZ85" s="13">
        <f>BY85*VLOOKUP('Données projet'!$B$12,Paramètres!$A$1:$I$89,3,0)*VLOOKUP('Données projet'!$B$12,Paramètres!$A$1:$I$89,5,0)</f>
        <v>215.26932000000002</v>
      </c>
      <c r="CA85" s="13">
        <f t="shared" si="93"/>
        <v>53.085398621543455</v>
      </c>
      <c r="CB85" s="20">
        <f t="shared" si="64"/>
        <v>467.38446826585488</v>
      </c>
      <c r="CC85" s="59">
        <f t="shared" si="65"/>
        <v>760.71780159918819</v>
      </c>
      <c r="CD85" s="59">
        <f ca="1">AVERAGE(OFFSET($CC$3,0,0,'Données projet'!$E$12+1,1))-AVERAGE(OFFSET($H$3,0,0,'Données projet'!$E$12+1,1))</f>
        <v>302.4170391346459</v>
      </c>
      <c r="CE85" s="59">
        <f t="shared" si="94"/>
        <v>114.18498182856115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194.89717355535993</v>
      </c>
      <c r="T86" s="59">
        <f t="shared" si="88"/>
        <v>195.422737562245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82.261005283318255</v>
      </c>
      <c r="AA86" s="21">
        <f>EXP(-LN(2)/25)*AA85+(1-EXP(-LN(2)/25))/(LN(2)/25)*Calculateur!V86*Calculateur!X86*VLOOKUP('Données projet'!$B$9,Paramètres!$A$1:$I$89,3,0)*0.475*44/12</f>
        <v>19.286426937118751</v>
      </c>
      <c r="AB86" s="21">
        <f>EXP(-LN(2)/2)*AB85+(1-EXP(-LN(2)/2))/(LN(2)/2)*V86*Y86*VLOOKUP('Données projet'!$B$9,Paramètres!$A$1:$I$89,3,0)*0.475*44/12</f>
        <v>1.0868508693578178E-2</v>
      </c>
      <c r="AC86" s="22">
        <f t="shared" si="57"/>
        <v>101.55830072913058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253.79640000000001</v>
      </c>
      <c r="BF86" s="13">
        <f t="shared" si="91"/>
        <v>61.39816832228076</v>
      </c>
      <c r="BG86" s="20">
        <f t="shared" si="61"/>
        <v>548.96387316130563</v>
      </c>
      <c r="BH86" s="59">
        <f t="shared" si="62"/>
        <v>842.29720649463889</v>
      </c>
      <c r="BI86" s="59">
        <f ca="1">AVERAGE(OFFSET($BH$3,0,0,'Données projet'!$E$11+1,1))-AVERAGE(OFFSET($H$3,0,0,'Données projet'!$E$11+1,1))</f>
        <v>273.69926316253162</v>
      </c>
      <c r="BJ86" s="59">
        <f t="shared" si="92"/>
        <v>270.78513558650451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42.195884755657147</v>
      </c>
      <c r="BQ86" s="21">
        <f>EXP(-LN(2)/25)*BQ85+(1-EXP(-LN(2)/25))/(LN(2)/25)*Calculateur!BL86*Calculateur!BN86*VLOOKUP('Données projet'!$B$11,Paramètres!$A$1:$I$89,3,0)*0.475*44/12</f>
        <v>6.9431885366800454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49.139073292337194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6.5339743589743566</v>
      </c>
      <c r="BY86" s="12">
        <f>IF('Données projet'!$A$114&gt;35,BY85+BX86-CG85,IF(A86&lt;'Données projet'!$A$114,$BV$205^A86,IF(A86='Données projet'!$A$114,'Données projet'!$B$114,BY85+BX86-CG85)))</f>
        <v>244.45320512820516</v>
      </c>
      <c r="BZ86" s="13">
        <f>BY86*VLOOKUP('Données projet'!$B$12,Paramètres!$A$1:$I$89,3,0)*VLOOKUP('Données projet'!$B$12,Paramètres!$A$1:$I$89,5,0)</f>
        <v>221.18126000000004</v>
      </c>
      <c r="CA86" s="13">
        <f t="shared" si="93"/>
        <v>54.371546674285838</v>
      </c>
      <c r="CB86" s="20">
        <f t="shared" si="64"/>
        <v>479.92113829104784</v>
      </c>
      <c r="CC86" s="59">
        <f t="shared" si="65"/>
        <v>773.25447162438115</v>
      </c>
      <c r="CD86" s="59">
        <f ca="1">AVERAGE(OFFSET($CC$3,0,0,'Données projet'!$E$12+1,1))-AVERAGE(OFFSET($H$3,0,0,'Données projet'!$E$12+1,1))</f>
        <v>302.4170391346459</v>
      </c>
      <c r="CE86" s="59">
        <f t="shared" si="94"/>
        <v>114.18498182856115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194.89717355535993</v>
      </c>
      <c r="T87" s="59">
        <f t="shared" si="88"/>
        <v>195.422737562245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80.647917143971313</v>
      </c>
      <c r="AA87" s="21">
        <f>EXP(-LN(2)/25)*AA86+(1-EXP(-LN(2)/25))/(LN(2)/25)*Calculateur!V87*Calculateur!X87*VLOOKUP('Données projet'!$B$9,Paramètres!$A$1:$I$89,3,0)*0.475*44/12</f>
        <v>18.759038578294128</v>
      </c>
      <c r="AB87" s="21">
        <f>EXP(-LN(2)/2)*AB86+(1-EXP(-LN(2)/2))/(LN(2)/2)*V87*Y87*VLOOKUP('Données projet'!$B$9,Paramètres!$A$1:$I$89,3,0)*0.475*44/12</f>
        <v>7.6851961986140749E-3</v>
      </c>
      <c r="AC87" s="22">
        <f t="shared" si="57"/>
        <v>99.414640918464045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253.79640000000001</v>
      </c>
      <c r="BF87" s="13">
        <f t="shared" si="91"/>
        <v>61.39816832228076</v>
      </c>
      <c r="BG87" s="20">
        <f t="shared" si="61"/>
        <v>548.96387316130563</v>
      </c>
      <c r="BH87" s="59">
        <f t="shared" si="62"/>
        <v>842.29720649463889</v>
      </c>
      <c r="BI87" s="59">
        <f ca="1">AVERAGE(OFFSET($BH$3,0,0,'Données projet'!$E$11+1,1))-AVERAGE(OFFSET($H$3,0,0,'Données projet'!$E$11+1,1))</f>
        <v>273.69926316253162</v>
      </c>
      <c r="BJ87" s="59">
        <f t="shared" si="92"/>
        <v>270.78513558650451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41.368449192547097</v>
      </c>
      <c r="BQ87" s="21">
        <f>EXP(-LN(2)/25)*BQ86+(1-EXP(-LN(2)/25))/(LN(2)/25)*Calculateur!BL87*Calculateur!BN87*VLOOKUP('Données projet'!$B$11,Paramètres!$A$1:$I$89,3,0)*0.475*44/12</f>
        <v>6.7533266810181134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48.121775873565213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250.98717948717945</v>
      </c>
      <c r="BW87" s="12">
        <f>VLOOKUP(A87,'Données projet'!$A$113:$I$133,9,0)</f>
        <v>6.5339743589743566</v>
      </c>
      <c r="BX87" s="12">
        <f t="array" ref="BX87">INDEX(BW:BW,MIN(IF(ISNUMBER(BW87:BW283),ROW(BW87:BW283),"")))</f>
        <v>6.5339743589743566</v>
      </c>
      <c r="BY87" s="12">
        <f>IF('Données projet'!$A$114&gt;35,BY86+BX87-CG86,IF(A87&lt;'Données projet'!$A$114,$BV$205^A87,IF(A87='Données projet'!$A$114,'Données projet'!$B$114,BY86+BX87-CG86)))</f>
        <v>250.9871794871795</v>
      </c>
      <c r="BZ87" s="13">
        <f>BY87*VLOOKUP('Données projet'!$B$12,Paramètres!$A$1:$I$89,3,0)*VLOOKUP('Données projet'!$B$12,Paramètres!$A$1:$I$89,5,0)</f>
        <v>227.09320000000002</v>
      </c>
      <c r="CA87" s="13">
        <f t="shared" si="93"/>
        <v>55.653698916736445</v>
      </c>
      <c r="CB87" s="20">
        <f t="shared" si="64"/>
        <v>492.45084894664933</v>
      </c>
      <c r="CC87" s="59">
        <f t="shared" si="65"/>
        <v>785.78418227998259</v>
      </c>
      <c r="CD87" s="59">
        <f ca="1">AVERAGE(OFFSET($CC$3,0,0,'Données projet'!$E$12+1,1))-AVERAGE(OFFSET($H$3,0,0,'Données projet'!$E$12+1,1))</f>
        <v>302.4170391346459</v>
      </c>
      <c r="CE87" s="59">
        <f t="shared" si="94"/>
        <v>114.18498182856115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47.256410256410255</v>
      </c>
      <c r="CH87" s="16">
        <f>IF(ISNA(VLOOKUP(A87,'Données projet'!$A$113:$I$133,5,0)),0%,VLOOKUP(A87,'Données projet'!$A$113:$I$133,5,0)*VLOOKUP('Données projet'!$B$12,Paramètres!$A$1:$I$89,7,0))</f>
        <v>0.30099999999999999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14.227445350275339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14.227445350275339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194.89717355535993</v>
      </c>
      <c r="T88" s="59">
        <f t="shared" si="88"/>
        <v>195.422737562245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79.066460679150353</v>
      </c>
      <c r="AA88" s="21">
        <f>EXP(-LN(2)/25)*AA87+(1-EXP(-LN(2)/25))/(LN(2)/25)*Calculateur!V88*Calculateur!X88*VLOOKUP('Données projet'!$B$9,Paramètres!$A$1:$I$89,3,0)*0.475*44/12</f>
        <v>18.246071681875708</v>
      </c>
      <c r="AB88" s="21">
        <f>EXP(-LN(2)/2)*AB87+(1-EXP(-LN(2)/2))/(LN(2)/2)*V88*Y88*VLOOKUP('Données projet'!$B$9,Paramètres!$A$1:$I$89,3,0)*0.475*44/12</f>
        <v>5.43425434678909E-3</v>
      </c>
      <c r="AC88" s="22">
        <f t="shared" si="57"/>
        <v>97.317966615372853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253.79640000000001</v>
      </c>
      <c r="BF88" s="13">
        <f t="shared" si="91"/>
        <v>61.39816832228076</v>
      </c>
      <c r="BG88" s="20">
        <f t="shared" si="61"/>
        <v>548.96387316130563</v>
      </c>
      <c r="BH88" s="59">
        <f t="shared" si="62"/>
        <v>842.29720649463889</v>
      </c>
      <c r="BI88" s="59">
        <f ca="1">AVERAGE(OFFSET($BH$3,0,0,'Données projet'!$E$11+1,1))-AVERAGE(OFFSET($H$3,0,0,'Données projet'!$E$11+1,1))</f>
        <v>273.69926316253162</v>
      </c>
      <c r="BJ88" s="59">
        <f t="shared" si="92"/>
        <v>270.78513558650451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40.557239136143778</v>
      </c>
      <c r="BQ88" s="21">
        <f>EXP(-LN(2)/25)*BQ87+(1-EXP(-LN(2)/25))/(LN(2)/25)*Calculateur!BL88*Calculateur!BN88*VLOOKUP('Données projet'!$B$11,Paramètres!$A$1:$I$89,3,0)*0.475*44/12</f>
        <v>6.5686566077836579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47.125895743927437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6.2512820512820522</v>
      </c>
      <c r="BY88" s="12">
        <f>IF('Données projet'!$A$114&gt;35,BY87+BX88-CG87,IF(A88&lt;'Données projet'!$A$114,$BV$205^A88,IF(A88='Données projet'!$A$114,'Données projet'!$B$114,BY87+BX88-CG87)))</f>
        <v>209.98205128205129</v>
      </c>
      <c r="BZ88" s="13">
        <f>BY88*VLOOKUP('Données projet'!$B$12,Paramètres!$A$1:$I$89,3,0)*VLOOKUP('Données projet'!$B$12,Paramètres!$A$1:$I$89,5,0)</f>
        <v>189.99176</v>
      </c>
      <c r="CA88" s="13">
        <f t="shared" si="93"/>
        <v>47.538131099623079</v>
      </c>
      <c r="CB88" s="20">
        <f t="shared" si="64"/>
        <v>413.69789366517688</v>
      </c>
      <c r="CC88" s="59">
        <f t="shared" si="65"/>
        <v>707.03122699851019</v>
      </c>
      <c r="CD88" s="59">
        <f ca="1">AVERAGE(OFFSET($CC$3,0,0,'Données projet'!$E$12+1,1))-AVERAGE(OFFSET($H$3,0,0,'Données projet'!$E$12+1,1))</f>
        <v>302.4170391346459</v>
      </c>
      <c r="CE88" s="59">
        <f t="shared" si="94"/>
        <v>114.18498182856115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13.948453824841232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13.948453824841232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194.89717355535993</v>
      </c>
      <c r="T89" s="59">
        <f t="shared" si="88"/>
        <v>195.422737562245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77.516015611011326</v>
      </c>
      <c r="AA89" s="21">
        <f>EXP(-LN(2)/25)*AA88+(1-EXP(-LN(2)/25))/(LN(2)/25)*Calculateur!V89*Calculateur!X89*VLOOKUP('Données projet'!$B$9,Paramètres!$A$1:$I$89,3,0)*0.475*44/12</f>
        <v>17.747131892215609</v>
      </c>
      <c r="AB89" s="21">
        <f>EXP(-LN(2)/2)*AB88+(1-EXP(-LN(2)/2))/(LN(2)/2)*V89*Y89*VLOOKUP('Données projet'!$B$9,Paramètres!$A$1:$I$89,3,0)*0.475*44/12</f>
        <v>3.8425980993070379E-3</v>
      </c>
      <c r="AC89" s="22">
        <f t="shared" si="57"/>
        <v>95.266990101326243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253.79640000000001</v>
      </c>
      <c r="BF89" s="13">
        <f t="shared" si="91"/>
        <v>61.39816832228076</v>
      </c>
      <c r="BG89" s="20">
        <f t="shared" si="61"/>
        <v>548.96387316130563</v>
      </c>
      <c r="BH89" s="59">
        <f t="shared" si="62"/>
        <v>842.29720649463889</v>
      </c>
      <c r="BI89" s="59">
        <f ca="1">AVERAGE(OFFSET($BH$3,0,0,'Données projet'!$E$11+1,1))-AVERAGE(OFFSET($H$3,0,0,'Données projet'!$E$11+1,1))</f>
        <v>273.69926316253162</v>
      </c>
      <c r="BJ89" s="59">
        <f t="shared" si="92"/>
        <v>270.78513558650451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39.761936414157248</v>
      </c>
      <c r="BQ89" s="21">
        <f>EXP(-LN(2)/25)*BQ88+(1-EXP(-LN(2)/25))/(LN(2)/25)*Calculateur!BL89*Calculateur!BN89*VLOOKUP('Données projet'!$B$11,Paramètres!$A$1:$I$89,3,0)*0.475*44/12</f>
        <v>6.3890363474131755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46.150972761570422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6.2512820512820522</v>
      </c>
      <c r="BY89" s="12">
        <f>IF('Données projet'!$A$114&gt;35,BY88+BX89-CG88,IF(A89&lt;'Données projet'!$A$114,$BV$205^A89,IF(A89='Données projet'!$A$114,'Données projet'!$B$114,BY88+BX89-CG88)))</f>
        <v>216.23333333333335</v>
      </c>
      <c r="BZ89" s="13">
        <f>BY89*VLOOKUP('Données projet'!$B$12,Paramètres!$A$1:$I$89,3,0)*VLOOKUP('Données projet'!$B$12,Paramètres!$A$1:$I$89,5,0)</f>
        <v>195.64792</v>
      </c>
      <c r="CA89" s="13">
        <f t="shared" si="93"/>
        <v>48.786491034291537</v>
      </c>
      <c r="CB89" s="20">
        <f t="shared" si="64"/>
        <v>425.72326588472441</v>
      </c>
      <c r="CC89" s="59">
        <f t="shared" si="65"/>
        <v>719.05659921805773</v>
      </c>
      <c r="CD89" s="59">
        <f ca="1">AVERAGE(OFFSET($CC$3,0,0,'Données projet'!$E$12+1,1))-AVERAGE(OFFSET($H$3,0,0,'Données projet'!$E$12+1,1))</f>
        <v>302.4170391346459</v>
      </c>
      <c r="CE89" s="59">
        <f t="shared" si="94"/>
        <v>114.18498182856115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13.674933153052862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13.674933153052862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194.89717355535993</v>
      </c>
      <c r="T90" s="59">
        <f t="shared" si="88"/>
        <v>195.422737562245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75.995973824980396</v>
      </c>
      <c r="AA90" s="21">
        <f>EXP(-LN(2)/25)*AA89+(1-EXP(-LN(2)/25))/(LN(2)/25)*Calculateur!V90*Calculateur!X90*VLOOKUP('Données projet'!$B$9,Paramètres!$A$1:$I$89,3,0)*0.475*44/12</f>
        <v>17.261835637341868</v>
      </c>
      <c r="AB90" s="21">
        <f>EXP(-LN(2)/2)*AB89+(1-EXP(-LN(2)/2))/(LN(2)/2)*V90*Y90*VLOOKUP('Données projet'!$B$9,Paramètres!$A$1:$I$89,3,0)*0.475*44/12</f>
        <v>2.7171271733945454E-3</v>
      </c>
      <c r="AC90" s="22">
        <f t="shared" si="57"/>
        <v>93.260526589495655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253.79640000000001</v>
      </c>
      <c r="BF90" s="13">
        <f t="shared" si="91"/>
        <v>61.39816832228076</v>
      </c>
      <c r="BG90" s="20">
        <f t="shared" si="61"/>
        <v>548.96387316130563</v>
      </c>
      <c r="BH90" s="59">
        <f t="shared" si="62"/>
        <v>842.29720649463889</v>
      </c>
      <c r="BI90" s="59">
        <f ca="1">AVERAGE(OFFSET($BH$3,0,0,'Données projet'!$E$11+1,1))-AVERAGE(OFFSET($H$3,0,0,'Données projet'!$E$11+1,1))</f>
        <v>273.69926316253162</v>
      </c>
      <c r="BJ90" s="59">
        <f t="shared" si="92"/>
        <v>270.78513558650451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38.982229093462109</v>
      </c>
      <c r="BQ90" s="21">
        <f>EXP(-LN(2)/25)*BQ89+(1-EXP(-LN(2)/25))/(LN(2)/25)*Calculateur!BL90*Calculateur!BN90*VLOOKUP('Données projet'!$B$11,Paramètres!$A$1:$I$89,3,0)*0.475*44/12</f>
        <v>6.2143278125083432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45.196556905970453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6.2512820512820522</v>
      </c>
      <c r="BY90" s="12">
        <f>IF('Données projet'!$A$114&gt;35,BY89+BX90-CG89,IF(A90&lt;'Données projet'!$A$114,$BV$205^A90,IF(A90='Données projet'!$A$114,'Données projet'!$B$114,BY89+BX90-CG89)))</f>
        <v>222.48461538461541</v>
      </c>
      <c r="BZ90" s="13">
        <f>BY90*VLOOKUP('Données projet'!$B$12,Paramètres!$A$1:$I$89,3,0)*VLOOKUP('Données projet'!$B$12,Paramètres!$A$1:$I$89,5,0)</f>
        <v>201.30408000000003</v>
      </c>
      <c r="CA90" s="13">
        <f t="shared" si="93"/>
        <v>50.030656541767812</v>
      </c>
      <c r="CB90" s="20">
        <f t="shared" si="64"/>
        <v>437.74133281024564</v>
      </c>
      <c r="CC90" s="59">
        <f t="shared" si="65"/>
        <v>731.07466614357895</v>
      </c>
      <c r="CD90" s="59">
        <f ca="1">AVERAGE(OFFSET($CC$3,0,0,'Données projet'!$E$12+1,1))-AVERAGE(OFFSET($H$3,0,0,'Données projet'!$E$12+1,1))</f>
        <v>302.4170391346459</v>
      </c>
      <c r="CE90" s="59">
        <f t="shared" si="94"/>
        <v>114.18498182856115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13.406776054807125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13.406776054807125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194.89717355535993</v>
      </c>
      <c r="T91" s="59">
        <f t="shared" si="88"/>
        <v>195.422737562245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74.505739131239594</v>
      </c>
      <c r="AA91" s="21">
        <f>EXP(-LN(2)/25)*AA90+(1-EXP(-LN(2)/25))/(LN(2)/25)*Calculateur!V91*Calculateur!X91*VLOOKUP('Données projet'!$B$9,Paramètres!$A$1:$I$89,3,0)*0.475*44/12</f>
        <v>16.78980983407827</v>
      </c>
      <c r="AB91" s="21">
        <f>EXP(-LN(2)/2)*AB90+(1-EXP(-LN(2)/2))/(LN(2)/2)*V91*Y91*VLOOKUP('Données projet'!$B$9,Paramètres!$A$1:$I$89,3,0)*0.475*44/12</f>
        <v>1.9212990496535194E-3</v>
      </c>
      <c r="AC91" s="22">
        <f t="shared" si="57"/>
        <v>91.297470264367519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253.79640000000001</v>
      </c>
      <c r="BF91" s="13">
        <f t="shared" si="91"/>
        <v>61.39816832228076</v>
      </c>
      <c r="BG91" s="20">
        <f t="shared" si="61"/>
        <v>548.96387316130563</v>
      </c>
      <c r="BH91" s="59">
        <f t="shared" si="62"/>
        <v>842.29720649463889</v>
      </c>
      <c r="BI91" s="59">
        <f ca="1">AVERAGE(OFFSET($BH$3,0,0,'Données projet'!$E$11+1,1))-AVERAGE(OFFSET($H$3,0,0,'Données projet'!$E$11+1,1))</f>
        <v>273.69926316253162</v>
      </c>
      <c r="BJ91" s="59">
        <f t="shared" si="92"/>
        <v>270.78513558650451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38.217811357751302</v>
      </c>
      <c r="BQ91" s="21">
        <f>EXP(-LN(2)/25)*BQ90+(1-EXP(-LN(2)/25))/(LN(2)/25)*Calculateur!BL91*Calculateur!BN91*VLOOKUP('Données projet'!$B$11,Paramètres!$A$1:$I$89,3,0)*0.475*44/12</f>
        <v>6.0443966916780063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44.262208049429304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6.2512820512820522</v>
      </c>
      <c r="BY91" s="12">
        <f>IF('Données projet'!$A$114&gt;35,BY90+BX91-CG90,IF(A91&lt;'Données projet'!$A$114,$BV$205^A91,IF(A91='Données projet'!$A$114,'Données projet'!$B$114,BY90+BX91-CG90)))</f>
        <v>228.73589743589747</v>
      </c>
      <c r="BZ91" s="13">
        <f>BY91*VLOOKUP('Données projet'!$B$12,Paramètres!$A$1:$I$89,3,0)*VLOOKUP('Données projet'!$B$12,Paramètres!$A$1:$I$89,5,0)</f>
        <v>206.96024000000003</v>
      </c>
      <c r="CA91" s="13">
        <f t="shared" si="93"/>
        <v>51.270759013587337</v>
      </c>
      <c r="CB91" s="20">
        <f t="shared" si="64"/>
        <v>449.75232328199803</v>
      </c>
      <c r="CC91" s="59">
        <f t="shared" si="65"/>
        <v>743.08565661533135</v>
      </c>
      <c r="CD91" s="59">
        <f ca="1">AVERAGE(OFFSET($CC$3,0,0,'Données projet'!$E$12+1,1))-AVERAGE(OFFSET($H$3,0,0,'Données projet'!$E$12+1,1))</f>
        <v>302.4170391346459</v>
      </c>
      <c r="CE91" s="59">
        <f t="shared" si="94"/>
        <v>114.18498182856115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13.143877353698306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13.143877353698306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194.89717355535993</v>
      </c>
      <c r="T92" s="59">
        <f t="shared" si="88"/>
        <v>195.422737562245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73.044727030889632</v>
      </c>
      <c r="AA92" s="21">
        <f>EXP(-LN(2)/25)*AA91+(1-EXP(-LN(2)/25))/(LN(2)/25)*Calculateur!V92*Calculateur!X92*VLOOKUP('Données projet'!$B$9,Paramètres!$A$1:$I$89,3,0)*0.475*44/12</f>
        <v>16.330691601227674</v>
      </c>
      <c r="AB92" s="21">
        <f>EXP(-LN(2)/2)*AB91+(1-EXP(-LN(2)/2))/(LN(2)/2)*V92*Y92*VLOOKUP('Données projet'!$B$9,Paramètres!$A$1:$I$89,3,0)*0.475*44/12</f>
        <v>1.3585635866972729E-3</v>
      </c>
      <c r="AC92" s="22">
        <f t="shared" si="57"/>
        <v>89.376777195703994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253.79640000000001</v>
      </c>
      <c r="BF92" s="13">
        <f t="shared" si="91"/>
        <v>61.39816832228076</v>
      </c>
      <c r="BG92" s="20">
        <f t="shared" si="61"/>
        <v>548.96387316130563</v>
      </c>
      <c r="BH92" s="59">
        <f t="shared" si="62"/>
        <v>842.29720649463889</v>
      </c>
      <c r="BI92" s="59">
        <f ca="1">AVERAGE(OFFSET($BH$3,0,0,'Données projet'!$E$11+1,1))-AVERAGE(OFFSET($H$3,0,0,'Données projet'!$E$11+1,1))</f>
        <v>273.69926316253162</v>
      </c>
      <c r="BJ92" s="59">
        <f t="shared" si="92"/>
        <v>270.78513558650451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37.468383387589</v>
      </c>
      <c r="BQ92" s="21">
        <f>EXP(-LN(2)/25)*BQ91+(1-EXP(-LN(2)/25))/(LN(2)/25)*Calculateur!BL92*Calculateur!BN92*VLOOKUP('Données projet'!$B$11,Paramètres!$A$1:$I$89,3,0)*0.475*44/12</f>
        <v>5.8791123462830637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43.347495733872066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6.2512820512820522</v>
      </c>
      <c r="BY92" s="12">
        <f>IF('Données projet'!$A$114&gt;35,BY91+BX92-CG91,IF(A92&lt;'Données projet'!$A$114,$BV$205^A92,IF(A92='Données projet'!$A$114,'Données projet'!$B$114,BY91+BX92-CG91)))</f>
        <v>234.98717948717953</v>
      </c>
      <c r="BZ92" s="13">
        <f>BY92*VLOOKUP('Données projet'!$B$12,Paramètres!$A$1:$I$89,3,0)*VLOOKUP('Données projet'!$B$12,Paramètres!$A$1:$I$89,5,0)</f>
        <v>212.61640000000003</v>
      </c>
      <c r="CA92" s="13">
        <f t="shared" si="93"/>
        <v>52.506922250744786</v>
      </c>
      <c r="CB92" s="20">
        <f t="shared" si="64"/>
        <v>461.7564529200472</v>
      </c>
      <c r="CC92" s="59">
        <f t="shared" si="65"/>
        <v>755.08978625338045</v>
      </c>
      <c r="CD92" s="59">
        <f ca="1">AVERAGE(OFFSET($CC$3,0,0,'Données projet'!$E$12+1,1))-AVERAGE(OFFSET($H$3,0,0,'Données projet'!$E$12+1,1))</f>
        <v>302.4170391346459</v>
      </c>
      <c r="CE92" s="59">
        <f t="shared" si="94"/>
        <v>114.18498182856115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12.886133935765857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12.886133935765857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194.89717355535993</v>
      </c>
      <c r="T93" s="59">
        <f t="shared" si="88"/>
        <v>195.422737562245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71.612364486698141</v>
      </c>
      <c r="AA93" s="21">
        <f>EXP(-LN(2)/25)*AA92+(1-EXP(-LN(2)/25))/(LN(2)/25)*Calculateur!V93*Calculateur!X93*VLOOKUP('Données projet'!$B$9,Paramètres!$A$1:$I$89,3,0)*0.475*44/12</f>
        <v>15.884127980598356</v>
      </c>
      <c r="AB93" s="21">
        <f>EXP(-LN(2)/2)*AB92+(1-EXP(-LN(2)/2))/(LN(2)/2)*V93*Y93*VLOOKUP('Données projet'!$B$9,Paramètres!$A$1:$I$89,3,0)*0.475*44/12</f>
        <v>9.6064952482675979E-4</v>
      </c>
      <c r="AC93" s="22">
        <f t="shared" si="57"/>
        <v>87.497453116821319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253.79640000000001</v>
      </c>
      <c r="BF93" s="13">
        <f t="shared" si="91"/>
        <v>61.39816832228076</v>
      </c>
      <c r="BG93" s="20">
        <f t="shared" si="61"/>
        <v>548.96387316130563</v>
      </c>
      <c r="BH93" s="59">
        <f t="shared" si="62"/>
        <v>842.29720649463889</v>
      </c>
      <c r="BI93" s="59">
        <f ca="1">AVERAGE(OFFSET($BH$3,0,0,'Données projet'!$E$11+1,1))-AVERAGE(OFFSET($H$3,0,0,'Données projet'!$E$11+1,1))</f>
        <v>273.69926316253162</v>
      </c>
      <c r="BJ93" s="59">
        <f t="shared" si="92"/>
        <v>270.78513558650451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36.733651242815654</v>
      </c>
      <c r="BQ93" s="21">
        <f>EXP(-LN(2)/25)*BQ92+(1-EXP(-LN(2)/25))/(LN(2)/25)*Calculateur!BL93*Calculateur!BN93*VLOOKUP('Données projet'!$B$11,Paramètres!$A$1:$I$89,3,0)*0.475*44/12</f>
        <v>5.7183477100048723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42.451998952820524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6.2512820512820522</v>
      </c>
      <c r="BY93" s="12">
        <f>IF('Données projet'!$A$114&gt;35,BY92+BX93-CG92,IF(A93&lt;'Données projet'!$A$114,$BV$205^A93,IF(A93='Données projet'!$A$114,'Données projet'!$B$114,BY92+BX93-CG92)))</f>
        <v>241.23846153846159</v>
      </c>
      <c r="BZ93" s="13">
        <f>BY93*VLOOKUP('Données projet'!$B$12,Paramètres!$A$1:$I$89,3,0)*VLOOKUP('Données projet'!$B$12,Paramètres!$A$1:$I$89,5,0)</f>
        <v>218.27256000000003</v>
      </c>
      <c r="CA93" s="13">
        <f t="shared" si="93"/>
        <v>53.739263092310814</v>
      </c>
      <c r="CB93" s="20">
        <f t="shared" si="64"/>
        <v>473.75392521910811</v>
      </c>
      <c r="CC93" s="59">
        <f t="shared" si="65"/>
        <v>767.08725855244143</v>
      </c>
      <c r="CD93" s="59">
        <f ca="1">AVERAGE(OFFSET($CC$3,0,0,'Données projet'!$E$12+1,1))-AVERAGE(OFFSET($H$3,0,0,'Données projet'!$E$12+1,1))</f>
        <v>302.4170391346459</v>
      </c>
      <c r="CE93" s="59">
        <f t="shared" si="94"/>
        <v>114.18498182856115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12.633444709051101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12.633444709051101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194.89717355535993</v>
      </c>
      <c r="T94" s="59">
        <f t="shared" si="88"/>
        <v>195.422737562245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70.208089698343358</v>
      </c>
      <c r="AA94" s="21">
        <f>EXP(-LN(2)/25)*AA93+(1-EXP(-LN(2)/25))/(LN(2)/25)*Calculateur!V94*Calculateur!X94*VLOOKUP('Données projet'!$B$9,Paramètres!$A$1:$I$89,3,0)*0.475*44/12</f>
        <v>15.449775665658906</v>
      </c>
      <c r="AB94" s="21">
        <f>EXP(-LN(2)/2)*AB93+(1-EXP(-LN(2)/2))/(LN(2)/2)*V94*Y94*VLOOKUP('Données projet'!$B$9,Paramètres!$A$1:$I$89,3,0)*0.475*44/12</f>
        <v>6.7928179334863657E-4</v>
      </c>
      <c r="AC94" s="22">
        <f t="shared" si="57"/>
        <v>85.658544645795615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253.79640000000001</v>
      </c>
      <c r="BF94" s="13">
        <f t="shared" si="91"/>
        <v>61.39816832228076</v>
      </c>
      <c r="BG94" s="20">
        <f t="shared" si="61"/>
        <v>548.96387316130563</v>
      </c>
      <c r="BH94" s="59">
        <f t="shared" si="62"/>
        <v>842.29720649463889</v>
      </c>
      <c r="BI94" s="59">
        <f ca="1">AVERAGE(OFFSET($BH$3,0,0,'Données projet'!$E$11+1,1))-AVERAGE(OFFSET($H$3,0,0,'Données projet'!$E$11+1,1))</f>
        <v>273.69926316253162</v>
      </c>
      <c r="BJ94" s="59">
        <f t="shared" si="92"/>
        <v>270.78513558650451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36.013326747258958</v>
      </c>
      <c r="BQ94" s="21">
        <f>EXP(-LN(2)/25)*BQ93+(1-EXP(-LN(2)/25))/(LN(2)/25)*Calculateur!BL94*Calculateur!BN94*VLOOKUP('Données projet'!$B$11,Paramètres!$A$1:$I$89,3,0)*0.475*44/12</f>
        <v>5.5619791911599528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41.575305938418907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6.2512820512820522</v>
      </c>
      <c r="BY94" s="12">
        <f>IF('Données projet'!$A$114&gt;35,BY93+BX94-CG93,IF(A94&lt;'Données projet'!$A$114,$BV$205^A94,IF(A94='Données projet'!$A$114,'Données projet'!$B$114,BY93+BX94-CG93)))</f>
        <v>247.48974358974365</v>
      </c>
      <c r="BZ94" s="13">
        <f>BY94*VLOOKUP('Données projet'!$B$12,Paramètres!$A$1:$I$89,3,0)*VLOOKUP('Données projet'!$B$12,Paramètres!$A$1:$I$89,5,0)</f>
        <v>223.92872000000003</v>
      </c>
      <c r="CA94" s="13">
        <f t="shared" si="93"/>
        <v>54.967891977057093</v>
      </c>
      <c r="CB94" s="20">
        <f t="shared" si="64"/>
        <v>485.74493252670771</v>
      </c>
      <c r="CC94" s="59">
        <f t="shared" si="65"/>
        <v>779.07826586004103</v>
      </c>
      <c r="CD94" s="59">
        <f ca="1">AVERAGE(OFFSET($CC$3,0,0,'Données projet'!$E$12+1,1))-AVERAGE(OFFSET($H$3,0,0,'Données projet'!$E$12+1,1))</f>
        <v>302.4170391346459</v>
      </c>
      <c r="CE94" s="59">
        <f t="shared" si="94"/>
        <v>114.18498182856115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12.385710563947013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12.385710563947013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194.89717355535993</v>
      </c>
      <c r="T95" s="59">
        <f t="shared" si="88"/>
        <v>195.422737562245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68.831351882065164</v>
      </c>
      <c r="AA95" s="21">
        <f>EXP(-LN(2)/25)*AA94+(1-EXP(-LN(2)/25))/(LN(2)/25)*Calculateur!V95*Calculateur!X95*VLOOKUP('Données projet'!$B$9,Paramètres!$A$1:$I$89,3,0)*0.475*44/12</f>
        <v>15.027300737613073</v>
      </c>
      <c r="AB95" s="21">
        <f>EXP(-LN(2)/2)*AB94+(1-EXP(-LN(2)/2))/(LN(2)/2)*V95*Y95*VLOOKUP('Données projet'!$B$9,Paramètres!$A$1:$I$89,3,0)*0.475*44/12</f>
        <v>4.8032476241338001E-4</v>
      </c>
      <c r="AC95" s="22">
        <f t="shared" si="57"/>
        <v>83.859132944440645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253.79640000000001</v>
      </c>
      <c r="BF95" s="13">
        <f t="shared" si="91"/>
        <v>61.39816832228076</v>
      </c>
      <c r="BG95" s="20">
        <f t="shared" si="61"/>
        <v>548.96387316130563</v>
      </c>
      <c r="BH95" s="59">
        <f t="shared" si="62"/>
        <v>842.29720649463889</v>
      </c>
      <c r="BI95" s="59">
        <f ca="1">AVERAGE(OFFSET($BH$3,0,0,'Données projet'!$E$11+1,1))-AVERAGE(OFFSET($H$3,0,0,'Données projet'!$E$11+1,1))</f>
        <v>273.69926316253162</v>
      </c>
      <c r="BJ95" s="59">
        <f t="shared" si="92"/>
        <v>270.78513558650451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35.307127375705569</v>
      </c>
      <c r="BQ95" s="21">
        <f>EXP(-LN(2)/25)*BQ94+(1-EXP(-LN(2)/25))/(LN(2)/25)*Calculateur!BL95*Calculateur!BN95*VLOOKUP('Données projet'!$B$11,Paramètres!$A$1:$I$89,3,0)*0.475*44/12</f>
        <v>5.40988657768591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40.717013953391479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6.2512820512820522</v>
      </c>
      <c r="BY95" s="12">
        <f>IF('Données projet'!$A$114&gt;35,BY94+BX95-CG94,IF(A95&lt;'Données projet'!$A$114,$BV$205^A95,IF(A95='Données projet'!$A$114,'Données projet'!$B$114,BY94+BX95-CG94)))</f>
        <v>253.74102564102571</v>
      </c>
      <c r="BZ95" s="13">
        <f>BY95*VLOOKUP('Données projet'!$B$12,Paramètres!$A$1:$I$89,3,0)*VLOOKUP('Données projet'!$B$12,Paramètres!$A$1:$I$89,5,0)</f>
        <v>229.58488000000003</v>
      </c>
      <c r="CA95" s="13">
        <f t="shared" si="93"/>
        <v>56.192913446740498</v>
      </c>
      <c r="CB95" s="20">
        <f t="shared" si="64"/>
        <v>497.72965691973968</v>
      </c>
      <c r="CC95" s="59">
        <f t="shared" si="65"/>
        <v>791.06299025307294</v>
      </c>
      <c r="CD95" s="59">
        <f ca="1">AVERAGE(OFFSET($CC$3,0,0,'Données projet'!$E$12+1,1))-AVERAGE(OFFSET($H$3,0,0,'Données projet'!$E$12+1,1))</f>
        <v>302.4170391346459</v>
      </c>
      <c r="CE95" s="59">
        <f t="shared" si="94"/>
        <v>114.18498182856115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12.142834334325508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12.142834334325508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194.89717355535993</v>
      </c>
      <c r="T96" s="59">
        <f t="shared" si="88"/>
        <v>195.422737562245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67.481611054637042</v>
      </c>
      <c r="AA96" s="21">
        <f>EXP(-LN(2)/25)*AA95+(1-EXP(-LN(2)/25))/(LN(2)/25)*Calculateur!V96*Calculateur!X96*VLOOKUP('Données projet'!$B$9,Paramètres!$A$1:$I$89,3,0)*0.475*44/12</f>
        <v>14.616378408691643</v>
      </c>
      <c r="AB96" s="21">
        <f>EXP(-LN(2)/2)*AB95+(1-EXP(-LN(2)/2))/(LN(2)/2)*V96*Y96*VLOOKUP('Données projet'!$B$9,Paramètres!$A$1:$I$89,3,0)*0.475*44/12</f>
        <v>3.3964089667431834E-4</v>
      </c>
      <c r="AC96" s="22">
        <f t="shared" si="57"/>
        <v>82.098329104225357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253.79640000000001</v>
      </c>
      <c r="BF96" s="13">
        <f t="shared" si="91"/>
        <v>61.39816832228076</v>
      </c>
      <c r="BG96" s="20">
        <f t="shared" si="61"/>
        <v>548.96387316130563</v>
      </c>
      <c r="BH96" s="59">
        <f t="shared" si="62"/>
        <v>842.29720649463889</v>
      </c>
      <c r="BI96" s="59">
        <f ca="1">AVERAGE(OFFSET($BH$3,0,0,'Données projet'!$E$11+1,1))-AVERAGE(OFFSET($H$3,0,0,'Données projet'!$E$11+1,1))</f>
        <v>273.69926316253162</v>
      </c>
      <c r="BJ96" s="59">
        <f t="shared" si="92"/>
        <v>270.78513558650451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34.614776143089259</v>
      </c>
      <c r="BQ96" s="21">
        <f>EXP(-LN(2)/25)*BQ95+(1-EXP(-LN(2)/25))/(LN(2)/25)*Calculateur!BL96*Calculateur!BN96*VLOOKUP('Données projet'!$B$11,Paramètres!$A$1:$I$89,3,0)*0.475*44/12</f>
        <v>5.2619529447255182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39.87672908781478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6.2512820512820522</v>
      </c>
      <c r="BY96" s="12">
        <f>IF('Données projet'!$A$114&gt;35,BY95+BX96-CG95,IF(A96&lt;'Données projet'!$A$114,$BV$205^A96,IF(A96='Données projet'!$A$114,'Données projet'!$B$114,BY95+BX96-CG95)))</f>
        <v>259.99230769230775</v>
      </c>
      <c r="BZ96" s="13">
        <f>BY96*VLOOKUP('Données projet'!$B$12,Paramètres!$A$1:$I$89,3,0)*VLOOKUP('Données projet'!$B$12,Paramètres!$A$1:$I$89,5,0)</f>
        <v>235.24104000000005</v>
      </c>
      <c r="CA96" s="13">
        <f t="shared" si="93"/>
        <v>57.414426598394883</v>
      </c>
      <c r="CB96" s="20">
        <f t="shared" si="64"/>
        <v>509.70827099220446</v>
      </c>
      <c r="CC96" s="59">
        <f t="shared" si="65"/>
        <v>803.04160432553772</v>
      </c>
      <c r="CD96" s="59">
        <f ca="1">AVERAGE(OFFSET($CC$3,0,0,'Données projet'!$E$12+1,1))-AVERAGE(OFFSET($H$3,0,0,'Données projet'!$E$12+1,1))</f>
        <v>302.4170391346459</v>
      </c>
      <c r="CE96" s="59">
        <f t="shared" si="94"/>
        <v>114.18498182856115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11.904720759427008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11.904720759427008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194.89717355535993</v>
      </c>
      <c r="T97" s="59">
        <f t="shared" si="88"/>
        <v>195.422737562245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66.158337821574165</v>
      </c>
      <c r="AA97" s="21">
        <f>EXP(-LN(2)/25)*AA96+(1-EXP(-LN(2)/25))/(LN(2)/25)*Calculateur!V97*Calculateur!X97*VLOOKUP('Données projet'!$B$9,Paramètres!$A$1:$I$89,3,0)*0.475*44/12</f>
        <v>14.216692772464036</v>
      </c>
      <c r="AB97" s="21">
        <f>EXP(-LN(2)/2)*AB96+(1-EXP(-LN(2)/2))/(LN(2)/2)*V97*Y97*VLOOKUP('Données projet'!$B$9,Paramètres!$A$1:$I$89,3,0)*0.475*44/12</f>
        <v>2.4016238120669003E-4</v>
      </c>
      <c r="AC97" s="22">
        <f t="shared" si="57"/>
        <v>80.375270756419411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253.79640000000001</v>
      </c>
      <c r="BF97" s="13">
        <f t="shared" si="91"/>
        <v>61.39816832228076</v>
      </c>
      <c r="BG97" s="20">
        <f t="shared" si="61"/>
        <v>548.96387316130563</v>
      </c>
      <c r="BH97" s="59">
        <f t="shared" si="62"/>
        <v>842.29720649463889</v>
      </c>
      <c r="BI97" s="59">
        <f ca="1">AVERAGE(OFFSET($BH$3,0,0,'Données projet'!$E$11+1,1))-AVERAGE(OFFSET($H$3,0,0,'Données projet'!$E$11+1,1))</f>
        <v>273.69926316253162</v>
      </c>
      <c r="BJ97" s="59">
        <f t="shared" si="92"/>
        <v>270.78513558650451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33.936001495851997</v>
      </c>
      <c r="BQ97" s="21">
        <f>EXP(-LN(2)/25)*BQ96+(1-EXP(-LN(2)/25))/(LN(2)/25)*Calculateur!BL97*Calculateur!BN97*VLOOKUP('Données projet'!$B$11,Paramètres!$A$1:$I$89,3,0)*0.475*44/12</f>
        <v>5.1180645647379199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39.054066060589918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266.24358974358972</v>
      </c>
      <c r="BW97" s="12">
        <f>VLOOKUP(A97,'Données projet'!$A$113:$I$133,9,0)</f>
        <v>6.2512820512820522</v>
      </c>
      <c r="BX97" s="12">
        <f t="array" ref="BX97">INDEX(BW:BW,MIN(IF(ISNUMBER(BW97:BW293),ROW(BW97:BW293),"")))</f>
        <v>6.2512820512820522</v>
      </c>
      <c r="BY97" s="12">
        <f>IF('Données projet'!$A$114&gt;35,BY96+BX97-CG96,IF(A97&lt;'Données projet'!$A$114,$BV$205^A97,IF(A97='Données projet'!$A$114,'Données projet'!$B$114,BY96+BX97-CG96)))</f>
        <v>266.24358974358978</v>
      </c>
      <c r="BZ97" s="13">
        <f>BY97*VLOOKUP('Données projet'!$B$12,Paramètres!$A$1:$I$89,3,0)*VLOOKUP('Données projet'!$B$12,Paramètres!$A$1:$I$89,5,0)</f>
        <v>240.8972</v>
      </c>
      <c r="CA97" s="13">
        <f t="shared" si="93"/>
        <v>58.632525491897368</v>
      </c>
      <c r="CB97" s="20">
        <f t="shared" si="64"/>
        <v>521.68093856505448</v>
      </c>
      <c r="CC97" s="59">
        <f t="shared" si="65"/>
        <v>815.01427189838773</v>
      </c>
      <c r="CD97" s="59">
        <f ca="1">AVERAGE(OFFSET($CC$3,0,0,'Données projet'!$E$12+1,1))-AVERAGE(OFFSET($H$3,0,0,'Données projet'!$E$12+1,1))</f>
        <v>302.4170391346459</v>
      </c>
      <c r="CE97" s="59">
        <f t="shared" si="94"/>
        <v>114.18498182856115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47.243589743589745</v>
      </c>
      <c r="CH97" s="16">
        <f>IF(ISNA(VLOOKUP(A97,'Données projet'!$A$113:$I$133,5,0)),0%,VLOOKUP(A97,'Données projet'!$A$113:$I$133,5,0)*VLOOKUP('Données projet'!$B$12,Paramètres!$A$1:$I$89,7,0))</f>
        <v>0.30099999999999999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25.894861936395486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25.894861936395486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194.89717355535993</v>
      </c>
      <c r="T98" s="59">
        <f t="shared" si="88"/>
        <v>195.422737562245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64.861013169494683</v>
      </c>
      <c r="AA98" s="21">
        <f>EXP(-LN(2)/25)*AA97+(1-EXP(-LN(2)/25))/(LN(2)/25)*Calculateur!V98*Calculateur!X98*VLOOKUP('Données projet'!$B$9,Paramètres!$A$1:$I$89,3,0)*0.475*44/12</f>
        <v>13.827936560977626</v>
      </c>
      <c r="AB98" s="21">
        <f>EXP(-LN(2)/2)*AB97+(1-EXP(-LN(2)/2))/(LN(2)/2)*V98*Y98*VLOOKUP('Données projet'!$B$9,Paramètres!$A$1:$I$89,3,0)*0.475*44/12</f>
        <v>1.698204483371592E-4</v>
      </c>
      <c r="AC98" s="22">
        <f t="shared" si="57"/>
        <v>78.689119550920637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253.79640000000001</v>
      </c>
      <c r="BF98" s="13">
        <f t="shared" si="91"/>
        <v>61.39816832228076</v>
      </c>
      <c r="BG98" s="20">
        <f t="shared" si="61"/>
        <v>548.96387316130563</v>
      </c>
      <c r="BH98" s="59">
        <f t="shared" si="62"/>
        <v>842.29720649463889</v>
      </c>
      <c r="BI98" s="59">
        <f ca="1">AVERAGE(OFFSET($BH$3,0,0,'Données projet'!$E$11+1,1))-AVERAGE(OFFSET($H$3,0,0,'Données projet'!$E$11+1,1))</f>
        <v>273.69926316253162</v>
      </c>
      <c r="BJ98" s="59">
        <f t="shared" si="92"/>
        <v>270.78513558650451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33.270537205435403</v>
      </c>
      <c r="BQ98" s="21">
        <f>EXP(-LN(2)/25)*BQ97+(1-EXP(-LN(2)/25))/(LN(2)/25)*Calculateur!BL98*Calculateur!BN98*VLOOKUP('Données projet'!$B$11,Paramètres!$A$1:$I$89,3,0)*0.475*44/12</f>
        <v>4.9781108200678439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38.248648025503243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6.071794871794876</v>
      </c>
      <c r="BY98" s="12">
        <f>IF('Données projet'!$A$114&gt;35,BY97+BX98-CG97,IF(A98&lt;'Données projet'!$A$114,$BV$205^A98,IF(A98='Données projet'!$A$114,'Données projet'!$B$114,BY97+BX98-CG97)))</f>
        <v>225.07179487179488</v>
      </c>
      <c r="BZ98" s="13">
        <f>BY98*VLOOKUP('Données projet'!$B$12,Paramètres!$A$1:$I$89,3,0)*VLOOKUP('Données projet'!$B$12,Paramètres!$A$1:$I$89,5,0)</f>
        <v>203.64496</v>
      </c>
      <c r="CA98" s="13">
        <f t="shared" si="93"/>
        <v>50.544375656527151</v>
      </c>
      <c r="CB98" s="20">
        <f t="shared" si="64"/>
        <v>442.71309293511808</v>
      </c>
      <c r="CC98" s="59">
        <f t="shared" si="65"/>
        <v>736.04642626845134</v>
      </c>
      <c r="CD98" s="59">
        <f ca="1">AVERAGE(OFFSET($CC$3,0,0,'Données projet'!$E$12+1,1))-AVERAGE(OFFSET($H$3,0,0,'Données projet'!$E$12+1,1))</f>
        <v>302.4170391346459</v>
      </c>
      <c r="CE98" s="59">
        <f t="shared" si="94"/>
        <v>114.18498182856115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25.387079488128993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25.387079488128993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194.89717355535993</v>
      </c>
      <c r="T99" s="59">
        <f t="shared" si="88"/>
        <v>195.422737562245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63.58912826255257</v>
      </c>
      <c r="AA99" s="21">
        <f>EXP(-LN(2)/25)*AA98+(1-EXP(-LN(2)/25))/(LN(2)/25)*Calculateur!V99*Calculateur!X99*VLOOKUP('Données projet'!$B$9,Paramètres!$A$1:$I$89,3,0)*0.475*44/12</f>
        <v>13.449810908538113</v>
      </c>
      <c r="AB99" s="21">
        <f>EXP(-LN(2)/2)*AB98+(1-EXP(-LN(2)/2))/(LN(2)/2)*V99*Y99*VLOOKUP('Données projet'!$B$9,Paramètres!$A$1:$I$89,3,0)*0.475*44/12</f>
        <v>1.2008119060334503E-4</v>
      </c>
      <c r="AC99" s="22">
        <f t="shared" si="57"/>
        <v>77.039059252281291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253.79640000000001</v>
      </c>
      <c r="BF99" s="13">
        <f t="shared" si="91"/>
        <v>61.39816832228076</v>
      </c>
      <c r="BG99" s="20">
        <f t="shared" si="61"/>
        <v>548.96387316130563</v>
      </c>
      <c r="BH99" s="59">
        <f t="shared" si="62"/>
        <v>842.29720649463889</v>
      </c>
      <c r="BI99" s="59">
        <f ca="1">AVERAGE(OFFSET($BH$3,0,0,'Données projet'!$E$11+1,1))-AVERAGE(OFFSET($H$3,0,0,'Données projet'!$E$11+1,1))</f>
        <v>273.69926316253162</v>
      </c>
      <c r="BJ99" s="59">
        <f t="shared" si="92"/>
        <v>270.78513558650451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32.618122263860741</v>
      </c>
      <c r="BQ99" s="21">
        <f>EXP(-LN(2)/25)*BQ98+(1-EXP(-LN(2)/25))/(LN(2)/25)*Calculateur!BL99*Calculateur!BN99*VLOOKUP('Données projet'!$B$11,Paramètres!$A$1:$I$89,3,0)*0.475*44/12</f>
        <v>4.8419841179056187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37.460106381766359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6.071794871794876</v>
      </c>
      <c r="BY99" s="12">
        <f>IF('Données projet'!$A$114&gt;35,BY98+BX99-CG98,IF(A99&lt;'Données projet'!$A$114,$BV$205^A99,IF(A99='Données projet'!$A$114,'Données projet'!$B$114,BY98+BX99-CG98)))</f>
        <v>231.14358974358976</v>
      </c>
      <c r="BZ99" s="13">
        <f>BY99*VLOOKUP('Données projet'!$B$12,Paramètres!$A$1:$I$89,3,0)*VLOOKUP('Données projet'!$B$12,Paramètres!$A$1:$I$89,5,0)</f>
        <v>209.13872000000001</v>
      </c>
      <c r="CA99" s="13">
        <f t="shared" si="93"/>
        <v>51.747329354497921</v>
      </c>
      <c r="CB99" s="20">
        <f t="shared" si="64"/>
        <v>454.37653595908381</v>
      </c>
      <c r="CC99" s="59">
        <f t="shared" si="65"/>
        <v>747.70986929241712</v>
      </c>
      <c r="CD99" s="59">
        <f ca="1">AVERAGE(OFFSET($CC$3,0,0,'Données projet'!$E$12+1,1))-AVERAGE(OFFSET($H$3,0,0,'Données projet'!$E$12+1,1))</f>
        <v>302.4170391346459</v>
      </c>
      <c r="CE99" s="59">
        <f t="shared" si="94"/>
        <v>114.18498182856115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24.889254343956296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24.889254343956296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194.89717355535993</v>
      </c>
      <c r="T100" s="59">
        <f t="shared" si="88"/>
        <v>195.422737562245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62.342184242862402</v>
      </c>
      <c r="AA100" s="21">
        <f>EXP(-LN(2)/25)*AA99+(1-EXP(-LN(2)/25))/(LN(2)/25)*Calculateur!V100*Calculateur!X100*VLOOKUP('Données projet'!$B$9,Paramètres!$A$1:$I$89,3,0)*0.475*44/12</f>
        <v>13.082025121949323</v>
      </c>
      <c r="AB100" s="21">
        <f>EXP(-LN(2)/2)*AB99+(1-EXP(-LN(2)/2))/(LN(2)/2)*V100*Y100*VLOOKUP('Données projet'!$B$9,Paramètres!$A$1:$I$89,3,0)*0.475*44/12</f>
        <v>8.4910224168579612E-5</v>
      </c>
      <c r="AC100" s="22">
        <f t="shared" si="57"/>
        <v>75.424294275035905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253.79640000000001</v>
      </c>
      <c r="BF100" s="13">
        <f t="shared" si="91"/>
        <v>61.39816832228076</v>
      </c>
      <c r="BG100" s="20">
        <f t="shared" si="61"/>
        <v>548.96387316130563</v>
      </c>
      <c r="BH100" s="59">
        <f t="shared" si="62"/>
        <v>842.29720649463889</v>
      </c>
      <c r="BI100" s="59">
        <f ca="1">AVERAGE(OFFSET($BH$3,0,0,'Données projet'!$E$11+1,1))-AVERAGE(OFFSET($H$3,0,0,'Données projet'!$E$11+1,1))</f>
        <v>273.69926316253162</v>
      </c>
      <c r="BJ100" s="59">
        <f t="shared" si="92"/>
        <v>270.78513558650451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31.978500781356537</v>
      </c>
      <c r="BQ100" s="21">
        <f>EXP(-LN(2)/25)*BQ99+(1-EXP(-LN(2)/25))/(LN(2)/25)*Calculateur!BL100*Calculateur!BN100*VLOOKUP('Données projet'!$B$11,Paramètres!$A$1:$I$89,3,0)*0.475*44/12</f>
        <v>4.7095798075726112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36.688080588929147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6.071794871794876</v>
      </c>
      <c r="BY100" s="12">
        <f>IF('Données projet'!$A$114&gt;35,BY99+BX100-CG99,IF(A100&lt;'Données projet'!$A$114,$BV$205^A100,IF(A100='Données projet'!$A$114,'Données projet'!$B$114,BY99+BX100-CG99)))</f>
        <v>237.21538461538464</v>
      </c>
      <c r="BZ100" s="13">
        <f>BY100*VLOOKUP('Données projet'!$B$12,Paramètres!$A$1:$I$89,3,0)*VLOOKUP('Données projet'!$B$12,Paramètres!$A$1:$I$89,5,0)</f>
        <v>214.63248000000002</v>
      </c>
      <c r="CA100" s="13">
        <f t="shared" si="93"/>
        <v>52.946610008544852</v>
      </c>
      <c r="CB100" s="20">
        <f t="shared" si="64"/>
        <v>466.03358176488229</v>
      </c>
      <c r="CC100" s="59">
        <f t="shared" si="65"/>
        <v>759.3669150982156</v>
      </c>
      <c r="CD100" s="59">
        <f ca="1">AVERAGE(OFFSET($CC$3,0,0,'Données projet'!$E$12+1,1))-AVERAGE(OFFSET($H$3,0,0,'Données projet'!$E$12+1,1))</f>
        <v>302.4170391346459</v>
      </c>
      <c r="CE100" s="59">
        <f t="shared" si="94"/>
        <v>114.18498182856115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24.401191247217469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24.401191247217469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194.89717355535993</v>
      </c>
      <c r="T101" s="59">
        <f t="shared" si="88"/>
        <v>195.422737562245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61.119692034837605</v>
      </c>
      <c r="AA101" s="21">
        <f>EXP(-LN(2)/25)*AA100+(1-EXP(-LN(2)/25))/(LN(2)/25)*Calculateur!V101*Calculateur!X101*VLOOKUP('Données projet'!$B$9,Paramètres!$A$1:$I$89,3,0)*0.475*44/12</f>
        <v>12.724296457035818</v>
      </c>
      <c r="AB101" s="21">
        <f>EXP(-LN(2)/2)*AB100+(1-EXP(-LN(2)/2))/(LN(2)/2)*V101*Y101*VLOOKUP('Données projet'!$B$9,Paramètres!$A$1:$I$89,3,0)*0.475*44/12</f>
        <v>6.0040595301672528E-5</v>
      </c>
      <c r="AC101" s="22">
        <f t="shared" si="57"/>
        <v>73.844048532468719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253.79640000000001</v>
      </c>
      <c r="BF101" s="13">
        <f t="shared" si="91"/>
        <v>61.39816832228076</v>
      </c>
      <c r="BG101" s="20">
        <f t="shared" si="61"/>
        <v>548.96387316130563</v>
      </c>
      <c r="BH101" s="59">
        <f t="shared" si="62"/>
        <v>842.29720649463889</v>
      </c>
      <c r="BI101" s="59">
        <f ca="1">AVERAGE(OFFSET($BH$3,0,0,'Données projet'!$E$11+1,1))-AVERAGE(OFFSET($H$3,0,0,'Données projet'!$E$11+1,1))</f>
        <v>273.69926316253162</v>
      </c>
      <c r="BJ101" s="59">
        <f t="shared" si="92"/>
        <v>270.78513558650451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31.351421885993659</v>
      </c>
      <c r="BQ101" s="21">
        <f>EXP(-LN(2)/25)*BQ100+(1-EXP(-LN(2)/25))/(LN(2)/25)*Calculateur!BL101*Calculateur!BN101*VLOOKUP('Données projet'!$B$11,Paramètres!$A$1:$I$89,3,0)*0.475*44/12</f>
        <v>4.5807961000684996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35.932217986062156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6.071794871794876</v>
      </c>
      <c r="BY101" s="12">
        <f>IF('Données projet'!$A$114&gt;35,BY100+BX101-CG100,IF(A101&lt;'Données projet'!$A$114,$BV$205^A101,IF(A101='Données projet'!$A$114,'Données projet'!$B$114,BY100+BX101-CG100)))</f>
        <v>243.28717948717951</v>
      </c>
      <c r="BZ101" s="13">
        <f>BY101*VLOOKUP('Données projet'!$B$12,Paramètres!$A$1:$I$89,3,0)*VLOOKUP('Données projet'!$B$12,Paramètres!$A$1:$I$89,5,0)</f>
        <v>220.12624000000002</v>
      </c>
      <c r="CA101" s="13">
        <f t="shared" si="93"/>
        <v>54.142322444750825</v>
      </c>
      <c r="CB101" s="20">
        <f t="shared" si="64"/>
        <v>477.68441292460778</v>
      </c>
      <c r="CC101" s="59">
        <f t="shared" si="65"/>
        <v>771.0177462579411</v>
      </c>
      <c r="CD101" s="59">
        <f ca="1">AVERAGE(OFFSET($CC$3,0,0,'Données projet'!$E$12+1,1))-AVERAGE(OFFSET($H$3,0,0,'Données projet'!$E$12+1,1))</f>
        <v>302.4170391346459</v>
      </c>
      <c r="CE101" s="59">
        <f t="shared" si="94"/>
        <v>114.18498182856115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23.922698770116597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23.922698770116597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194.89717355535993</v>
      </c>
      <c r="T102" s="59">
        <f t="shared" si="88"/>
        <v>195.422737562245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59.921172153365553</v>
      </c>
      <c r="AA102" s="21">
        <f>EXP(-LN(2)/25)*AA101+(1-EXP(-LN(2)/25))/(LN(2)/25)*Calculateur!V102*Calculateur!X102*VLOOKUP('Données projet'!$B$9,Paramètres!$A$1:$I$89,3,0)*0.475*44/12</f>
        <v>12.376349901276505</v>
      </c>
      <c r="AB102" s="21">
        <f>EXP(-LN(2)/2)*AB101+(1-EXP(-LN(2)/2))/(LN(2)/2)*V102*Y102*VLOOKUP('Données projet'!$B$9,Paramètres!$A$1:$I$89,3,0)*0.475*44/12</f>
        <v>4.2455112084289813E-5</v>
      </c>
      <c r="AC102" s="22">
        <f t="shared" si="57"/>
        <v>72.297564509754139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253.79640000000001</v>
      </c>
      <c r="BF102" s="13">
        <f t="shared" si="91"/>
        <v>61.39816832228076</v>
      </c>
      <c r="BG102" s="20">
        <f t="shared" si="61"/>
        <v>548.96387316130563</v>
      </c>
      <c r="BH102" s="59">
        <f t="shared" si="62"/>
        <v>842.29720649463889</v>
      </c>
      <c r="BI102" s="59">
        <f ca="1">AVERAGE(OFFSET($BH$3,0,0,'Données projet'!$E$11+1,1))-AVERAGE(OFFSET($H$3,0,0,'Données projet'!$E$11+1,1))</f>
        <v>273.69926316253162</v>
      </c>
      <c r="BJ102" s="59">
        <f t="shared" si="92"/>
        <v>270.78513558650451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30.736639625288486</v>
      </c>
      <c r="BQ102" s="21">
        <f>EXP(-LN(2)/25)*BQ101+(1-EXP(-LN(2)/25))/(LN(2)/25)*Calculateur!BL102*Calculateur!BN102*VLOOKUP('Données projet'!$B$11,Paramètres!$A$1:$I$89,3,0)*0.475*44/12</f>
        <v>4.4555339898185293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35.192173615107016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6.071794871794876</v>
      </c>
      <c r="BY102" s="12">
        <f>IF('Données projet'!$A$114&gt;35,BY101+BX102-CG101,IF(A102&lt;'Données projet'!$A$114,$BV$205^A102,IF(A102='Données projet'!$A$114,'Données projet'!$B$114,BY101+BX102-CG101)))</f>
        <v>249.35897435897439</v>
      </c>
      <c r="BZ102" s="13">
        <f>BY102*VLOOKUP('Données projet'!$B$12,Paramètres!$A$1:$I$89,3,0)*VLOOKUP('Données projet'!$B$12,Paramètres!$A$1:$I$89,5,0)</f>
        <v>225.62000000000003</v>
      </c>
      <c r="CA102" s="13">
        <f t="shared" si="93"/>
        <v>55.334565958624232</v>
      </c>
      <c r="CB102" s="20">
        <f t="shared" si="64"/>
        <v>489.32920237793724</v>
      </c>
      <c r="CC102" s="59">
        <f t="shared" si="65"/>
        <v>782.66253571127049</v>
      </c>
      <c r="CD102" s="59">
        <f ca="1">AVERAGE(OFFSET($CC$3,0,0,'Données projet'!$E$12+1,1))-AVERAGE(OFFSET($H$3,0,0,'Données projet'!$E$12+1,1))</f>
        <v>302.4170391346459</v>
      </c>
      <c r="CE102" s="59">
        <f t="shared" si="94"/>
        <v>114.18498182856115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23.453589238640077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23.453589238640077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194.89717355535993</v>
      </c>
      <c r="T103" s="59">
        <f t="shared" si="88"/>
        <v>195.422737562245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58.746154515744223</v>
      </c>
      <c r="AA103" s="21">
        <f>EXP(-LN(2)/25)*AA102+(1-EXP(-LN(2)/25))/(LN(2)/25)*Calculateur!V103*Calculateur!X103*VLOOKUP('Données projet'!$B$9,Paramètres!$A$1:$I$89,3,0)*0.475*44/12</f>
        <v>12.037917962382144</v>
      </c>
      <c r="AB103" s="21">
        <f>EXP(-LN(2)/2)*AB102+(1-EXP(-LN(2)/2))/(LN(2)/2)*V103*Y103*VLOOKUP('Données projet'!$B$9,Paramètres!$A$1:$I$89,3,0)*0.475*44/12</f>
        <v>3.0020297650836267E-5</v>
      </c>
      <c r="AC103" s="22">
        <f t="shared" si="57"/>
        <v>70.784102498424019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253.79640000000001</v>
      </c>
      <c r="BF103" s="13">
        <f t="shared" si="91"/>
        <v>61.39816832228076</v>
      </c>
      <c r="BG103" s="20">
        <f t="shared" si="61"/>
        <v>548.96387316130563</v>
      </c>
      <c r="BH103" s="59">
        <f t="shared" si="62"/>
        <v>842.29720649463889</v>
      </c>
      <c r="BI103" s="59">
        <f ca="1">AVERAGE(OFFSET($BH$3,0,0,'Données projet'!$E$11+1,1))-AVERAGE(OFFSET($H$3,0,0,'Données projet'!$E$11+1,1))</f>
        <v>273.69926316253162</v>
      </c>
      <c r="BJ103" s="59">
        <f t="shared" si="92"/>
        <v>270.78513558650451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30.133912869735589</v>
      </c>
      <c r="BQ103" s="21">
        <f>EXP(-LN(2)/25)*BQ102+(1-EXP(-LN(2)/25))/(LN(2)/25)*Calculateur!BL103*Calculateur!BN103*VLOOKUP('Données projet'!$B$11,Paramètres!$A$1:$I$89,3,0)*0.475*44/12</f>
        <v>4.333697178560592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34.46761004829618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6.071794871794876</v>
      </c>
      <c r="BY103" s="12">
        <f>IF('Données projet'!$A$114&gt;35,BY102+BX103-CG102,IF(A103&lt;'Données projet'!$A$114,$BV$205^A103,IF(A103='Données projet'!$A$114,'Données projet'!$B$114,BY102+BX103-CG102)))</f>
        <v>255.43076923076927</v>
      </c>
      <c r="BZ103" s="13">
        <f>BY103*VLOOKUP('Données projet'!$B$12,Paramètres!$A$1:$I$89,3,0)*VLOOKUP('Données projet'!$B$12,Paramètres!$A$1:$I$89,5,0)</f>
        <v>231.11376000000004</v>
      </c>
      <c r="CA103" s="13">
        <f t="shared" si="93"/>
        <v>56.523434734348982</v>
      </c>
      <c r="CB103" s="20">
        <f t="shared" si="64"/>
        <v>500.96811416232453</v>
      </c>
      <c r="CC103" s="59">
        <f t="shared" si="65"/>
        <v>794.30144749565784</v>
      </c>
      <c r="CD103" s="59">
        <f ca="1">AVERAGE(OFFSET($CC$3,0,0,'Données projet'!$E$12+1,1))-AVERAGE(OFFSET($H$3,0,0,'Données projet'!$E$12+1,1))</f>
        <v>302.4170391346459</v>
      </c>
      <c r="CE103" s="59">
        <f t="shared" si="94"/>
        <v>114.18498182856115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22.993678658947253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22.993678658947253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194.89717355535993</v>
      </c>
      <c r="T104" s="59">
        <f t="shared" si="88"/>
        <v>195.422737562245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57.594178257306652</v>
      </c>
      <c r="AA104" s="21">
        <f>EXP(-LN(2)/25)*AA103+(1-EXP(-LN(2)/25))/(LN(2)/25)*Calculateur!V104*Calculateur!X104*VLOOKUP('Données projet'!$B$9,Paramètres!$A$1:$I$89,3,0)*0.475*44/12</f>
        <v>11.708740462654212</v>
      </c>
      <c r="AB104" s="21">
        <f>EXP(-LN(2)/2)*AB103+(1-EXP(-LN(2)/2))/(LN(2)/2)*V104*Y104*VLOOKUP('Données projet'!$B$9,Paramètres!$A$1:$I$89,3,0)*0.475*44/12</f>
        <v>2.122755604214491E-5</v>
      </c>
      <c r="AC104" s="22">
        <f t="shared" si="57"/>
        <v>69.302939947516919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253.79640000000001</v>
      </c>
      <c r="BF104" s="13">
        <f t="shared" si="91"/>
        <v>61.39816832228076</v>
      </c>
      <c r="BG104" s="20">
        <f t="shared" si="61"/>
        <v>548.96387316130563</v>
      </c>
      <c r="BH104" s="59">
        <f t="shared" si="62"/>
        <v>842.29720649463889</v>
      </c>
      <c r="BI104" s="59">
        <f ca="1">AVERAGE(OFFSET($BH$3,0,0,'Données projet'!$E$11+1,1))-AVERAGE(OFFSET($H$3,0,0,'Données projet'!$E$11+1,1))</f>
        <v>273.69926316253162</v>
      </c>
      <c r="BJ104" s="59">
        <f t="shared" si="92"/>
        <v>270.78513558650451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29.543005218232064</v>
      </c>
      <c r="BQ104" s="21">
        <f>EXP(-LN(2)/25)*BQ103+(1-EXP(-LN(2)/25))/(LN(2)/25)*Calculateur!BL104*Calculateur!BN104*VLOOKUP('Données projet'!$B$11,Paramètres!$A$1:$I$89,3,0)*0.475*44/12</f>
        <v>4.215192001313623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33.758197219545686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6.071794871794876</v>
      </c>
      <c r="BY104" s="12">
        <f>IF('Données projet'!$A$114&gt;35,BY103+BX104-CG103,IF(A104&lt;'Données projet'!$A$114,$BV$205^A104,IF(A104='Données projet'!$A$114,'Données projet'!$B$114,BY103+BX104-CG103)))</f>
        <v>261.50256410256412</v>
      </c>
      <c r="BZ104" s="13">
        <f>BY104*VLOOKUP('Données projet'!$B$12,Paramètres!$A$1:$I$89,3,0)*VLOOKUP('Données projet'!$B$12,Paramètres!$A$1:$I$89,5,0)</f>
        <v>236.60751999999999</v>
      </c>
      <c r="CA104" s="13">
        <f t="shared" si="93"/>
        <v>57.709018223048304</v>
      </c>
      <c r="CB104" s="20">
        <f t="shared" si="64"/>
        <v>512.60130407180907</v>
      </c>
      <c r="CC104" s="59">
        <f t="shared" si="65"/>
        <v>805.93463740514244</v>
      </c>
      <c r="CD104" s="59">
        <f ca="1">AVERAGE(OFFSET($CC$3,0,0,'Données projet'!$E$12+1,1))-AVERAGE(OFFSET($H$3,0,0,'Données projet'!$E$12+1,1))</f>
        <v>302.4170391346459</v>
      </c>
      <c r="CE104" s="59">
        <f t="shared" si="94"/>
        <v>114.18498182856115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22.542786645204451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22.542786645204451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194.89717355535993</v>
      </c>
      <c r="T105" s="59">
        <f t="shared" si="88"/>
        <v>195.422737562245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56.464791550660905</v>
      </c>
      <c r="AA105" s="21">
        <f>EXP(-LN(2)/25)*AA104+(1-EXP(-LN(2)/25))/(LN(2)/25)*Calculateur!V105*Calculateur!X105*VLOOKUP('Données projet'!$B$9,Paramètres!$A$1:$I$89,3,0)*0.475*44/12</f>
        <v>11.388564338967033</v>
      </c>
      <c r="AB105" s="21">
        <f>EXP(-LN(2)/2)*AB104+(1-EXP(-LN(2)/2))/(LN(2)/2)*V105*Y105*VLOOKUP('Données projet'!$B$9,Paramètres!$A$1:$I$89,3,0)*0.475*44/12</f>
        <v>1.5010148825418137E-5</v>
      </c>
      <c r="AC105" s="22">
        <f t="shared" si="57"/>
        <v>67.853370899776763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253.79640000000001</v>
      </c>
      <c r="BF105" s="13">
        <f t="shared" si="91"/>
        <v>61.39816832228076</v>
      </c>
      <c r="BG105" s="20">
        <f t="shared" si="61"/>
        <v>548.96387316130563</v>
      </c>
      <c r="BH105" s="59">
        <f t="shared" si="62"/>
        <v>842.29720649463889</v>
      </c>
      <c r="BI105" s="59">
        <f ca="1">AVERAGE(OFFSET($BH$3,0,0,'Données projet'!$E$11+1,1))-AVERAGE(OFFSET($H$3,0,0,'Données projet'!$E$11+1,1))</f>
        <v>273.69926316253162</v>
      </c>
      <c r="BJ105" s="59">
        <f t="shared" si="92"/>
        <v>270.78513558650451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28.963684905356445</v>
      </c>
      <c r="BQ105" s="21">
        <f>EXP(-LN(2)/25)*BQ104+(1-EXP(-LN(2)/25))/(LN(2)/25)*Calculateur!BL105*Calculateur!BN105*VLOOKUP('Données projet'!$B$11,Paramètres!$A$1:$I$89,3,0)*0.475*44/12</f>
        <v>4.0999273543703882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33.063612259726831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6.071794871794876</v>
      </c>
      <c r="BY105" s="12">
        <f>IF('Données projet'!$A$114&gt;35,BY104+BX105-CG104,IF(A105&lt;'Données projet'!$A$114,$BV$205^A105,IF(A105='Données projet'!$A$114,'Données projet'!$B$114,BY104+BX105-CG104)))</f>
        <v>267.57435897435897</v>
      </c>
      <c r="BZ105" s="13">
        <f>BY105*VLOOKUP('Données projet'!$B$12,Paramètres!$A$1:$I$89,3,0)*VLOOKUP('Données projet'!$B$12,Paramètres!$A$1:$I$89,5,0)</f>
        <v>242.10128</v>
      </c>
      <c r="CA105" s="13">
        <f t="shared" si="93"/>
        <v>58.891401484926774</v>
      </c>
      <c r="CB105" s="20">
        <f t="shared" si="64"/>
        <v>524.22892025291412</v>
      </c>
      <c r="CC105" s="59">
        <f t="shared" si="65"/>
        <v>817.56225358624738</v>
      </c>
      <c r="CD105" s="59">
        <f ca="1">AVERAGE(OFFSET($CC$3,0,0,'Données projet'!$E$12+1,1))-AVERAGE(OFFSET($H$3,0,0,'Données projet'!$E$12+1,1))</f>
        <v>302.4170391346459</v>
      </c>
      <c r="CE105" s="59">
        <f t="shared" si="94"/>
        <v>114.18498182856115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22.100736348834172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22.100736348834172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194.89717355535993</v>
      </c>
      <c r="T106" s="59">
        <f t="shared" si="88"/>
        <v>195.422737562245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55.357551428474608</v>
      </c>
      <c r="AA106" s="21">
        <f>EXP(-LN(2)/25)*AA105+(1-EXP(-LN(2)/25))/(LN(2)/25)*Calculateur!V106*Calculateur!X106*VLOOKUP('Données projet'!$B$9,Paramètres!$A$1:$I$89,3,0)*0.475*44/12</f>
        <v>11.07714344821941</v>
      </c>
      <c r="AB106" s="21">
        <f>EXP(-LN(2)/2)*AB105+(1-EXP(-LN(2)/2))/(LN(2)/2)*V106*Y106*VLOOKUP('Données projet'!$B$9,Paramètres!$A$1:$I$89,3,0)*0.475*44/12</f>
        <v>1.0613778021072457E-5</v>
      </c>
      <c r="AC106" s="22">
        <f t="shared" si="57"/>
        <v>66.434705490472027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253.79640000000001</v>
      </c>
      <c r="BF106" s="13">
        <f t="shared" si="91"/>
        <v>61.39816832228076</v>
      </c>
      <c r="BG106" s="20">
        <f t="shared" si="61"/>
        <v>548.96387316130563</v>
      </c>
      <c r="BH106" s="59">
        <f t="shared" si="62"/>
        <v>842.29720649463889</v>
      </c>
      <c r="BI106" s="59">
        <f ca="1">AVERAGE(OFFSET($BH$3,0,0,'Données projet'!$E$11+1,1))-AVERAGE(OFFSET($H$3,0,0,'Données projet'!$E$11+1,1))</f>
        <v>273.69926316253162</v>
      </c>
      <c r="BJ106" s="59">
        <f t="shared" si="92"/>
        <v>270.78513558650451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28.395724710465814</v>
      </c>
      <c r="BQ106" s="21">
        <f>EXP(-LN(2)/25)*BQ105+(1-EXP(-LN(2)/25))/(LN(2)/25)*Calculateur!BL106*Calculateur!BN106*VLOOKUP('Données projet'!$B$11,Paramètres!$A$1:$I$89,3,0)*0.475*44/12</f>
        <v>3.987814625259321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32.383539335725132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6.071794871794876</v>
      </c>
      <c r="BY106" s="12">
        <f>IF('Données projet'!$A$114&gt;35,BY105+BX106-CG105,IF(A106&lt;'Données projet'!$A$114,$BV$205^A106,IF(A106='Données projet'!$A$114,'Données projet'!$B$114,BY105+BX106-CG105)))</f>
        <v>273.64615384615382</v>
      </c>
      <c r="BZ106" s="13">
        <f>BY106*VLOOKUP('Données projet'!$B$12,Paramètres!$A$1:$I$89,3,0)*VLOOKUP('Données projet'!$B$12,Paramètres!$A$1:$I$89,5,0)</f>
        <v>247.59503999999998</v>
      </c>
      <c r="CA106" s="13">
        <f t="shared" si="93"/>
        <v>60.070665499481535</v>
      </c>
      <c r="CB106" s="20">
        <f t="shared" si="64"/>
        <v>535.85110374493036</v>
      </c>
      <c r="CC106" s="59">
        <f t="shared" si="65"/>
        <v>829.18443707826373</v>
      </c>
      <c r="CD106" s="59">
        <f ca="1">AVERAGE(OFFSET($CC$3,0,0,'Données projet'!$E$12+1,1))-AVERAGE(OFFSET($H$3,0,0,'Données projet'!$E$12+1,1))</f>
        <v>302.4170391346459</v>
      </c>
      <c r="CE106" s="59">
        <f t="shared" si="94"/>
        <v>114.18498182856115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21.667354389151654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21.667354389151654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194.89717355535993</v>
      </c>
      <c r="T107" s="59">
        <f t="shared" si="88"/>
        <v>195.422737562245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54.272023609734596</v>
      </c>
      <c r="AA107" s="21">
        <f>EXP(-LN(2)/25)*AA106+(1-EXP(-LN(2)/25))/(LN(2)/25)*Calculateur!V107*Calculateur!X107*VLOOKUP('Données projet'!$B$9,Paramètres!$A$1:$I$89,3,0)*0.475*44/12</f>
        <v>10.774238378106194</v>
      </c>
      <c r="AB107" s="21">
        <f>EXP(-LN(2)/2)*AB106+(1-EXP(-LN(2)/2))/(LN(2)/2)*V107*Y107*VLOOKUP('Données projet'!$B$9,Paramètres!$A$1:$I$89,3,0)*0.475*44/12</f>
        <v>7.5050744127090694E-6</v>
      </c>
      <c r="AC107" s="22">
        <f t="shared" si="57"/>
        <v>65.046269492915201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253.79640000000001</v>
      </c>
      <c r="BF107" s="13">
        <f t="shared" si="91"/>
        <v>61.39816832228076</v>
      </c>
      <c r="BG107" s="20">
        <f t="shared" si="61"/>
        <v>548.96387316130563</v>
      </c>
      <c r="BH107" s="59">
        <f t="shared" si="62"/>
        <v>842.29720649463889</v>
      </c>
      <c r="BI107" s="59">
        <f ca="1">AVERAGE(OFFSET($BH$3,0,0,'Données projet'!$E$11+1,1))-AVERAGE(OFFSET($H$3,0,0,'Données projet'!$E$11+1,1))</f>
        <v>273.69926316253162</v>
      </c>
      <c r="BJ107" s="59">
        <f t="shared" si="92"/>
        <v>270.78513558650451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27.838901868575476</v>
      </c>
      <c r="BQ107" s="21">
        <f>EXP(-LN(2)/25)*BQ106+(1-EXP(-LN(2)/25))/(LN(2)/25)*Calculateur!BL107*Calculateur!BN107*VLOOKUP('Données projet'!$B$11,Paramètres!$A$1:$I$89,3,0)*0.475*44/12</f>
        <v>3.8787676246215481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31.717669493197025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279.71794871794873</v>
      </c>
      <c r="BW107" s="12">
        <f>VLOOKUP(A107,'Données projet'!$A$113:$I$133,9,0)</f>
        <v>6.071794871794876</v>
      </c>
      <c r="BX107" s="12">
        <f t="array" ref="BX107">INDEX(BW:BW,MIN(IF(ISNUMBER(BW107:BW303),ROW(BW107:BW303),"")))</f>
        <v>6.071794871794876</v>
      </c>
      <c r="BY107" s="12">
        <f>IF('Données projet'!$A$114&gt;35,BY106+BX107-CG106,IF(A107&lt;'Données projet'!$A$114,$BV$205^A107,IF(A107='Données projet'!$A$114,'Données projet'!$B$114,BY106+BX107-CG106)))</f>
        <v>279.71794871794867</v>
      </c>
      <c r="BZ107" s="13">
        <f>BY107*VLOOKUP('Données projet'!$B$12,Paramètres!$A$1:$I$89,3,0)*VLOOKUP('Données projet'!$B$12,Paramètres!$A$1:$I$89,5,0)</f>
        <v>253.08879999999994</v>
      </c>
      <c r="CA107" s="13">
        <f t="shared" si="93"/>
        <v>61.246887447404951</v>
      </c>
      <c r="CB107" s="20">
        <f t="shared" si="64"/>
        <v>547.46798897089673</v>
      </c>
      <c r="CC107" s="59">
        <f t="shared" si="65"/>
        <v>840.8013223042301</v>
      </c>
      <c r="CD107" s="59">
        <f ca="1">AVERAGE(OFFSET($CC$3,0,0,'Données projet'!$E$12+1,1))-AVERAGE(OFFSET($H$3,0,0,'Données projet'!$E$12+1,1))</f>
        <v>302.4170391346459</v>
      </c>
      <c r="CE107" s="59">
        <f t="shared" si="94"/>
        <v>114.18498182856115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45.987179487179482</v>
      </c>
      <c r="CH107" s="16">
        <f>IF(ISNA(VLOOKUP(A107,'Données projet'!$A$113:$I$133,5,0)),0%,VLOOKUP(A107,'Données projet'!$A$113:$I$133,5,0)*VLOOKUP('Données projet'!$B$12,Paramètres!$A$1:$I$89,7,0))</f>
        <v>0.30099999999999999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35.087789958296405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35.087789958296405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194.89717355535993</v>
      </c>
      <c r="T108" s="59">
        <f t="shared" si="88"/>
        <v>195.422737562245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53.207782329413483</v>
      </c>
      <c r="AA108" s="21">
        <f>EXP(-LN(2)/25)*AA107+(1-EXP(-LN(2)/25))/(LN(2)/25)*Calculateur!V108*Calculateur!X108*VLOOKUP('Données projet'!$B$9,Paramètres!$A$1:$I$89,3,0)*0.475*44/12</f>
        <v>10.479616263064308</v>
      </c>
      <c r="AB108" s="21">
        <f>EXP(-LN(2)/2)*AB107+(1-EXP(-LN(2)/2))/(LN(2)/2)*V108*Y108*VLOOKUP('Données projet'!$B$9,Paramètres!$A$1:$I$89,3,0)*0.475*44/12</f>
        <v>5.3068890105362291E-6</v>
      </c>
      <c r="AC108" s="22">
        <f t="shared" si="57"/>
        <v>63.687403899366799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253.79640000000001</v>
      </c>
      <c r="BF108" s="13">
        <f t="shared" si="91"/>
        <v>61.39816832228076</v>
      </c>
      <c r="BG108" s="20">
        <f t="shared" si="61"/>
        <v>548.96387316130563</v>
      </c>
      <c r="BH108" s="59">
        <f t="shared" si="62"/>
        <v>842.29720649463889</v>
      </c>
      <c r="BI108" s="59">
        <f ca="1">AVERAGE(OFFSET($BH$3,0,0,'Données projet'!$E$11+1,1))-AVERAGE(OFFSET($H$3,0,0,'Données projet'!$E$11+1,1))</f>
        <v>273.69926316253162</v>
      </c>
      <c r="BJ108" s="59">
        <f t="shared" si="92"/>
        <v>270.78513558650451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27.292997982986211</v>
      </c>
      <c r="BQ108" s="21">
        <f>EXP(-LN(2)/25)*BQ107+(1-EXP(-LN(2)/25))/(LN(2)/25)*Calculateur!BL108*Calculateur!BN108*VLOOKUP('Données projet'!$B$11,Paramètres!$A$1:$I$89,3,0)*0.475*44/12</f>
        <v>3.7727025199507476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31.065700502936959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5.9865384615384558</v>
      </c>
      <c r="BY108" s="12">
        <f>IF('Données projet'!$A$114&gt;35,BY107+BX108-CG107,IF(A108&lt;'Données projet'!$A$114,$BV$205^A108,IF(A108='Données projet'!$A$114,'Données projet'!$B$114,BY107+BX108-CG107)))</f>
        <v>239.71730769230763</v>
      </c>
      <c r="BZ108" s="13">
        <f>BY108*VLOOKUP('Données projet'!$B$12,Paramètres!$A$1:$I$89,3,0)*VLOOKUP('Données projet'!$B$12,Paramètres!$A$1:$I$89,5,0)</f>
        <v>216.89621999999994</v>
      </c>
      <c r="CA108" s="13">
        <f t="shared" si="93"/>
        <v>53.439737642112412</v>
      </c>
      <c r="CB108" s="20">
        <f t="shared" si="64"/>
        <v>470.83512622667905</v>
      </c>
      <c r="CC108" s="59">
        <f t="shared" si="65"/>
        <v>764.16845956001237</v>
      </c>
      <c r="CD108" s="59">
        <f ca="1">AVERAGE(OFFSET($CC$3,0,0,'Données projet'!$E$12+1,1))-AVERAGE(OFFSET($H$3,0,0,'Données projet'!$E$12+1,1))</f>
        <v>302.4170391346459</v>
      </c>
      <c r="CE108" s="59">
        <f t="shared" si="94"/>
        <v>114.18498182856115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34.399739798652867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34.399739798652867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194.89717355535993</v>
      </c>
      <c r="T109" s="59">
        <f t="shared" si="88"/>
        <v>195.422737562245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52.164410171476383</v>
      </c>
      <c r="AA109" s="21">
        <f>EXP(-LN(2)/25)*AA108+(1-EXP(-LN(2)/25))/(LN(2)/25)*Calculateur!V109*Calculateur!X109*VLOOKUP('Données projet'!$B$9,Paramètres!$A$1:$I$89,3,0)*0.475*44/12</f>
        <v>10.193050605251747</v>
      </c>
      <c r="AB109" s="21">
        <f>EXP(-LN(2)/2)*AB108+(1-EXP(-LN(2)/2))/(LN(2)/2)*V109*Y109*VLOOKUP('Données projet'!$B$9,Paramètres!$A$1:$I$89,3,0)*0.475*44/12</f>
        <v>3.7525372063545355E-6</v>
      </c>
      <c r="AC109" s="22">
        <f t="shared" si="57"/>
        <v>62.357464529265336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253.79640000000001</v>
      </c>
      <c r="BF109" s="13">
        <f t="shared" si="91"/>
        <v>61.39816832228076</v>
      </c>
      <c r="BG109" s="20">
        <f t="shared" si="61"/>
        <v>548.96387316130563</v>
      </c>
      <c r="BH109" s="59">
        <f t="shared" si="62"/>
        <v>842.29720649463889</v>
      </c>
      <c r="BI109" s="59">
        <f ca="1">AVERAGE(OFFSET($BH$3,0,0,'Données projet'!$E$11+1,1))-AVERAGE(OFFSET($H$3,0,0,'Données projet'!$E$11+1,1))</f>
        <v>273.69926316253162</v>
      </c>
      <c r="BJ109" s="59">
        <f t="shared" si="92"/>
        <v>270.78513558650451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26.757798939624859</v>
      </c>
      <c r="BQ109" s="21">
        <f>EXP(-LN(2)/25)*BQ108+(1-EXP(-LN(2)/25))/(LN(2)/25)*Calculateur!BL109*Calculateur!BN109*VLOOKUP('Données projet'!$B$11,Paramètres!$A$1:$I$89,3,0)*0.475*44/12</f>
        <v>3.6695377711448915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30.427336710769751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5.9865384615384558</v>
      </c>
      <c r="BY109" s="12">
        <f>IF('Données projet'!$A$114&gt;35,BY108+BX109-CG108,IF(A109&lt;'Données projet'!$A$114,$BV$205^A109,IF(A109='Données projet'!$A$114,'Données projet'!$B$114,BY108+BX109-CG108)))</f>
        <v>245.70384615384609</v>
      </c>
      <c r="BZ109" s="13">
        <f>BY109*VLOOKUP('Données projet'!$B$12,Paramètres!$A$1:$I$89,3,0)*VLOOKUP('Données projet'!$B$12,Paramètres!$A$1:$I$89,5,0)</f>
        <v>222.31283999999994</v>
      </c>
      <c r="CA109" s="13">
        <f t="shared" si="93"/>
        <v>54.617263695846574</v>
      </c>
      <c r="CB109" s="20">
        <f t="shared" si="64"/>
        <v>482.31993060359929</v>
      </c>
      <c r="CC109" s="59">
        <f t="shared" si="65"/>
        <v>775.6532639369326</v>
      </c>
      <c r="CD109" s="59">
        <f ca="1">AVERAGE(OFFSET($CC$3,0,0,'Données projet'!$E$12+1,1))-AVERAGE(OFFSET($H$3,0,0,'Données projet'!$E$12+1,1))</f>
        <v>302.4170391346459</v>
      </c>
      <c r="CE109" s="59">
        <f t="shared" si="94"/>
        <v>114.18498182856115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33.72518188297078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33.72518188297078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194.89717355535993</v>
      </c>
      <c r="T110" s="59">
        <f t="shared" si="88"/>
        <v>195.422737562245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51.141497905162254</v>
      </c>
      <c r="AA110" s="21">
        <f>EXP(-LN(2)/25)*AA109+(1-EXP(-LN(2)/25))/(LN(2)/25)*Calculateur!V110*Calculateur!X110*VLOOKUP('Données projet'!$B$9,Paramètres!$A$1:$I$89,3,0)*0.475*44/12</f>
        <v>9.914321100421903</v>
      </c>
      <c r="AB110" s="21">
        <f>EXP(-LN(2)/2)*AB109+(1-EXP(-LN(2)/2))/(LN(2)/2)*V110*Y110*VLOOKUP('Données projet'!$B$9,Paramètres!$A$1:$I$89,3,0)*0.475*44/12</f>
        <v>2.653444505268115E-6</v>
      </c>
      <c r="AC110" s="22">
        <f t="shared" si="57"/>
        <v>61.055821659028659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253.79640000000001</v>
      </c>
      <c r="BF110" s="13">
        <f t="shared" si="91"/>
        <v>61.39816832228076</v>
      </c>
      <c r="BG110" s="20">
        <f t="shared" si="61"/>
        <v>548.96387316130563</v>
      </c>
      <c r="BH110" s="59">
        <f t="shared" si="62"/>
        <v>842.29720649463889</v>
      </c>
      <c r="BI110" s="59">
        <f ca="1">AVERAGE(OFFSET($BH$3,0,0,'Données projet'!$E$11+1,1))-AVERAGE(OFFSET($H$3,0,0,'Données projet'!$E$11+1,1))</f>
        <v>273.69926316253162</v>
      </c>
      <c r="BJ110" s="59">
        <f t="shared" si="92"/>
        <v>270.78513558650451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26.23309482306464</v>
      </c>
      <c r="BQ110" s="21">
        <f>EXP(-LN(2)/25)*BQ109+(1-EXP(-LN(2)/25))/(LN(2)/25)*Calculateur!BL110*Calculateur!BN110*VLOOKUP('Données projet'!$B$11,Paramètres!$A$1:$I$89,3,0)*0.475*44/12</f>
        <v>3.5691940678203298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29.80228889088497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5.9865384615384558</v>
      </c>
      <c r="BY110" s="12">
        <f>IF('Données projet'!$A$114&gt;35,BY109+BX110-CG109,IF(A110&lt;'Données projet'!$A$114,$BV$205^A110,IF(A110='Données projet'!$A$114,'Données projet'!$B$114,BY109+BX110-CG109)))</f>
        <v>251.69038461538454</v>
      </c>
      <c r="BZ110" s="13">
        <f>BY110*VLOOKUP('Données projet'!$B$12,Paramètres!$A$1:$I$89,3,0)*VLOOKUP('Données projet'!$B$12,Paramètres!$A$1:$I$89,5,0)</f>
        <v>227.7294599999999</v>
      </c>
      <c r="CA110" s="13">
        <f t="shared" si="93"/>
        <v>55.791454586739938</v>
      </c>
      <c r="CB110" s="20">
        <f t="shared" si="64"/>
        <v>493.79892623857194</v>
      </c>
      <c r="CC110" s="59">
        <f t="shared" si="65"/>
        <v>787.13225957190525</v>
      </c>
      <c r="CD110" s="59">
        <f ca="1">AVERAGE(OFFSET($CC$3,0,0,'Données projet'!$E$12+1,1))-AVERAGE(OFFSET($H$3,0,0,'Données projet'!$E$12+1,1))</f>
        <v>302.4170391346459</v>
      </c>
      <c r="CE110" s="59">
        <f t="shared" si="94"/>
        <v>114.18498182856115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33.063851636575521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33.063851636575521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194.89717355535993</v>
      </c>
      <c r="T111" s="59">
        <f t="shared" si="88"/>
        <v>195.422737562245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50.138644324475671</v>
      </c>
      <c r="AA111" s="21">
        <f>EXP(-LN(2)/25)*AA110+(1-EXP(-LN(2)/25))/(LN(2)/25)*Calculateur!V111*Calculateur!X111*VLOOKUP('Données projet'!$B$9,Paramètres!$A$1:$I$89,3,0)*0.475*44/12</f>
        <v>9.6432134685593791</v>
      </c>
      <c r="AB111" s="21">
        <f>EXP(-LN(2)/2)*AB110+(1-EXP(-LN(2)/2))/(LN(2)/2)*V111*Y111*VLOOKUP('Données projet'!$B$9,Paramètres!$A$1:$I$89,3,0)*0.475*44/12</f>
        <v>1.876268603177268E-6</v>
      </c>
      <c r="AC111" s="22">
        <f t="shared" si="57"/>
        <v>59.781859669303657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253.79640000000001</v>
      </c>
      <c r="BF111" s="13">
        <f t="shared" si="91"/>
        <v>61.39816832228076</v>
      </c>
      <c r="BG111" s="20">
        <f t="shared" si="61"/>
        <v>548.96387316130563</v>
      </c>
      <c r="BH111" s="59">
        <f t="shared" si="62"/>
        <v>842.29720649463889</v>
      </c>
      <c r="BI111" s="59">
        <f ca="1">AVERAGE(OFFSET($BH$3,0,0,'Données projet'!$E$11+1,1))-AVERAGE(OFFSET($H$3,0,0,'Données projet'!$E$11+1,1))</f>
        <v>273.69926316253162</v>
      </c>
      <c r="BJ111" s="59">
        <f t="shared" si="92"/>
        <v>270.78513558650451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25.718679834192255</v>
      </c>
      <c r="BQ111" s="21">
        <f>EXP(-LN(2)/25)*BQ110+(1-EXP(-LN(2)/25))/(LN(2)/25)*Calculateur!BL111*Calculateur!BN111*VLOOKUP('Données projet'!$B$11,Paramètres!$A$1:$I$89,3,0)*0.475*44/12</f>
        <v>3.4715942683400245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29.190274102532278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5.9865384615384558</v>
      </c>
      <c r="BY111" s="12">
        <f>IF('Données projet'!$A$114&gt;35,BY110+BX111-CG110,IF(A111&lt;'Données projet'!$A$114,$BV$205^A111,IF(A111='Données projet'!$A$114,'Données projet'!$B$114,BY110+BX111-CG110)))</f>
        <v>257.676923076923</v>
      </c>
      <c r="BZ111" s="13">
        <f>BY111*VLOOKUP('Données projet'!$B$12,Paramètres!$A$1:$I$89,3,0)*VLOOKUP('Données projet'!$B$12,Paramètres!$A$1:$I$89,5,0)</f>
        <v>233.14607999999996</v>
      </c>
      <c r="CA111" s="13">
        <f t="shared" si="93"/>
        <v>56.96239877088869</v>
      </c>
      <c r="CB111" s="20">
        <f t="shared" si="64"/>
        <v>505.27226719263109</v>
      </c>
      <c r="CC111" s="59">
        <f t="shared" si="65"/>
        <v>798.60560052596441</v>
      </c>
      <c r="CD111" s="59">
        <f ca="1">AVERAGE(OFFSET($CC$3,0,0,'Données projet'!$E$12+1,1))-AVERAGE(OFFSET($H$3,0,0,'Données projet'!$E$12+1,1))</f>
        <v>302.4170391346459</v>
      </c>
      <c r="CE111" s="59">
        <f t="shared" si="94"/>
        <v>114.18498182856115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32.415489672940453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32.415489672940453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194.89717355535993</v>
      </c>
      <c r="T112" s="59">
        <f t="shared" si="88"/>
        <v>195.422737562245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49.155456090826064</v>
      </c>
      <c r="AA112" s="21">
        <f>EXP(-LN(2)/25)*AA111+(1-EXP(-LN(2)/25))/(LN(2)/25)*Calculateur!V112*Calculateur!X112*VLOOKUP('Données projet'!$B$9,Paramètres!$A$1:$I$89,3,0)*0.475*44/12</f>
        <v>9.3795192891470656</v>
      </c>
      <c r="AB112" s="21">
        <f>EXP(-LN(2)/2)*AB111+(1-EXP(-LN(2)/2))/(LN(2)/2)*V112*Y112*VLOOKUP('Données projet'!$B$9,Paramètres!$A$1:$I$89,3,0)*0.475*44/12</f>
        <v>1.3267222526340577E-6</v>
      </c>
      <c r="AC112" s="22">
        <f t="shared" si="57"/>
        <v>58.534976706695389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253.79640000000001</v>
      </c>
      <c r="BF112" s="13">
        <f t="shared" si="91"/>
        <v>61.39816832228076</v>
      </c>
      <c r="BG112" s="20">
        <f t="shared" si="61"/>
        <v>548.96387316130563</v>
      </c>
      <c r="BH112" s="59">
        <f t="shared" si="62"/>
        <v>842.29720649463889</v>
      </c>
      <c r="BI112" s="59">
        <f ca="1">AVERAGE(OFFSET($BH$3,0,0,'Données projet'!$E$11+1,1))-AVERAGE(OFFSET($H$3,0,0,'Données projet'!$E$11+1,1))</f>
        <v>273.69926316253162</v>
      </c>
      <c r="BJ112" s="59">
        <f t="shared" si="92"/>
        <v>270.78513558650451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25.214352209489498</v>
      </c>
      <c r="BQ112" s="21">
        <f>EXP(-LN(2)/25)*BQ111+(1-EXP(-LN(2)/25))/(LN(2)/25)*Calculateur!BL112*Calculateur!BN112*VLOOKUP('Données projet'!$B$11,Paramètres!$A$1:$I$89,3,0)*0.475*44/12</f>
        <v>3.3766633405090585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28.591015549998556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5.9865384615384558</v>
      </c>
      <c r="BY112" s="12">
        <f>IF('Données projet'!$A$114&gt;35,BY111+BX112-CG111,IF(A112&lt;'Données projet'!$A$114,$BV$205^A112,IF(A112='Données projet'!$A$114,'Données projet'!$B$114,BY111+BX112-CG111)))</f>
        <v>263.66346153846143</v>
      </c>
      <c r="BZ112" s="13">
        <f>BY112*VLOOKUP('Données projet'!$B$12,Paramètres!$A$1:$I$89,3,0)*VLOOKUP('Données projet'!$B$12,Paramètres!$A$1:$I$89,5,0)</f>
        <v>238.56269999999989</v>
      </c>
      <c r="CA112" s="13">
        <f t="shared" si="93"/>
        <v>58.130180359724058</v>
      </c>
      <c r="CB112" s="20">
        <f t="shared" si="64"/>
        <v>516.74009995985261</v>
      </c>
      <c r="CC112" s="59">
        <f t="shared" si="65"/>
        <v>810.07343329318587</v>
      </c>
      <c r="CD112" s="59">
        <f ca="1">AVERAGE(OFFSET($CC$3,0,0,'Données projet'!$E$12+1,1))-AVERAGE(OFFSET($H$3,0,0,'Données projet'!$E$12+1,1))</f>
        <v>302.4170391346459</v>
      </c>
      <c r="CE112" s="59">
        <f t="shared" si="94"/>
        <v>114.18498182856115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31.779841691950519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31.779841691950519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194.89717355535993</v>
      </c>
      <c r="T113" s="59">
        <f t="shared" si="88"/>
        <v>195.422737562245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48.191547578752719</v>
      </c>
      <c r="AA113" s="21">
        <f>EXP(-LN(2)/25)*AA112+(1-EXP(-LN(2)/25))/(LN(2)/25)*Calculateur!V113*Calculateur!X113*VLOOKUP('Données projet'!$B$9,Paramètres!$A$1:$I$89,3,0)*0.475*44/12</f>
        <v>9.123035840937856</v>
      </c>
      <c r="AB113" s="21">
        <f>EXP(-LN(2)/2)*AB112+(1-EXP(-LN(2)/2))/(LN(2)/2)*V113*Y113*VLOOKUP('Données projet'!$B$9,Paramètres!$A$1:$I$89,3,0)*0.475*44/12</f>
        <v>9.3813430158863409E-7</v>
      </c>
      <c r="AC113" s="22">
        <f t="shared" si="57"/>
        <v>57.314584357824877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253.79640000000001</v>
      </c>
      <c r="BF113" s="13">
        <f t="shared" si="91"/>
        <v>61.39816832228076</v>
      </c>
      <c r="BG113" s="20">
        <f t="shared" si="61"/>
        <v>548.96387316130563</v>
      </c>
      <c r="BH113" s="59">
        <f t="shared" si="62"/>
        <v>842.29720649463889</v>
      </c>
      <c r="BI113" s="59">
        <f ca="1">AVERAGE(OFFSET($BH$3,0,0,'Données projet'!$E$11+1,1))-AVERAGE(OFFSET($H$3,0,0,'Données projet'!$E$11+1,1))</f>
        <v>273.69926316253162</v>
      </c>
      <c r="BJ113" s="59">
        <f t="shared" si="92"/>
        <v>270.78513558650451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24.719914141897682</v>
      </c>
      <c r="BQ113" s="21">
        <f>EXP(-LN(2)/25)*BQ112+(1-EXP(-LN(2)/25))/(LN(2)/25)*Calculateur!BL113*Calculateur!BN113*VLOOKUP('Données projet'!$B$11,Paramètres!$A$1:$I$89,3,0)*0.475*44/12</f>
        <v>3.2843283038918307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28.004242445789512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5.9865384615384558</v>
      </c>
      <c r="BY113" s="12">
        <f>IF('Données projet'!$A$114&gt;35,BY112+BX113-CG112,IF(A113&lt;'Données projet'!$A$114,$BV$205^A113,IF(A113='Données projet'!$A$114,'Données projet'!$B$114,BY112+BX113-CG112)))</f>
        <v>269.64999999999986</v>
      </c>
      <c r="BZ113" s="13">
        <f>BY113*VLOOKUP('Données projet'!$B$12,Paramètres!$A$1:$I$89,3,0)*VLOOKUP('Données projet'!$B$12,Paramètres!$A$1:$I$89,5,0)</f>
        <v>243.97931999999986</v>
      </c>
      <c r="CA113" s="13">
        <f t="shared" si="93"/>
        <v>59.294879427135335</v>
      </c>
      <c r="CB113" s="20">
        <f t="shared" si="64"/>
        <v>528.20256400226049</v>
      </c>
      <c r="CC113" s="59">
        <f t="shared" si="65"/>
        <v>821.53589733559375</v>
      </c>
      <c r="CD113" s="59">
        <f ca="1">AVERAGE(OFFSET($CC$3,0,0,'Données projet'!$E$12+1,1))-AVERAGE(OFFSET($H$3,0,0,'Données projet'!$E$12+1,1))</f>
        <v>302.4170391346459</v>
      </c>
      <c r="CE113" s="59">
        <f t="shared" si="94"/>
        <v>114.18498182856115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31.156658380160813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31.156658380160813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194.89717355535993</v>
      </c>
      <c r="T114" s="59">
        <f t="shared" si="88"/>
        <v>195.422737562245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47.246540724674993</v>
      </c>
      <c r="AA114" s="21">
        <f>EXP(-LN(2)/25)*AA113+(1-EXP(-LN(2)/25))/(LN(2)/25)*Calculateur!V114*Calculateur!X114*VLOOKUP('Données projet'!$B$9,Paramètres!$A$1:$I$89,3,0)*0.475*44/12</f>
        <v>8.8735659461078065</v>
      </c>
      <c r="AB114" s="21">
        <f>EXP(-LN(2)/2)*AB113+(1-EXP(-LN(2)/2))/(LN(2)/2)*V114*Y114*VLOOKUP('Données projet'!$B$9,Paramètres!$A$1:$I$89,3,0)*0.475*44/12</f>
        <v>6.6336112631702896E-7</v>
      </c>
      <c r="AC114" s="22">
        <f t="shared" si="57"/>
        <v>56.120107334143931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253.79640000000001</v>
      </c>
      <c r="BF114" s="13">
        <f t="shared" si="91"/>
        <v>61.39816832228076</v>
      </c>
      <c r="BG114" s="20">
        <f t="shared" si="61"/>
        <v>548.96387316130563</v>
      </c>
      <c r="BH114" s="59">
        <f t="shared" si="62"/>
        <v>842.29720649463889</v>
      </c>
      <c r="BI114" s="59">
        <f ca="1">AVERAGE(OFFSET($BH$3,0,0,'Données projet'!$E$11+1,1))-AVERAGE(OFFSET($H$3,0,0,'Données projet'!$E$11+1,1))</f>
        <v>273.69926316253162</v>
      </c>
      <c r="BJ114" s="59">
        <f t="shared" si="92"/>
        <v>270.78513558650451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24.235171703233899</v>
      </c>
      <c r="BQ114" s="21">
        <f>EXP(-LN(2)/25)*BQ113+(1-EXP(-LN(2)/25))/(LN(2)/25)*Calculateur!BL114*Calculateur!BN114*VLOOKUP('Données projet'!$B$11,Paramètres!$A$1:$I$89,3,0)*0.475*44/12</f>
        <v>3.1945181737065895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27.42968987694049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5.9865384615384558</v>
      </c>
      <c r="BY114" s="12">
        <f>IF('Données projet'!$A$114&gt;35,BY113+BX114-CG113,IF(A114&lt;'Données projet'!$A$114,$BV$205^A114,IF(A114='Données projet'!$A$114,'Données projet'!$B$114,BY113+BX114-CG113)))</f>
        <v>275.63653846153829</v>
      </c>
      <c r="BZ114" s="13">
        <f>BY114*VLOOKUP('Données projet'!$B$12,Paramètres!$A$1:$I$89,3,0)*VLOOKUP('Données projet'!$B$12,Paramètres!$A$1:$I$89,5,0)</f>
        <v>249.39593999999985</v>
      </c>
      <c r="CA114" s="13">
        <f t="shared" si="93"/>
        <v>60.456572288548877</v>
      </c>
      <c r="CB114" s="20">
        <f t="shared" si="64"/>
        <v>539.65979223588909</v>
      </c>
      <c r="CC114" s="59">
        <f t="shared" si="65"/>
        <v>832.99312556922246</v>
      </c>
      <c r="CD114" s="59">
        <f ca="1">AVERAGE(OFFSET($CC$3,0,0,'Données projet'!$E$12+1,1))-AVERAGE(OFFSET($H$3,0,0,'Données projet'!$E$12+1,1))</f>
        <v>302.4170391346459</v>
      </c>
      <c r="CE114" s="59">
        <f t="shared" si="94"/>
        <v>114.18498182856115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30.545695313011013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30.545695313011013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194.89717355535993</v>
      </c>
      <c r="T115" s="59">
        <f t="shared" si="88"/>
        <v>195.422737562245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46.320064878608463</v>
      </c>
      <c r="AA115" s="21">
        <f>EXP(-LN(2)/25)*AA114+(1-EXP(-LN(2)/25))/(LN(2)/25)*Calculateur!V115*Calculateur!X115*VLOOKUP('Données projet'!$B$9,Paramètres!$A$1:$I$89,3,0)*0.475*44/12</f>
        <v>8.6309178186709357</v>
      </c>
      <c r="AB115" s="21">
        <f>EXP(-LN(2)/2)*AB114+(1-EXP(-LN(2)/2))/(LN(2)/2)*V115*Y115*VLOOKUP('Données projet'!$B$9,Paramètres!$A$1:$I$89,3,0)*0.475*44/12</f>
        <v>4.6906715079431715E-7</v>
      </c>
      <c r="AC115" s="22">
        <f t="shared" si="57"/>
        <v>54.950983166346553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253.79640000000001</v>
      </c>
      <c r="BF115" s="13">
        <f t="shared" si="91"/>
        <v>61.39816832228076</v>
      </c>
      <c r="BG115" s="20">
        <f t="shared" si="61"/>
        <v>548.96387316130563</v>
      </c>
      <c r="BH115" s="59">
        <f t="shared" si="62"/>
        <v>842.29720649463889</v>
      </c>
      <c r="BI115" s="59">
        <f ca="1">AVERAGE(OFFSET($BH$3,0,0,'Données projet'!$E$11+1,1))-AVERAGE(OFFSET($H$3,0,0,'Données projet'!$E$11+1,1))</f>
        <v>273.69926316253162</v>
      </c>
      <c r="BJ115" s="59">
        <f t="shared" si="92"/>
        <v>270.78513558650451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23.75993476812862</v>
      </c>
      <c r="BQ115" s="21">
        <f>EXP(-LN(2)/25)*BQ114+(1-EXP(-LN(2)/25))/(LN(2)/25)*Calculateur!BL115*Calculateur!BN115*VLOOKUP('Données projet'!$B$11,Paramètres!$A$1:$I$89,3,0)*0.475*44/12</f>
        <v>3.1071639062541734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26.867098674382792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5.9865384615384558</v>
      </c>
      <c r="BY115" s="12">
        <f>IF('Données projet'!$A$114&gt;35,BY114+BX115-CG114,IF(A115&lt;'Données projet'!$A$114,$BV$205^A115,IF(A115='Données projet'!$A$114,'Données projet'!$B$114,BY114+BX115-CG114)))</f>
        <v>281.62307692307672</v>
      </c>
      <c r="BZ115" s="13">
        <f>BY115*VLOOKUP('Données projet'!$B$12,Paramètres!$A$1:$I$89,3,0)*VLOOKUP('Données projet'!$B$12,Paramètres!$A$1:$I$89,5,0)</f>
        <v>254.81255999999982</v>
      </c>
      <c r="CA115" s="13">
        <f t="shared" si="93"/>
        <v>61.615331755078437</v>
      </c>
      <c r="CB115" s="20">
        <f t="shared" si="64"/>
        <v>551.11191147342799</v>
      </c>
      <c r="CC115" s="59">
        <f t="shared" si="65"/>
        <v>844.44524480676137</v>
      </c>
      <c r="CD115" s="59">
        <f ca="1">AVERAGE(OFFSET($CC$3,0,0,'Données projet'!$E$12+1,1))-AVERAGE(OFFSET($H$3,0,0,'Données projet'!$E$12+1,1))</f>
        <v>302.4170391346459</v>
      </c>
      <c r="CE115" s="59">
        <f t="shared" si="94"/>
        <v>114.18498182856115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29.946712858957348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29.946712858957348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194.89717355535993</v>
      </c>
      <c r="T116" s="59">
        <f t="shared" si="88"/>
        <v>195.422737562245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45.411756658788832</v>
      </c>
      <c r="AA116" s="21">
        <f>EXP(-LN(2)/25)*AA115+(1-EXP(-LN(2)/25))/(LN(2)/25)*Calculateur!V116*Calculateur!X116*VLOOKUP('Données projet'!$B$9,Paramètres!$A$1:$I$89,3,0)*0.475*44/12</f>
        <v>8.3949049170391365</v>
      </c>
      <c r="AB116" s="21">
        <f>EXP(-LN(2)/2)*AB115+(1-EXP(-LN(2)/2))/(LN(2)/2)*V116*Y116*VLOOKUP('Données projet'!$B$9,Paramètres!$A$1:$I$89,3,0)*0.475*44/12</f>
        <v>3.3168056315851453E-7</v>
      </c>
      <c r="AC116" s="22">
        <f t="shared" si="57"/>
        <v>53.806661907508527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253.79640000000001</v>
      </c>
      <c r="BF116" s="13">
        <f t="shared" si="91"/>
        <v>61.39816832228076</v>
      </c>
      <c r="BG116" s="20">
        <f t="shared" si="61"/>
        <v>548.96387316130563</v>
      </c>
      <c r="BH116" s="59">
        <f t="shared" si="62"/>
        <v>842.29720649463889</v>
      </c>
      <c r="BI116" s="59">
        <f ca="1">AVERAGE(OFFSET($BH$3,0,0,'Données projet'!$E$11+1,1))-AVERAGE(OFFSET($H$3,0,0,'Données projet'!$E$11+1,1))</f>
        <v>273.69926316253162</v>
      </c>
      <c r="BJ116" s="59">
        <f t="shared" si="92"/>
        <v>270.78513558650451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23.294016939454846</v>
      </c>
      <c r="BQ116" s="21">
        <f>EXP(-LN(2)/25)*BQ115+(1-EXP(-LN(2)/25))/(LN(2)/25)*Calculateur!BL116*Calculateur!BN116*VLOOKUP('Données projet'!$B$11,Paramètres!$A$1:$I$89,3,0)*0.475*44/12</f>
        <v>3.0221983458390045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26.31621528529385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5.9865384615384558</v>
      </c>
      <c r="BY116" s="12">
        <f>IF('Données projet'!$A$114&gt;35,BY115+BX116-CG115,IF(A116&lt;'Données projet'!$A$114,$BV$205^A116,IF(A116='Données projet'!$A$114,'Données projet'!$B$114,BY115+BX116-CG115)))</f>
        <v>287.60961538461515</v>
      </c>
      <c r="BZ116" s="13">
        <f>BY116*VLOOKUP('Données projet'!$B$12,Paramètres!$A$1:$I$89,3,0)*VLOOKUP('Données projet'!$B$12,Paramètres!$A$1:$I$89,5,0)</f>
        <v>260.22917999999976</v>
      </c>
      <c r="CA116" s="13">
        <f t="shared" si="93"/>
        <v>62.771227365455701</v>
      </c>
      <c r="CB116" s="20">
        <f t="shared" si="64"/>
        <v>562.55904282816812</v>
      </c>
      <c r="CC116" s="59">
        <f t="shared" si="65"/>
        <v>855.89237616150149</v>
      </c>
      <c r="CD116" s="59">
        <f ca="1">AVERAGE(OFFSET($CC$3,0,0,'Données projet'!$E$12+1,1))-AVERAGE(OFFSET($H$3,0,0,'Données projet'!$E$12+1,1))</f>
        <v>302.4170391346459</v>
      </c>
      <c r="CE116" s="59">
        <f t="shared" si="94"/>
        <v>114.18498182856115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29.359476085484452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29.359476085484452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194.89717355535993</v>
      </c>
      <c r="T117" s="59">
        <f t="shared" si="88"/>
        <v>195.422737562245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44.521259809146549</v>
      </c>
      <c r="AA117" s="21">
        <f>EXP(-LN(2)/25)*AA116+(1-EXP(-LN(2)/25))/(LN(2)/25)*Calculateur!V117*Calculateur!X117*VLOOKUP('Données projet'!$B$9,Paramètres!$A$1:$I$89,3,0)*0.475*44/12</f>
        <v>8.1653458006138386</v>
      </c>
      <c r="AB117" s="21">
        <f>EXP(-LN(2)/2)*AB116+(1-EXP(-LN(2)/2))/(LN(2)/2)*V117*Y117*VLOOKUP('Données projet'!$B$9,Paramètres!$A$1:$I$89,3,0)*0.475*44/12</f>
        <v>2.345335753971586E-7</v>
      </c>
      <c r="AC117" s="22">
        <f t="shared" si="57"/>
        <v>52.686605844293965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253.79640000000001</v>
      </c>
      <c r="BF117" s="13">
        <f t="shared" si="91"/>
        <v>61.39816832228076</v>
      </c>
      <c r="BG117" s="20">
        <f t="shared" si="61"/>
        <v>548.96387316130563</v>
      </c>
      <c r="BH117" s="59">
        <f t="shared" si="62"/>
        <v>842.29720649463889</v>
      </c>
      <c r="BI117" s="59">
        <f ca="1">AVERAGE(OFFSET($BH$3,0,0,'Données projet'!$E$11+1,1))-AVERAGE(OFFSET($H$3,0,0,'Données projet'!$E$11+1,1))</f>
        <v>273.69926316253162</v>
      </c>
      <c r="BJ117" s="59">
        <f t="shared" si="92"/>
        <v>270.78513558650451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22.837235475219551</v>
      </c>
      <c r="BQ117" s="21">
        <f>EXP(-LN(2)/25)*BQ116+(1-EXP(-LN(2)/25))/(LN(2)/25)*Calculateur!BL117*Calculateur!BN117*VLOOKUP('Données projet'!$B$11,Paramètres!$A$1:$I$89,3,0)*0.475*44/12</f>
        <v>2.9395561731415332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25.776791648361083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293.59615384615381</v>
      </c>
      <c r="BW117" s="12">
        <f>VLOOKUP(A117,'Données projet'!$A$113:$I$133,9,0)</f>
        <v>5.9865384615384558</v>
      </c>
      <c r="BX117" s="12">
        <f t="array" ref="BX117">INDEX(BW:BW,MIN(IF(ISNUMBER(BW117:BW313),ROW(BW117:BW313),"")))</f>
        <v>5.9865384615384558</v>
      </c>
      <c r="BY117" s="12">
        <f>IF('Données projet'!$A$114&gt;35,BY116+BX117-CG116,IF(A117&lt;'Données projet'!$A$114,$BV$205^A117,IF(A117='Données projet'!$A$114,'Données projet'!$B$114,BY116+BX117-CG116)))</f>
        <v>293.59615384615358</v>
      </c>
      <c r="BZ117" s="13">
        <f>BY117*VLOOKUP('Données projet'!$B$12,Paramètres!$A$1:$I$89,3,0)*VLOOKUP('Données projet'!$B$12,Paramètres!$A$1:$I$89,5,0)</f>
        <v>265.64579999999972</v>
      </c>
      <c r="CA117" s="13">
        <f t="shared" si="93"/>
        <v>63.924325598105078</v>
      </c>
      <c r="CB117" s="20">
        <f t="shared" si="64"/>
        <v>574.00130208336589</v>
      </c>
      <c r="CC117" s="59">
        <f t="shared" si="65"/>
        <v>867.33463541669926</v>
      </c>
      <c r="CD117" s="59">
        <f ca="1">AVERAGE(OFFSET($CC$3,0,0,'Données projet'!$E$12+1,1))-AVERAGE(OFFSET($H$3,0,0,'Données projet'!$E$12+1,1))</f>
        <v>302.4170391346459</v>
      </c>
      <c r="CE117" s="59">
        <f t="shared" si="94"/>
        <v>114.18498182856115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42.78846153846154</v>
      </c>
      <c r="CH117" s="16">
        <f>IF(ISNA(VLOOKUP(A117,'Données projet'!$A$113:$I$133,5,0)),0%,VLOOKUP(A117,'Données projet'!$A$113:$I$133,5,0)*VLOOKUP('Données projet'!$B$12,Paramètres!$A$1:$I$89,7,0))</f>
        <v>0.30099999999999999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41.666038675789366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41.666038675789366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194.89717355535993</v>
      </c>
      <c r="T118" s="59">
        <f t="shared" si="88"/>
        <v>195.422737562245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43.648225059576305</v>
      </c>
      <c r="AA118" s="21">
        <f>EXP(-LN(2)/25)*AA117+(1-EXP(-LN(2)/25))/(LN(2)/25)*Calculateur!V118*Calculateur!X118*VLOOKUP('Données projet'!$B$9,Paramètres!$A$1:$I$89,3,0)*0.475*44/12</f>
        <v>7.9420639902991796</v>
      </c>
      <c r="AB118" s="21">
        <f>EXP(-LN(2)/2)*AB117+(1-EXP(-LN(2)/2))/(LN(2)/2)*V118*Y118*VLOOKUP('Données projet'!$B$9,Paramètres!$A$1:$I$89,3,0)*0.475*44/12</f>
        <v>1.6584028157925729E-7</v>
      </c>
      <c r="AC118" s="22">
        <f t="shared" si="57"/>
        <v>51.590289215715771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253.79640000000001</v>
      </c>
      <c r="BF118" s="13">
        <f t="shared" si="91"/>
        <v>61.39816832228076</v>
      </c>
      <c r="BG118" s="20">
        <f t="shared" si="61"/>
        <v>548.96387316130563</v>
      </c>
      <c r="BH118" s="59">
        <f t="shared" si="62"/>
        <v>842.29720649463889</v>
      </c>
      <c r="BI118" s="59">
        <f ca="1">AVERAGE(OFFSET($BH$3,0,0,'Données projet'!$E$11+1,1))-AVERAGE(OFFSET($H$3,0,0,'Données projet'!$E$11+1,1))</f>
        <v>273.69926316253162</v>
      </c>
      <c r="BJ118" s="59">
        <f t="shared" si="92"/>
        <v>270.78513558650451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22.389411216888728</v>
      </c>
      <c r="BQ118" s="21">
        <f>EXP(-LN(2)/25)*BQ117+(1-EXP(-LN(2)/25))/(LN(2)/25)*Calculateur!BL118*Calculateur!BN118*VLOOKUP('Données projet'!$B$11,Paramètres!$A$1:$I$89,3,0)*0.475*44/12</f>
        <v>2.859173855002437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25.248585071891164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6.0153846153846189</v>
      </c>
      <c r="BY118" s="12">
        <f>IF('Données projet'!$A$114&gt;35,BY117+BX118-CG117,IF(A118&lt;'Données projet'!$A$114,$BV$205^A118,IF(A118='Données projet'!$A$114,'Données projet'!$B$114,BY117+BX118-CG117)))</f>
        <v>256.82307692307666</v>
      </c>
      <c r="BZ118" s="13">
        <f>BY118*VLOOKUP('Données projet'!$B$12,Paramètres!$A$1:$I$89,3,0)*VLOOKUP('Données projet'!$B$12,Paramètres!$A$1:$I$89,5,0)</f>
        <v>232.37351999999976</v>
      </c>
      <c r="CA118" s="13">
        <f t="shared" si="93"/>
        <v>56.795584989176909</v>
      </c>
      <c r="CB118" s="20">
        <f t="shared" si="64"/>
        <v>503.63619118948264</v>
      </c>
      <c r="CC118" s="59">
        <f t="shared" si="65"/>
        <v>796.96952452281596</v>
      </c>
      <c r="CD118" s="59">
        <f ca="1">AVERAGE(OFFSET($CC$3,0,0,'Données projet'!$E$12+1,1))-AVERAGE(OFFSET($H$3,0,0,'Données projet'!$E$12+1,1))</f>
        <v>302.4170391346459</v>
      </c>
      <c r="CE118" s="59">
        <f t="shared" si="94"/>
        <v>114.18498182856115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40.848993071131325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40.848993071131325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194.89717355535993</v>
      </c>
      <c r="T119" s="59">
        <f t="shared" si="88"/>
        <v>195.422737562245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42.792309988946521</v>
      </c>
      <c r="AA119" s="21">
        <f>EXP(-LN(2)/25)*AA118+(1-EXP(-LN(2)/25))/(LN(2)/25)*Calculateur!V119*Calculateur!X119*VLOOKUP('Données projet'!$B$9,Paramètres!$A$1:$I$89,3,0)*0.475*44/12</f>
        <v>7.724887832829455</v>
      </c>
      <c r="AB119" s="21">
        <f>EXP(-LN(2)/2)*AB118+(1-EXP(-LN(2)/2))/(LN(2)/2)*V119*Y119*VLOOKUP('Données projet'!$B$9,Paramètres!$A$1:$I$89,3,0)*0.475*44/12</f>
        <v>1.1726678769857933E-7</v>
      </c>
      <c r="AC119" s="22">
        <f t="shared" si="57"/>
        <v>50.517197939042759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253.79640000000001</v>
      </c>
      <c r="BF119" s="13">
        <f t="shared" si="91"/>
        <v>61.39816832228076</v>
      </c>
      <c r="BG119" s="20">
        <f t="shared" si="61"/>
        <v>548.96387316130563</v>
      </c>
      <c r="BH119" s="59">
        <f t="shared" si="62"/>
        <v>842.29720649463889</v>
      </c>
      <c r="BI119" s="59">
        <f ca="1">AVERAGE(OFFSET($BH$3,0,0,'Données projet'!$E$11+1,1))-AVERAGE(OFFSET($H$3,0,0,'Données projet'!$E$11+1,1))</f>
        <v>273.69926316253162</v>
      </c>
      <c r="BJ119" s="59">
        <f t="shared" si="92"/>
        <v>270.78513558650451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21.950368519117944</v>
      </c>
      <c r="BQ119" s="21">
        <f>EXP(-LN(2)/25)*BQ118+(1-EXP(-LN(2)/25))/(LN(2)/25)*Calculateur!BL119*Calculateur!BN119*VLOOKUP('Données projet'!$B$11,Paramètres!$A$1:$I$89,3,0)*0.475*44/12</f>
        <v>2.7809895955799773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24.731358114697922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6.0153846153846189</v>
      </c>
      <c r="BY119" s="12">
        <f>IF('Données projet'!$A$114&gt;35,BY118+BX119-CG118,IF(A119&lt;'Données projet'!$A$114,$BV$205^A119,IF(A119='Données projet'!$A$114,'Données projet'!$B$114,BY118+BX119-CG118)))</f>
        <v>262.83846153846127</v>
      </c>
      <c r="BZ119" s="13">
        <f>BY119*VLOOKUP('Données projet'!$B$12,Paramètres!$A$1:$I$89,3,0)*VLOOKUP('Données projet'!$B$12,Paramètres!$A$1:$I$89,5,0)</f>
        <v>237.81623999999974</v>
      </c>
      <c r="CA119" s="13">
        <f t="shared" si="93"/>
        <v>57.969434220881595</v>
      </c>
      <c r="CB119" s="20">
        <f t="shared" si="64"/>
        <v>515.16004926803487</v>
      </c>
      <c r="CC119" s="59">
        <f t="shared" si="65"/>
        <v>808.49338260136824</v>
      </c>
      <c r="CD119" s="59">
        <f ca="1">AVERAGE(OFFSET($CC$3,0,0,'Données projet'!$E$12+1,1))-AVERAGE(OFFSET($H$3,0,0,'Données projet'!$E$12+1,1))</f>
        <v>302.4170391346459</v>
      </c>
      <c r="CE119" s="59">
        <f t="shared" si="94"/>
        <v>114.18498182856115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40.047969232432017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40.047969232432017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194.89717355535993</v>
      </c>
      <c r="T120" s="59">
        <f t="shared" si="88"/>
        <v>195.422737562245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41.953178890795137</v>
      </c>
      <c r="AA120" s="21">
        <f>EXP(-LN(2)/25)*AA119+(1-EXP(-LN(2)/25))/(LN(2)/25)*Calculateur!V120*Calculateur!X120*VLOOKUP('Données projet'!$B$9,Paramètres!$A$1:$I$89,3,0)*0.475*44/12</f>
        <v>7.5136503688065375</v>
      </c>
      <c r="AB120" s="21">
        <f>EXP(-LN(2)/2)*AB119+(1-EXP(-LN(2)/2))/(LN(2)/2)*V120*Y120*VLOOKUP('Données projet'!$B$9,Paramètres!$A$1:$I$89,3,0)*0.475*44/12</f>
        <v>8.292014078962866E-8</v>
      </c>
      <c r="AC120" s="22">
        <f t="shared" si="57"/>
        <v>49.466829342521812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253.79640000000001</v>
      </c>
      <c r="BF120" s="13">
        <f t="shared" si="91"/>
        <v>61.39816832228076</v>
      </c>
      <c r="BG120" s="20">
        <f t="shared" si="61"/>
        <v>548.96387316130563</v>
      </c>
      <c r="BH120" s="59">
        <f t="shared" si="62"/>
        <v>842.29720649463889</v>
      </c>
      <c r="BI120" s="59">
        <f ca="1">AVERAGE(OFFSET($BH$3,0,0,'Données projet'!$E$11+1,1))-AVERAGE(OFFSET($H$3,0,0,'Données projet'!$E$11+1,1))</f>
        <v>273.69926316253162</v>
      </c>
      <c r="BJ120" s="59">
        <f t="shared" si="92"/>
        <v>270.78513558650451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21.519935180860845</v>
      </c>
      <c r="BQ120" s="21">
        <f>EXP(-LN(2)/25)*BQ119+(1-EXP(-LN(2)/25))/(LN(2)/25)*Calculateur!BL120*Calculateur!BN120*VLOOKUP('Données projet'!$B$11,Paramètres!$A$1:$I$89,3,0)*0.475*44/12</f>
        <v>2.7049432888429559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24.2248784697038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6.0153846153846189</v>
      </c>
      <c r="BY120" s="12">
        <f>IF('Données projet'!$A$114&gt;35,BY119+BX120-CG119,IF(A120&lt;'Données projet'!$A$114,$BV$205^A120,IF(A120='Données projet'!$A$114,'Données projet'!$B$114,BY119+BX120-CG119)))</f>
        <v>268.85384615384589</v>
      </c>
      <c r="BZ120" s="13">
        <f>BY120*VLOOKUP('Données projet'!$B$12,Paramètres!$A$1:$I$89,3,0)*VLOOKUP('Données projet'!$B$12,Paramètres!$A$1:$I$89,5,0)</f>
        <v>243.25895999999975</v>
      </c>
      <c r="CA120" s="13">
        <f t="shared" si="93"/>
        <v>59.140160240229264</v>
      </c>
      <c r="CB120" s="20">
        <f t="shared" si="64"/>
        <v>526.67846775173223</v>
      </c>
      <c r="CC120" s="59">
        <f t="shared" si="65"/>
        <v>820.0118010850656</v>
      </c>
      <c r="CD120" s="59">
        <f ca="1">AVERAGE(OFFSET($CC$3,0,0,'Données projet'!$E$12+1,1))-AVERAGE(OFFSET($H$3,0,0,'Données projet'!$E$12+1,1))</f>
        <v>302.4170391346459</v>
      </c>
      <c r="CE120" s="59">
        <f t="shared" si="94"/>
        <v>114.18498182856115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39.262652982633305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39.262652982633305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194.89717355535993</v>
      </c>
      <c r="T121" s="59">
        <f t="shared" si="88"/>
        <v>195.422737562245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41.130502641659071</v>
      </c>
      <c r="AA121" s="21">
        <f>EXP(-LN(2)/25)*AA120+(1-EXP(-LN(2)/25))/(LN(2)/25)*Calculateur!V121*Calculateur!X121*VLOOKUP('Données projet'!$B$9,Paramètres!$A$1:$I$89,3,0)*0.475*44/12</f>
        <v>7.3081892043458225</v>
      </c>
      <c r="AB121" s="21">
        <f>EXP(-LN(2)/2)*AB120+(1-EXP(-LN(2)/2))/(LN(2)/2)*V121*Y121*VLOOKUP('Données projet'!$B$9,Paramètres!$A$1:$I$89,3,0)*0.475*44/12</f>
        <v>5.8633393849289671E-8</v>
      </c>
      <c r="AC121" s="22">
        <f t="shared" si="57"/>
        <v>48.43869190463829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253.79640000000001</v>
      </c>
      <c r="BF121" s="13">
        <f t="shared" si="91"/>
        <v>61.39816832228076</v>
      </c>
      <c r="BG121" s="20">
        <f t="shared" si="61"/>
        <v>548.96387316130563</v>
      </c>
      <c r="BH121" s="59">
        <f t="shared" si="62"/>
        <v>842.29720649463889</v>
      </c>
      <c r="BI121" s="59">
        <f ca="1">AVERAGE(OFFSET($BH$3,0,0,'Données projet'!$E$11+1,1))-AVERAGE(OFFSET($H$3,0,0,'Données projet'!$E$11+1,1))</f>
        <v>273.69926316253162</v>
      </c>
      <c r="BJ121" s="59">
        <f t="shared" si="92"/>
        <v>270.78513558650451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21.097942377828552</v>
      </c>
      <c r="BQ121" s="21">
        <f>EXP(-LN(2)/25)*BQ120+(1-EXP(-LN(2)/25))/(LN(2)/25)*Calculateur!BL121*Calculateur!BN121*VLOOKUP('Données projet'!$B$11,Paramètres!$A$1:$I$89,3,0)*0.475*44/12</f>
        <v>2.63097647236276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23.728918850191313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6.0153846153846189</v>
      </c>
      <c r="BY121" s="12">
        <f>IF('Données projet'!$A$114&gt;35,BY120+BX121-CG120,IF(A121&lt;'Données projet'!$A$114,$BV$205^A121,IF(A121='Données projet'!$A$114,'Données projet'!$B$114,BY120+BX121-CG120)))</f>
        <v>274.86923076923051</v>
      </c>
      <c r="BZ121" s="13">
        <f>BY121*VLOOKUP('Données projet'!$B$12,Paramètres!$A$1:$I$89,3,0)*VLOOKUP('Données projet'!$B$12,Paramètres!$A$1:$I$89,5,0)</f>
        <v>248.70167999999973</v>
      </c>
      <c r="CA121" s="13">
        <f t="shared" si="93"/>
        <v>60.307840972128631</v>
      </c>
      <c r="CB121" s="20">
        <f t="shared" si="64"/>
        <v>538.19158235979023</v>
      </c>
      <c r="CC121" s="59">
        <f t="shared" si="65"/>
        <v>831.5249156931236</v>
      </c>
      <c r="CD121" s="59">
        <f ca="1">AVERAGE(OFFSET($CC$3,0,0,'Données projet'!$E$12+1,1))-AVERAGE(OFFSET($H$3,0,0,'Données projet'!$E$12+1,1))</f>
        <v>302.4170391346459</v>
      </c>
      <c r="CE121" s="59">
        <f t="shared" si="94"/>
        <v>114.18498182856115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38.49273630549753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38.49273630549753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194.89717355535993</v>
      </c>
      <c r="T122" s="59">
        <f t="shared" si="88"/>
        <v>195.422737562245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40.3239585719856</v>
      </c>
      <c r="AA122" s="21">
        <f>EXP(-LN(2)/25)*AA121+(1-EXP(-LN(2)/25))/(LN(2)/25)*Calculateur!V122*Calculateur!X122*VLOOKUP('Données projet'!$B$9,Paramètres!$A$1:$I$89,3,0)*0.475*44/12</f>
        <v>7.1083463862320189</v>
      </c>
      <c r="AB122" s="21">
        <f>EXP(-LN(2)/2)*AB121+(1-EXP(-LN(2)/2))/(LN(2)/2)*V122*Y122*VLOOKUP('Données projet'!$B$9,Paramètres!$A$1:$I$89,3,0)*0.475*44/12</f>
        <v>4.1460070394814337E-8</v>
      </c>
      <c r="AC122" s="22">
        <f t="shared" si="57"/>
        <v>47.43230499967769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253.79640000000001</v>
      </c>
      <c r="BF122" s="13">
        <f t="shared" si="91"/>
        <v>61.39816832228076</v>
      </c>
      <c r="BG122" s="20">
        <f t="shared" si="61"/>
        <v>548.96387316130563</v>
      </c>
      <c r="BH122" s="59">
        <f t="shared" si="62"/>
        <v>842.29720649463889</v>
      </c>
      <c r="BI122" s="59">
        <f ca="1">AVERAGE(OFFSET($BH$3,0,0,'Données projet'!$E$11+1,1))-AVERAGE(OFFSET($H$3,0,0,'Données projet'!$E$11+1,1))</f>
        <v>273.69926316253162</v>
      </c>
      <c r="BJ122" s="59">
        <f t="shared" si="92"/>
        <v>270.78513558650451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20.684224596273527</v>
      </c>
      <c r="BQ122" s="21">
        <f>EXP(-LN(2)/25)*BQ121+(1-EXP(-LN(2)/25))/(LN(2)/25)*Calculateur!BL122*Calculateur!BN122*VLOOKUP('Données projet'!$B$11,Paramètres!$A$1:$I$89,3,0)*0.475*44/12</f>
        <v>2.5590322823689609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23.243256878642487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6.0153846153846189</v>
      </c>
      <c r="BY122" s="12">
        <f>IF('Données projet'!$A$114&gt;35,BY121+BX122-CG121,IF(A122&lt;'Données projet'!$A$114,$BV$205^A122,IF(A122='Données projet'!$A$114,'Données projet'!$B$114,BY121+BX122-CG121)))</f>
        <v>280.88461538461513</v>
      </c>
      <c r="BZ122" s="13">
        <f>BY122*VLOOKUP('Données projet'!$B$12,Paramètres!$A$1:$I$89,3,0)*VLOOKUP('Données projet'!$B$12,Paramètres!$A$1:$I$89,5,0)</f>
        <v>254.14439999999976</v>
      </c>
      <c r="CA122" s="13">
        <f t="shared" si="93"/>
        <v>61.472550736013424</v>
      </c>
      <c r="CB122" s="20">
        <f t="shared" si="64"/>
        <v>549.69952253188956</v>
      </c>
      <c r="CC122" s="59">
        <f t="shared" si="65"/>
        <v>843.03285586522293</v>
      </c>
      <c r="CD122" s="59">
        <f ca="1">AVERAGE(OFFSET($CC$3,0,0,'Données projet'!$E$12+1,1))-AVERAGE(OFFSET($H$3,0,0,'Données projet'!$E$12+1,1))</f>
        <v>302.4170391346459</v>
      </c>
      <c r="CE122" s="59">
        <f t="shared" si="94"/>
        <v>114.18498182856115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37.737917224797584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37.737917224797584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194.89717355535993</v>
      </c>
      <c r="T123" s="59">
        <f t="shared" si="88"/>
        <v>195.422737562245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39.53323033957512</v>
      </c>
      <c r="AA123" s="21">
        <f>EXP(-LN(2)/25)*AA122+(1-EXP(-LN(2)/25))/(LN(2)/25)*Calculateur!V123*Calculateur!X123*VLOOKUP('Données projet'!$B$9,Paramètres!$A$1:$I$89,3,0)*0.475*44/12</f>
        <v>6.9139682804888141</v>
      </c>
      <c r="AB123" s="21">
        <f>EXP(-LN(2)/2)*AB122+(1-EXP(-LN(2)/2))/(LN(2)/2)*V123*Y123*VLOOKUP('Données projet'!$B$9,Paramètres!$A$1:$I$89,3,0)*0.475*44/12</f>
        <v>2.9316696924644839E-8</v>
      </c>
      <c r="AC123" s="22">
        <f t="shared" si="57"/>
        <v>46.447198649380631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253.79640000000001</v>
      </c>
      <c r="BF123" s="13">
        <f t="shared" si="91"/>
        <v>61.39816832228076</v>
      </c>
      <c r="BG123" s="20">
        <f t="shared" si="61"/>
        <v>548.96387316130563</v>
      </c>
      <c r="BH123" s="59">
        <f t="shared" si="62"/>
        <v>842.29720649463889</v>
      </c>
      <c r="BI123" s="59">
        <f ca="1">AVERAGE(OFFSET($BH$3,0,0,'Données projet'!$E$11+1,1))-AVERAGE(OFFSET($H$3,0,0,'Données projet'!$E$11+1,1))</f>
        <v>273.69926316253162</v>
      </c>
      <c r="BJ123" s="59">
        <f t="shared" si="92"/>
        <v>270.78513558650451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20.278619568071868</v>
      </c>
      <c r="BQ123" s="21">
        <f>EXP(-LN(2)/25)*BQ122+(1-EXP(-LN(2)/25))/(LN(2)/25)*Calculateur!BL123*Calculateur!BN123*VLOOKUP('Données projet'!$B$11,Paramètres!$A$1:$I$89,3,0)*0.475*44/12</f>
        <v>2.4890554100339228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22.767674978105791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6.0153846153846189</v>
      </c>
      <c r="BY123" s="12">
        <f>IF('Données projet'!$A$114&gt;35,BY122+BX123-CG122,IF(A123&lt;'Données projet'!$A$114,$BV$205^A123,IF(A123='Données projet'!$A$114,'Données projet'!$B$114,BY122+BX123-CG122)))</f>
        <v>286.89999999999975</v>
      </c>
      <c r="BZ123" s="13">
        <f>BY123*VLOOKUP('Données projet'!$B$12,Paramètres!$A$1:$I$89,3,0)*VLOOKUP('Données projet'!$B$12,Paramètres!$A$1:$I$89,5,0)</f>
        <v>259.58711999999974</v>
      </c>
      <c r="CA123" s="13">
        <f t="shared" si="93"/>
        <v>62.634360486247317</v>
      </c>
      <c r="CB123" s="20">
        <f t="shared" si="64"/>
        <v>561.2024118468803</v>
      </c>
      <c r="CC123" s="59">
        <f t="shared" si="65"/>
        <v>854.53574518021355</v>
      </c>
      <c r="CD123" s="59">
        <f ca="1">AVERAGE(OFFSET($CC$3,0,0,'Données projet'!$E$12+1,1))-AVERAGE(OFFSET($H$3,0,0,'Données projet'!$E$12+1,1))</f>
        <v>302.4170391346459</v>
      </c>
      <c r="CE123" s="59">
        <f t="shared" si="94"/>
        <v>114.18498182856115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36.997899685875986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36.997899685875986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194.89717355535993</v>
      </c>
      <c r="T124" s="59">
        <f t="shared" si="88"/>
        <v>195.422737562245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38.758007805505606</v>
      </c>
      <c r="AA124" s="21">
        <f>EXP(-LN(2)/25)*AA123+(1-EXP(-LN(2)/25))/(LN(2)/25)*Calculateur!V124*Calculateur!X124*VLOOKUP('Données projet'!$B$9,Paramètres!$A$1:$I$89,3,0)*0.475*44/12</f>
        <v>6.7249054542690576</v>
      </c>
      <c r="AB124" s="21">
        <f>EXP(-LN(2)/2)*AB123+(1-EXP(-LN(2)/2))/(LN(2)/2)*V124*Y124*VLOOKUP('Données projet'!$B$9,Paramètres!$A$1:$I$89,3,0)*0.475*44/12</f>
        <v>2.0730035197407172E-8</v>
      </c>
      <c r="AC124" s="22">
        <f t="shared" si="57"/>
        <v>45.482913280504697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253.79640000000001</v>
      </c>
      <c r="BF124" s="13">
        <f t="shared" si="91"/>
        <v>61.39816832228076</v>
      </c>
      <c r="BG124" s="20">
        <f t="shared" si="61"/>
        <v>548.96387316130563</v>
      </c>
      <c r="BH124" s="59">
        <f t="shared" si="62"/>
        <v>842.29720649463889</v>
      </c>
      <c r="BI124" s="59">
        <f ca="1">AVERAGE(OFFSET($BH$3,0,0,'Données projet'!$E$11+1,1))-AVERAGE(OFFSET($H$3,0,0,'Données projet'!$E$11+1,1))</f>
        <v>273.69926316253162</v>
      </c>
      <c r="BJ124" s="59">
        <f t="shared" si="92"/>
        <v>270.78513558650451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19.880968207078602</v>
      </c>
      <c r="BQ124" s="21">
        <f>EXP(-LN(2)/25)*BQ123+(1-EXP(-LN(2)/25))/(LN(2)/25)*Calculateur!BL124*Calculateur!BN124*VLOOKUP('Données projet'!$B$11,Paramètres!$A$1:$I$89,3,0)*0.475*44/12</f>
        <v>2.4209920589528102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22.301960266031411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6.0153846153846189</v>
      </c>
      <c r="BY124" s="12">
        <f>IF('Données projet'!$A$114&gt;35,BY123+BX124-CG123,IF(A124&lt;'Données projet'!$A$114,$BV$205^A124,IF(A124='Données projet'!$A$114,'Données projet'!$B$114,BY123+BX124-CG123)))</f>
        <v>292.91538461538437</v>
      </c>
      <c r="BZ124" s="13">
        <f>BY124*VLOOKUP('Données projet'!$B$12,Paramètres!$A$1:$I$89,3,0)*VLOOKUP('Données projet'!$B$12,Paramètres!$A$1:$I$89,5,0)</f>
        <v>265.02983999999975</v>
      </c>
      <c r="CA124" s="13">
        <f t="shared" si="93"/>
        <v>63.793338031797148</v>
      </c>
      <c r="CB124" s="20">
        <f t="shared" si="64"/>
        <v>572.70036840537955</v>
      </c>
      <c r="CC124" s="59">
        <f t="shared" si="65"/>
        <v>866.03370173871281</v>
      </c>
      <c r="CD124" s="59">
        <f ca="1">AVERAGE(OFFSET($CC$3,0,0,'Données projet'!$E$12+1,1))-AVERAGE(OFFSET($H$3,0,0,'Données projet'!$E$12+1,1))</f>
        <v>302.4170391346459</v>
      </c>
      <c r="CE124" s="59">
        <f t="shared" si="94"/>
        <v>114.18498182856115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36.27239343952651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36.27239343952651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194.89717355535993</v>
      </c>
      <c r="T125" s="59">
        <f t="shared" si="88"/>
        <v>195.422737562245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37.997986912490141</v>
      </c>
      <c r="AA125" s="21">
        <f>EXP(-LN(2)/25)*AA124+(1-EXP(-LN(2)/25))/(LN(2)/25)*Calculateur!V125*Calculateur!X125*VLOOKUP('Données projet'!$B$9,Paramètres!$A$1:$I$89,3,0)*0.475*44/12</f>
        <v>6.5410125609746625</v>
      </c>
      <c r="AB125" s="21">
        <f>EXP(-LN(2)/2)*AB124+(1-EXP(-LN(2)/2))/(LN(2)/2)*V125*Y125*VLOOKUP('Données projet'!$B$9,Paramètres!$A$1:$I$89,3,0)*0.475*44/12</f>
        <v>1.4658348462322423E-8</v>
      </c>
      <c r="AC125" s="22">
        <f t="shared" si="57"/>
        <v>44.538999488123153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253.79640000000001</v>
      </c>
      <c r="BF125" s="13">
        <f t="shared" si="91"/>
        <v>61.39816832228076</v>
      </c>
      <c r="BG125" s="20">
        <f t="shared" si="61"/>
        <v>548.96387316130563</v>
      </c>
      <c r="BH125" s="59">
        <f t="shared" si="62"/>
        <v>842.29720649463889</v>
      </c>
      <c r="BI125" s="59">
        <f ca="1">AVERAGE(OFFSET($BH$3,0,0,'Données projet'!$E$11+1,1))-AVERAGE(OFFSET($H$3,0,0,'Données projet'!$E$11+1,1))</f>
        <v>273.69926316253162</v>
      </c>
      <c r="BJ125" s="59">
        <f t="shared" si="92"/>
        <v>270.78513558650451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19.491114546731037</v>
      </c>
      <c r="BQ125" s="21">
        <f>EXP(-LN(2)/25)*BQ124+(1-EXP(-LN(2)/25))/(LN(2)/25)*Calculateur!BL125*Calculateur!BN125*VLOOKUP('Données projet'!$B$11,Paramètres!$A$1:$I$89,3,0)*0.475*44/12</f>
        <v>2.3547899037863065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21.845904450517345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6.0153846153846189</v>
      </c>
      <c r="BY125" s="12">
        <f>IF('Données projet'!$A$114&gt;35,BY124+BX125-CG124,IF(A125&lt;'Données projet'!$A$114,$BV$205^A125,IF(A125='Données projet'!$A$114,'Données projet'!$B$114,BY124+BX125-CG124)))</f>
        <v>298.93076923076899</v>
      </c>
      <c r="BZ125" s="13">
        <f>BY125*VLOOKUP('Données projet'!$B$12,Paramètres!$A$1:$I$89,3,0)*VLOOKUP('Données projet'!$B$12,Paramètres!$A$1:$I$89,5,0)</f>
        <v>270.47255999999976</v>
      </c>
      <c r="CA125" s="13">
        <f t="shared" si="93"/>
        <v>64.949548237352417</v>
      </c>
      <c r="CB125" s="20">
        <f t="shared" si="64"/>
        <v>584.19350518005501</v>
      </c>
      <c r="CC125" s="59">
        <f t="shared" si="65"/>
        <v>877.52683851338838</v>
      </c>
      <c r="CD125" s="59">
        <f ca="1">AVERAGE(OFFSET($CC$3,0,0,'Données projet'!$E$12+1,1))-AVERAGE(OFFSET($H$3,0,0,'Données projet'!$E$12+1,1))</f>
        <v>302.4170391346459</v>
      </c>
      <c r="CE125" s="59">
        <f t="shared" si="94"/>
        <v>114.18498182856115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35.561113928152835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35.561113928152835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194.89717355535993</v>
      </c>
      <c r="T126" s="59">
        <f t="shared" si="88"/>
        <v>195.422737562245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37.25286956561974</v>
      </c>
      <c r="AA126" s="21">
        <f>EXP(-LN(2)/25)*AA125+(1-EXP(-LN(2)/25))/(LN(2)/25)*Calculateur!V126*Calculateur!X126*VLOOKUP('Données projet'!$B$9,Paramètres!$A$1:$I$89,3,0)*0.475*44/12</f>
        <v>6.3621482285179098</v>
      </c>
      <c r="AB126" s="21">
        <f>EXP(-LN(2)/2)*AB125+(1-EXP(-LN(2)/2))/(LN(2)/2)*V126*Y126*VLOOKUP('Données projet'!$B$9,Paramètres!$A$1:$I$89,3,0)*0.475*44/12</f>
        <v>1.0365017598703587E-8</v>
      </c>
      <c r="AC126" s="22">
        <f t="shared" si="57"/>
        <v>43.615017804502671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253.79640000000001</v>
      </c>
      <c r="BF126" s="13">
        <f t="shared" si="91"/>
        <v>61.39816832228076</v>
      </c>
      <c r="BG126" s="20">
        <f t="shared" si="61"/>
        <v>548.96387316130563</v>
      </c>
      <c r="BH126" s="59">
        <f t="shared" si="62"/>
        <v>842.29720649463889</v>
      </c>
      <c r="BI126" s="59">
        <f ca="1">AVERAGE(OFFSET($BH$3,0,0,'Données projet'!$E$11+1,1))-AVERAGE(OFFSET($H$3,0,0,'Données projet'!$E$11+1,1))</f>
        <v>273.69926316253162</v>
      </c>
      <c r="BJ126" s="59">
        <f t="shared" si="92"/>
        <v>270.78513558650451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19.108905678875633</v>
      </c>
      <c r="BQ126" s="21">
        <f>EXP(-LN(2)/25)*BQ125+(1-EXP(-LN(2)/25))/(LN(2)/25)*Calculateur!BL126*Calculateur!BN126*VLOOKUP('Données projet'!$B$11,Paramètres!$A$1:$I$89,3,0)*0.475*44/12</f>
        <v>2.2903980500342507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21.399303728909885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6.0153846153846189</v>
      </c>
      <c r="BY126" s="12">
        <f>IF('Données projet'!$A$114&gt;35,BY125+BX126-CG125,IF(A126&lt;'Données projet'!$A$114,$BV$205^A126,IF(A126='Données projet'!$A$114,'Données projet'!$B$114,BY125+BX126-CG125)))</f>
        <v>304.94615384615361</v>
      </c>
      <c r="BZ126" s="13">
        <f>BY126*VLOOKUP('Données projet'!$B$12,Paramètres!$A$1:$I$89,3,0)*VLOOKUP('Données projet'!$B$12,Paramètres!$A$1:$I$89,5,0)</f>
        <v>275.91527999999977</v>
      </c>
      <c r="CA126" s="13">
        <f t="shared" si="93"/>
        <v>66.103053207798197</v>
      </c>
      <c r="CB126" s="20">
        <f t="shared" si="64"/>
        <v>595.68193033691477</v>
      </c>
      <c r="CC126" s="59">
        <f t="shared" si="65"/>
        <v>889.01526367024803</v>
      </c>
      <c r="CD126" s="59">
        <f ca="1">AVERAGE(OFFSET($CC$3,0,0,'Données projet'!$E$12+1,1))-AVERAGE(OFFSET($H$3,0,0,'Données projet'!$E$12+1,1))</f>
        <v>302.4170391346459</v>
      </c>
      <c r="CE126" s="59">
        <f t="shared" si="94"/>
        <v>114.18498182856115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34.863782174159532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34.863782174159532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194.89717355535993</v>
      </c>
      <c r="T127" s="59">
        <f t="shared" si="88"/>
        <v>195.422737562245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36.522363515444759</v>
      </c>
      <c r="AA127" s="21">
        <f>EXP(-LN(2)/25)*AA126+(1-EXP(-LN(2)/25))/(LN(2)/25)*Calculateur!V127*Calculateur!X127*VLOOKUP('Données projet'!$B$9,Paramètres!$A$1:$I$89,3,0)*0.475*44/12</f>
        <v>6.1881749506382535</v>
      </c>
      <c r="AB127" s="21">
        <f>EXP(-LN(2)/2)*AB126+(1-EXP(-LN(2)/2))/(LN(2)/2)*V127*Y127*VLOOKUP('Données projet'!$B$9,Paramètres!$A$1:$I$89,3,0)*0.475*44/12</f>
        <v>7.3291742311612121E-9</v>
      </c>
      <c r="AC127" s="22">
        <f t="shared" si="57"/>
        <v>42.710538473412193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253.79640000000001</v>
      </c>
      <c r="BF127" s="13">
        <f t="shared" si="91"/>
        <v>61.39816832228076</v>
      </c>
      <c r="BG127" s="20">
        <f t="shared" si="61"/>
        <v>548.96387316130563</v>
      </c>
      <c r="BH127" s="59">
        <f t="shared" si="62"/>
        <v>842.29720649463889</v>
      </c>
      <c r="BI127" s="59">
        <f ca="1">AVERAGE(OFFSET($BH$3,0,0,'Données projet'!$E$11+1,1))-AVERAGE(OFFSET($H$3,0,0,'Données projet'!$E$11+1,1))</f>
        <v>273.69926316253162</v>
      </c>
      <c r="BJ127" s="59">
        <f t="shared" si="92"/>
        <v>270.78513558650451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18.734191693794482</v>
      </c>
      <c r="BQ127" s="21">
        <f>EXP(-LN(2)/25)*BQ126+(1-EXP(-LN(2)/25))/(LN(2)/25)*Calculateur!BL127*Calculateur!BN127*VLOOKUP('Données projet'!$B$11,Paramètres!$A$1:$I$89,3,0)*0.475*44/12</f>
        <v>2.2277669949092656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20.961958688703749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310.96153846153845</v>
      </c>
      <c r="BW127" s="12">
        <f>VLOOKUP(A127,'Données projet'!$A$113:$I$133,9,0)</f>
        <v>6.0153846153846189</v>
      </c>
      <c r="BX127" s="12">
        <f t="array" ref="BX127">INDEX(BW:BW,MIN(IF(ISNUMBER(BW127:BW323),ROW(BW127:BW323),"")))</f>
        <v>6.0153846153846189</v>
      </c>
      <c r="BY127" s="12">
        <f>IF('Données projet'!$A$114&gt;35,BY126+BX127-CG126,IF(A127&lt;'Données projet'!$A$114,$BV$205^A127,IF(A127='Données projet'!$A$114,'Données projet'!$B$114,BY126+BX127-CG126)))</f>
        <v>310.96153846153823</v>
      </c>
      <c r="BZ127" s="13">
        <f>BY127*VLOOKUP('Données projet'!$B$12,Paramètres!$A$1:$I$89,3,0)*VLOOKUP('Données projet'!$B$12,Paramètres!$A$1:$I$89,5,0)</f>
        <v>281.35799999999978</v>
      </c>
      <c r="CA127" s="13">
        <f t="shared" si="93"/>
        <v>67.253912457721626</v>
      </c>
      <c r="CB127" s="20">
        <f t="shared" si="64"/>
        <v>607.16574753053146</v>
      </c>
      <c r="CC127" s="59">
        <f t="shared" si="65"/>
        <v>900.49908086386472</v>
      </c>
      <c r="CD127" s="59">
        <f ca="1">AVERAGE(OFFSET($CC$3,0,0,'Données projet'!$E$12+1,1))-AVERAGE(OFFSET($H$3,0,0,'Données projet'!$E$12+1,1))</f>
        <v>302.4170391346459</v>
      </c>
      <c r="CE127" s="59">
        <f t="shared" si="94"/>
        <v>114.18498182856115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39.820512820512818</v>
      </c>
      <c r="CH127" s="16">
        <f>IF(ISNA(VLOOKUP(A127,'Données projet'!$A$113:$I$133,5,0)),0%,VLOOKUP(A127,'Données projet'!$A$113:$I$133,5,0)*VLOOKUP('Données projet'!$B$12,Paramètres!$A$1:$I$89,7,0))</f>
        <v>0.30099999999999999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46.168851002044192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46.168851002044192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194.89717355535993</v>
      </c>
      <c r="T128" s="59">
        <f t="shared" si="88"/>
        <v>195.422737562245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35.806182243349014</v>
      </c>
      <c r="AA128" s="21">
        <f>EXP(-LN(2)/25)*AA127+(1-EXP(-LN(2)/25))/(LN(2)/25)*Calculateur!V128*Calculateur!X128*VLOOKUP('Données projet'!$B$9,Paramètres!$A$1:$I$89,3,0)*0.475*44/12</f>
        <v>6.0189589811910729</v>
      </c>
      <c r="AB128" s="21">
        <f>EXP(-LN(2)/2)*AB127+(1-EXP(-LN(2)/2))/(LN(2)/2)*V128*Y128*VLOOKUP('Données projet'!$B$9,Paramètres!$A$1:$I$89,3,0)*0.475*44/12</f>
        <v>5.1825087993517945E-9</v>
      </c>
      <c r="AC128" s="22">
        <f t="shared" si="57"/>
        <v>41.825141229722597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253.79640000000001</v>
      </c>
      <c r="BF128" s="13">
        <f t="shared" si="91"/>
        <v>61.39816832228076</v>
      </c>
      <c r="BG128" s="20">
        <f t="shared" si="61"/>
        <v>548.96387316130563</v>
      </c>
      <c r="BH128" s="59">
        <f t="shared" si="62"/>
        <v>842.29720649463889</v>
      </c>
      <c r="BI128" s="59">
        <f ca="1">AVERAGE(OFFSET($BH$3,0,0,'Données projet'!$E$11+1,1))-AVERAGE(OFFSET($H$3,0,0,'Données projet'!$E$11+1,1))</f>
        <v>273.69926316253162</v>
      </c>
      <c r="BJ128" s="59">
        <f t="shared" si="92"/>
        <v>270.78513558650451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18.366825621407809</v>
      </c>
      <c r="BQ128" s="21">
        <f>EXP(-LN(2)/25)*BQ127+(1-EXP(-LN(2)/25))/(LN(2)/25)*Calculateur!BL128*Calculateur!BN128*VLOOKUP('Données projet'!$B$11,Paramètres!$A$1:$I$89,3,0)*0.475*44/12</f>
        <v>2.1668485892802969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20.533674210688105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6.0711538461538508</v>
      </c>
      <c r="BY128" s="12">
        <f>IF('Données projet'!$A$114&gt;35,BY127+BX128-CG127,IF(A128&lt;'Données projet'!$A$114,$BV$205^A128,IF(A128='Données projet'!$A$114,'Données projet'!$B$114,BY127+BX128-CG127)))</f>
        <v>277.21217948717924</v>
      </c>
      <c r="BZ128" s="13">
        <f>BY128*VLOOKUP('Données projet'!$B$12,Paramètres!$A$1:$I$89,3,0)*VLOOKUP('Données projet'!$B$12,Paramètres!$A$1:$I$89,5,0)</f>
        <v>250.82157999999976</v>
      </c>
      <c r="CA128" s="13">
        <f t="shared" si="93"/>
        <v>60.761836236258191</v>
      </c>
      <c r="CB128" s="20">
        <f t="shared" si="64"/>
        <v>542.67444994481593</v>
      </c>
      <c r="CC128" s="59">
        <f t="shared" si="65"/>
        <v>836.00778327814919</v>
      </c>
      <c r="CD128" s="59">
        <f ca="1">AVERAGE(OFFSET($CC$3,0,0,'Données projet'!$E$12+1,1))-AVERAGE(OFFSET($H$3,0,0,'Données projet'!$E$12+1,1))</f>
        <v>302.4170391346459</v>
      </c>
      <c r="CE128" s="59">
        <f t="shared" si="94"/>
        <v>114.18498182856115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45.263507994112629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45.263507994112629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194.89717355535993</v>
      </c>
      <c r="T129" s="59">
        <f t="shared" si="88"/>
        <v>195.422737562245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35.104044849171622</v>
      </c>
      <c r="AA129" s="21">
        <f>EXP(-LN(2)/25)*AA128+(1-EXP(-LN(2)/25))/(LN(2)/25)*Calculateur!V129*Calculateur!X129*VLOOKUP('Données projet'!$B$9,Paramètres!$A$1:$I$89,3,0)*0.475*44/12</f>
        <v>5.8543702313271071</v>
      </c>
      <c r="AB129" s="21">
        <f>EXP(-LN(2)/2)*AB128+(1-EXP(-LN(2)/2))/(LN(2)/2)*V129*Y129*VLOOKUP('Données projet'!$B$9,Paramètres!$A$1:$I$89,3,0)*0.475*44/12</f>
        <v>3.6645871155806069E-9</v>
      </c>
      <c r="AC129" s="22">
        <f t="shared" si="57"/>
        <v>40.95841508416332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253.79640000000001</v>
      </c>
      <c r="BF129" s="13">
        <f t="shared" si="91"/>
        <v>61.39816832228076</v>
      </c>
      <c r="BG129" s="20">
        <f t="shared" si="61"/>
        <v>548.96387316130563</v>
      </c>
      <c r="BH129" s="59">
        <f t="shared" si="62"/>
        <v>842.29720649463889</v>
      </c>
      <c r="BI129" s="59">
        <f ca="1">AVERAGE(OFFSET($BH$3,0,0,'Données projet'!$E$11+1,1))-AVERAGE(OFFSET($H$3,0,0,'Données projet'!$E$11+1,1))</f>
        <v>273.69926316253162</v>
      </c>
      <c r="BJ129" s="59">
        <f t="shared" si="92"/>
        <v>270.78513558650451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18.006663373629461</v>
      </c>
      <c r="BQ129" s="21">
        <f>EXP(-LN(2)/25)*BQ128+(1-EXP(-LN(2)/25))/(LN(2)/25)*Calculateur!BL129*Calculateur!BN129*VLOOKUP('Données projet'!$B$11,Paramètres!$A$1:$I$89,3,0)*0.475*44/12</f>
        <v>2.1075960006568124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20.114259374286274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6.0711538461538508</v>
      </c>
      <c r="BY129" s="12">
        <f>IF('Données projet'!$A$114&gt;35,BY128+BX129-CG128,IF(A129&lt;'Données projet'!$A$114,$BV$205^A129,IF(A129='Données projet'!$A$114,'Données projet'!$B$114,BY128+BX129-CG128)))</f>
        <v>283.28333333333308</v>
      </c>
      <c r="BZ129" s="13">
        <f>BY129*VLOOKUP('Données projet'!$B$12,Paramètres!$A$1:$I$89,3,0)*VLOOKUP('Données projet'!$B$12,Paramètres!$A$1:$I$89,5,0)</f>
        <v>256.31475999999975</v>
      </c>
      <c r="CA129" s="13">
        <f t="shared" si="93"/>
        <v>61.936182251682439</v>
      </c>
      <c r="CB129" s="20">
        <f t="shared" si="64"/>
        <v>554.28705775501305</v>
      </c>
      <c r="CC129" s="59">
        <f t="shared" si="65"/>
        <v>847.62039108834642</v>
      </c>
      <c r="CD129" s="59">
        <f ca="1">AVERAGE(OFFSET($CC$3,0,0,'Données projet'!$E$12+1,1))-AVERAGE(OFFSET($H$3,0,0,'Données projet'!$E$12+1,1))</f>
        <v>302.4170391346459</v>
      </c>
      <c r="CE129" s="59">
        <f t="shared" si="94"/>
        <v>114.18498182856115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44.375918210361895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44.375918210361895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194.89717355535993</v>
      </c>
      <c r="T130" s="59">
        <f t="shared" si="88"/>
        <v>195.422737562245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34.415675941032532</v>
      </c>
      <c r="AA130" s="21">
        <f>EXP(-LN(2)/25)*AA129+(1-EXP(-LN(2)/25))/(LN(2)/25)*Calculateur!V130*Calculateur!X130*VLOOKUP('Données projet'!$B$9,Paramètres!$A$1:$I$89,3,0)*0.475*44/12</f>
        <v>5.6942821694835173</v>
      </c>
      <c r="AB130" s="21">
        <f>EXP(-LN(2)/2)*AB129+(1-EXP(-LN(2)/2))/(LN(2)/2)*V130*Y130*VLOOKUP('Données projet'!$B$9,Paramètres!$A$1:$I$89,3,0)*0.475*44/12</f>
        <v>2.5912543996758977E-9</v>
      </c>
      <c r="AC130" s="22">
        <f t="shared" si="57"/>
        <v>40.109958113107304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253.79640000000001</v>
      </c>
      <c r="BF130" s="13">
        <f t="shared" si="91"/>
        <v>61.39816832228076</v>
      </c>
      <c r="BG130" s="20">
        <f t="shared" si="61"/>
        <v>548.96387316130563</v>
      </c>
      <c r="BH130" s="59">
        <f t="shared" si="62"/>
        <v>842.29720649463889</v>
      </c>
      <c r="BI130" s="59">
        <f ca="1">AVERAGE(OFFSET($BH$3,0,0,'Données projet'!$E$11+1,1))-AVERAGE(OFFSET($H$3,0,0,'Données projet'!$E$11+1,1))</f>
        <v>273.69926316253162</v>
      </c>
      <c r="BJ130" s="59">
        <f t="shared" si="92"/>
        <v>270.78513558650451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17.653563687852767</v>
      </c>
      <c r="BQ130" s="21">
        <f>EXP(-LN(2)/25)*BQ129+(1-EXP(-LN(2)/25))/(LN(2)/25)*Calculateur!BL130*Calculateur!BN130*VLOOKUP('Données projet'!$B$11,Paramètres!$A$1:$I$89,3,0)*0.475*44/12</f>
        <v>2.049963677185195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19.703527365037964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6.0711538461538508</v>
      </c>
      <c r="BY130" s="12">
        <f>IF('Données projet'!$A$114&gt;35,BY129+BX130-CG129,IF(A130&lt;'Données projet'!$A$114,$BV$205^A130,IF(A130='Données projet'!$A$114,'Données projet'!$B$114,BY129+BX130-CG129)))</f>
        <v>289.35448717948691</v>
      </c>
      <c r="BZ130" s="13">
        <f>BY130*VLOOKUP('Données projet'!$B$12,Paramètres!$A$1:$I$89,3,0)*VLOOKUP('Données projet'!$B$12,Paramètres!$A$1:$I$89,5,0)</f>
        <v>261.80793999999975</v>
      </c>
      <c r="CA130" s="13">
        <f t="shared" si="93"/>
        <v>63.107602142412418</v>
      </c>
      <c r="CB130" s="20">
        <f t="shared" si="64"/>
        <v>565.89456923136788</v>
      </c>
      <c r="CC130" s="59">
        <f t="shared" si="65"/>
        <v>859.22790256470125</v>
      </c>
      <c r="CD130" s="59">
        <f ca="1">AVERAGE(OFFSET($CC$3,0,0,'Données projet'!$E$12+1,1))-AVERAGE(OFFSET($H$3,0,0,'Données projet'!$E$12+1,1))</f>
        <v>302.4170391346459</v>
      </c>
      <c r="CE130" s="59">
        <f t="shared" si="94"/>
        <v>114.18498182856115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43.505733520894196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43.505733520894196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194.89717355535993</v>
      </c>
      <c r="T131" s="59">
        <f t="shared" si="88"/>
        <v>195.422737562245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33.740805527318471</v>
      </c>
      <c r="AA131" s="21">
        <f>EXP(-LN(2)/25)*AA130+(1-EXP(-LN(2)/25))/(LN(2)/25)*Calculateur!V131*Calculateur!X131*VLOOKUP('Données projet'!$B$9,Paramètres!$A$1:$I$89,3,0)*0.475*44/12</f>
        <v>5.5385717241097057</v>
      </c>
      <c r="AB131" s="21">
        <f>EXP(-LN(2)/2)*AB130+(1-EXP(-LN(2)/2))/(LN(2)/2)*V131*Y131*VLOOKUP('Données projet'!$B$9,Paramètres!$A$1:$I$89,3,0)*0.475*44/12</f>
        <v>1.8322935577903037E-9</v>
      </c>
      <c r="AC131" s="22">
        <f t="shared" si="57"/>
        <v>39.279377253260471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253.79640000000001</v>
      </c>
      <c r="BF131" s="13">
        <f t="shared" si="91"/>
        <v>61.39816832228076</v>
      </c>
      <c r="BG131" s="20">
        <f t="shared" si="61"/>
        <v>548.96387316130563</v>
      </c>
      <c r="BH131" s="59">
        <f t="shared" si="62"/>
        <v>842.29720649463889</v>
      </c>
      <c r="BI131" s="59">
        <f ca="1">AVERAGE(OFFSET($BH$3,0,0,'Données projet'!$E$11+1,1))-AVERAGE(OFFSET($H$3,0,0,'Données projet'!$E$11+1,1))</f>
        <v>273.69926316253162</v>
      </c>
      <c r="BJ131" s="59">
        <f t="shared" si="92"/>
        <v>270.78513558650451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17.307388071544612</v>
      </c>
      <c r="BQ131" s="21">
        <f>EXP(-LN(2)/25)*BQ130+(1-EXP(-LN(2)/25))/(LN(2)/25)*Calculateur!BL131*Calculateur!BN131*VLOOKUP('Données projet'!$B$11,Paramètres!$A$1:$I$89,3,0)*0.475*44/12</f>
        <v>1.9939073126296614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19.301295384174274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6.0711538461538508</v>
      </c>
      <c r="BY131" s="12">
        <f>IF('Données projet'!$A$114&gt;35,BY130+BX131-CG130,IF(A131&lt;'Données projet'!$A$114,$BV$205^A131,IF(A131='Données projet'!$A$114,'Données projet'!$B$114,BY130+BX131-CG130)))</f>
        <v>295.42564102564074</v>
      </c>
      <c r="BZ131" s="13">
        <f>BY131*VLOOKUP('Données projet'!$B$12,Paramètres!$A$1:$I$89,3,0)*VLOOKUP('Données projet'!$B$12,Paramètres!$A$1:$I$89,5,0)</f>
        <v>267.30111999999974</v>
      </c>
      <c r="CA131" s="13">
        <f t="shared" si="93"/>
        <v>64.276164376472181</v>
      </c>
      <c r="CB131" s="20">
        <f t="shared" si="64"/>
        <v>577.49710362235521</v>
      </c>
      <c r="CC131" s="59">
        <f t="shared" si="65"/>
        <v>870.83043695568858</v>
      </c>
      <c r="CD131" s="59">
        <f ca="1">AVERAGE(OFFSET($CC$3,0,0,'Données projet'!$E$12+1,1))-AVERAGE(OFFSET($H$3,0,0,'Données projet'!$E$12+1,1))</f>
        <v>302.4170391346459</v>
      </c>
      <c r="CE131" s="59">
        <f t="shared" si="94"/>
        <v>114.18498182856115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42.652612622426709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42.652612622426709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194.89717355535993</v>
      </c>
      <c r="T132" s="59">
        <f t="shared" si="88"/>
        <v>195.422737562245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33.079168910787033</v>
      </c>
      <c r="AA132" s="21">
        <f>EXP(-LN(2)/25)*AA131+(1-EXP(-LN(2)/25))/(LN(2)/25)*Calculateur!V132*Calculateur!X132*VLOOKUP('Données projet'!$B$9,Paramètres!$A$1:$I$89,3,0)*0.475*44/12</f>
        <v>5.3871191890530969</v>
      </c>
      <c r="AB132" s="21">
        <f>EXP(-LN(2)/2)*AB131+(1-EXP(-LN(2)/2))/(LN(2)/2)*V132*Y132*VLOOKUP('Données projet'!$B$9,Paramètres!$A$1:$I$89,3,0)*0.475*44/12</f>
        <v>1.2956271998379491E-9</v>
      </c>
      <c r="AC132" s="22">
        <f t="shared" ref="AC132:AC153" si="111">SUM(Z132:AB132)</f>
        <v>38.466288101135753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253.79640000000001</v>
      </c>
      <c r="BF132" s="13">
        <f t="shared" si="91"/>
        <v>61.39816832228076</v>
      </c>
      <c r="BG132" s="20">
        <f t="shared" ref="BG132:BG153" si="115">(BE132+BF132)*0.475*44/12</f>
        <v>548.96387316130563</v>
      </c>
      <c r="BH132" s="59">
        <f t="shared" ref="BH132:BH195" si="116">BG132+(AY132+AZ132)*44/12</f>
        <v>842.29720649463889</v>
      </c>
      <c r="BI132" s="59">
        <f ca="1">AVERAGE(OFFSET($BH$3,0,0,'Données projet'!$E$11+1,1))-AVERAGE(OFFSET($H$3,0,0,'Données projet'!$E$11+1,1))</f>
        <v>273.69926316253162</v>
      </c>
      <c r="BJ132" s="59">
        <f t="shared" si="92"/>
        <v>270.78513558650451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16.968000747925981</v>
      </c>
      <c r="BQ132" s="21">
        <f>EXP(-LN(2)/25)*BQ131+(1-EXP(-LN(2)/25))/(LN(2)/25)*Calculateur!BL132*Calculateur!BN132*VLOOKUP('Données projet'!$B$11,Paramètres!$A$1:$I$89,3,0)*0.475*44/12</f>
        <v>1.9393838123107749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18.907384560236757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6.0711538461538508</v>
      </c>
      <c r="BY132" s="12">
        <f>IF('Données projet'!$A$114&gt;35,BY131+BX132-CG131,IF(A132&lt;'Données projet'!$A$114,$BV$205^A132,IF(A132='Données projet'!$A$114,'Données projet'!$B$114,BY131+BX132-CG131)))</f>
        <v>301.49679487179458</v>
      </c>
      <c r="BZ132" s="13">
        <f>BY132*VLOOKUP('Données projet'!$B$12,Paramètres!$A$1:$I$89,3,0)*VLOOKUP('Données projet'!$B$12,Paramètres!$A$1:$I$89,5,0)</f>
        <v>272.79429999999974</v>
      </c>
      <c r="CA132" s="13">
        <f t="shared" si="93"/>
        <v>65.441934446926723</v>
      </c>
      <c r="CB132" s="20">
        <f t="shared" ref="CB132:CB153" si="118">(BZ132+CA132)*0.475*44/12</f>
        <v>589.09477499506363</v>
      </c>
      <c r="CC132" s="59">
        <f t="shared" ref="CC132:CC195" si="119">CB132+(BT132+BU132)*44/12</f>
        <v>882.428108328397</v>
      </c>
      <c r="CD132" s="59">
        <f ca="1">AVERAGE(OFFSET($CC$3,0,0,'Données projet'!$E$12+1,1))-AVERAGE(OFFSET($H$3,0,0,'Données projet'!$E$12+1,1))</f>
        <v>302.4170391346459</v>
      </c>
      <c r="CE132" s="59">
        <f t="shared" si="94"/>
        <v>114.18498182856115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41.816220904425798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41.816220904425798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194.89717355535993</v>
      </c>
      <c r="T133" s="59">
        <f t="shared" ref="T133:T196" si="142">$T$3</f>
        <v>195.422737562245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32.430506584747292</v>
      </c>
      <c r="AA133" s="21">
        <f>EXP(-LN(2)/25)*AA132+(1-EXP(-LN(2)/25))/(LN(2)/25)*Calculateur!V133*Calculateur!X133*VLOOKUP('Données projet'!$B$9,Paramètres!$A$1:$I$89,3,0)*0.475*44/12</f>
        <v>5.2398081315321541</v>
      </c>
      <c r="AB133" s="21">
        <f>EXP(-LN(2)/2)*AB132+(1-EXP(-LN(2)/2))/(LN(2)/2)*V133*Y133*VLOOKUP('Données projet'!$B$9,Paramètres!$A$1:$I$89,3,0)*0.475*44/12</f>
        <v>9.1614677889515203E-10</v>
      </c>
      <c r="AC133" s="22">
        <f t="shared" si="111"/>
        <v>37.670314717195595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253.79640000000001</v>
      </c>
      <c r="BF133" s="13">
        <f t="shared" ref="BF133:BF153" si="145">EXP(-1.0587+0.8836*LN(BE133)+0.284)</f>
        <v>61.39816832228076</v>
      </c>
      <c r="BG133" s="20">
        <f t="shared" si="115"/>
        <v>548.96387316130563</v>
      </c>
      <c r="BH133" s="59">
        <f t="shared" si="116"/>
        <v>842.29720649463889</v>
      </c>
      <c r="BI133" s="59">
        <f ca="1">AVERAGE(OFFSET($BH$3,0,0,'Données projet'!$E$11+1,1))-AVERAGE(OFFSET($H$3,0,0,'Données projet'!$E$11+1,1))</f>
        <v>273.69926316253162</v>
      </c>
      <c r="BJ133" s="59">
        <f t="shared" ref="BJ133:BJ196" si="146">$BJ$3</f>
        <v>270.78513558650451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16.635268602717684</v>
      </c>
      <c r="BQ133" s="21">
        <f>EXP(-LN(2)/25)*BQ132+(1-EXP(-LN(2)/25))/(LN(2)/25)*Calculateur!BL133*Calculateur!BN133*VLOOKUP('Données projet'!$B$11,Paramètres!$A$1:$I$89,3,0)*0.475*44/12</f>
        <v>1.8863512599753747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18.521619862693058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6.0711538461538508</v>
      </c>
      <c r="BY133" s="12">
        <f>IF('Données projet'!$A$114&gt;35,BY132+BX133-CG132,IF(A133&lt;'Données projet'!$A$114,$BV$205^A133,IF(A133='Données projet'!$A$114,'Données projet'!$B$114,BY132+BX133-CG132)))</f>
        <v>307.56794871794841</v>
      </c>
      <c r="BZ133" s="13">
        <f>BY133*VLOOKUP('Données projet'!$B$12,Paramètres!$A$1:$I$89,3,0)*VLOOKUP('Données projet'!$B$12,Paramètres!$A$1:$I$89,5,0)</f>
        <v>278.28747999999968</v>
      </c>
      <c r="CA133" s="13">
        <f t="shared" ref="CA133:CA153" si="147">EXP(-1.0587+0.8836*LN(BZ133)+0.284)</f>
        <v>66.60497505840425</v>
      </c>
      <c r="CB133" s="20">
        <f t="shared" si="118"/>
        <v>600.68769256005351</v>
      </c>
      <c r="CC133" s="59">
        <f t="shared" si="119"/>
        <v>894.02102589338688</v>
      </c>
      <c r="CD133" s="59">
        <f ca="1">AVERAGE(OFFSET($CC$3,0,0,'Données projet'!$E$12+1,1))-AVERAGE(OFFSET($H$3,0,0,'Données projet'!$E$12+1,1))</f>
        <v>302.4170391346459</v>
      </c>
      <c r="CE133" s="59">
        <f t="shared" ref="CE133:CE196" si="148">$CE$3</f>
        <v>114.18498182856115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40.996230317866313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40.996230317866313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194.89717355535993</v>
      </c>
      <c r="T134" s="59">
        <f t="shared" si="142"/>
        <v>195.422737562245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31.794564131276235</v>
      </c>
      <c r="AA134" s="21">
        <f>EXP(-LN(2)/25)*AA133+(1-EXP(-LN(2)/25))/(LN(2)/25)*Calculateur!V134*Calculateur!X134*VLOOKUP('Données projet'!$B$9,Paramètres!$A$1:$I$89,3,0)*0.475*44/12</f>
        <v>5.0965253026258734</v>
      </c>
      <c r="AB134" s="21">
        <f>EXP(-LN(2)/2)*AB133+(1-EXP(-LN(2)/2))/(LN(2)/2)*V134*Y134*VLOOKUP('Données projet'!$B$9,Paramètres!$A$1:$I$89,3,0)*0.475*44/12</f>
        <v>6.4781359991897463E-10</v>
      </c>
      <c r="AC134" s="22">
        <f t="shared" si="111"/>
        <v>36.891089434549926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253.79640000000001</v>
      </c>
      <c r="BF134" s="13">
        <f t="shared" si="145"/>
        <v>61.39816832228076</v>
      </c>
      <c r="BG134" s="20">
        <f t="shared" si="115"/>
        <v>548.96387316130563</v>
      </c>
      <c r="BH134" s="59">
        <f t="shared" si="116"/>
        <v>842.29720649463889</v>
      </c>
      <c r="BI134" s="59">
        <f ca="1">AVERAGE(OFFSET($BH$3,0,0,'Données projet'!$E$11+1,1))-AVERAGE(OFFSET($H$3,0,0,'Données projet'!$E$11+1,1))</f>
        <v>273.69926316253162</v>
      </c>
      <c r="BJ134" s="59">
        <f t="shared" si="146"/>
        <v>270.78513558650451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16.309061131930353</v>
      </c>
      <c r="BQ134" s="21">
        <f>EXP(-LN(2)/25)*BQ133+(1-EXP(-LN(2)/25))/(LN(2)/25)*Calculateur!BL134*Calculateur!BN134*VLOOKUP('Données projet'!$B$11,Paramètres!$A$1:$I$89,3,0)*0.475*44/12</f>
        <v>1.8347688855724467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18.1438300175028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6.0711538461538508</v>
      </c>
      <c r="BY134" s="12">
        <f>IF('Données projet'!$A$114&gt;35,BY133+BX134-CG133,IF(A134&lt;'Données projet'!$A$114,$BV$205^A134,IF(A134='Données projet'!$A$114,'Données projet'!$B$114,BY133+BX134-CG133)))</f>
        <v>313.63910256410225</v>
      </c>
      <c r="BZ134" s="13">
        <f>BY134*VLOOKUP('Données projet'!$B$12,Paramètres!$A$1:$I$89,3,0)*VLOOKUP('Données projet'!$B$12,Paramètres!$A$1:$I$89,5,0)</f>
        <v>283.78065999999973</v>
      </c>
      <c r="CA134" s="13">
        <f t="shared" si="147"/>
        <v>67.76534629847545</v>
      </c>
      <c r="CB134" s="20">
        <f t="shared" si="118"/>
        <v>612.27596096984428</v>
      </c>
      <c r="CC134" s="59">
        <f t="shared" si="119"/>
        <v>905.60929430317765</v>
      </c>
      <c r="CD134" s="59">
        <f ca="1">AVERAGE(OFFSET($CC$3,0,0,'Données projet'!$E$12+1,1))-AVERAGE(OFFSET($H$3,0,0,'Données projet'!$E$12+1,1))</f>
        <v>302.4170391346459</v>
      </c>
      <c r="CE134" s="59">
        <f t="shared" si="148"/>
        <v>114.18498182856115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40.192319246564388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40.192319246564388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194.89717355535993</v>
      </c>
      <c r="T135" s="59">
        <f t="shared" si="142"/>
        <v>195.422737562245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31.171092121431151</v>
      </c>
      <c r="AA135" s="21">
        <f>EXP(-LN(2)/25)*AA134+(1-EXP(-LN(2)/25))/(LN(2)/25)*Calculateur!V135*Calculateur!X135*VLOOKUP('Données projet'!$B$9,Paramètres!$A$1:$I$89,3,0)*0.475*44/12</f>
        <v>4.9571605502109515</v>
      </c>
      <c r="AB135" s="21">
        <f>EXP(-LN(2)/2)*AB134+(1-EXP(-LN(2)/2))/(LN(2)/2)*V135*Y135*VLOOKUP('Données projet'!$B$9,Paramètres!$A$1:$I$89,3,0)*0.475*44/12</f>
        <v>4.5807338944757607E-10</v>
      </c>
      <c r="AC135" s="22">
        <f t="shared" si="111"/>
        <v>36.128252672100174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253.79640000000001</v>
      </c>
      <c r="BF135" s="13">
        <f t="shared" si="145"/>
        <v>61.39816832228076</v>
      </c>
      <c r="BG135" s="20">
        <f t="shared" si="115"/>
        <v>548.96387316130563</v>
      </c>
      <c r="BH135" s="59">
        <f t="shared" si="116"/>
        <v>842.29720649463889</v>
      </c>
      <c r="BI135" s="59">
        <f ca="1">AVERAGE(OFFSET($BH$3,0,0,'Données projet'!$E$11+1,1))-AVERAGE(OFFSET($H$3,0,0,'Données projet'!$E$11+1,1))</f>
        <v>273.69926316253162</v>
      </c>
      <c r="BJ135" s="59">
        <f t="shared" si="146"/>
        <v>270.78513558650451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15.989250390678251</v>
      </c>
      <c r="BQ135" s="21">
        <f>EXP(-LN(2)/25)*BQ134+(1-EXP(-LN(2)/25))/(LN(2)/25)*Calculateur!BL135*Calculateur!BN135*VLOOKUP('Données projet'!$B$11,Paramètres!$A$1:$I$89,3,0)*0.475*44/12</f>
        <v>1.7845970339101658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17.773847424588418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6.0711538461538508</v>
      </c>
      <c r="BY135" s="12">
        <f>IF('Données projet'!$A$114&gt;35,BY134+BX135-CG134,IF(A135&lt;'Données projet'!$A$114,$BV$205^A135,IF(A135='Données projet'!$A$114,'Données projet'!$B$114,BY134+BX135-CG134)))</f>
        <v>319.71025641025608</v>
      </c>
      <c r="BZ135" s="13">
        <f>BY135*VLOOKUP('Données projet'!$B$12,Paramètres!$A$1:$I$89,3,0)*VLOOKUP('Données projet'!$B$12,Paramètres!$A$1:$I$89,5,0)</f>
        <v>289.27383999999967</v>
      </c>
      <c r="CA135" s="13">
        <f t="shared" si="147"/>
        <v>68.923105795388125</v>
      </c>
      <c r="CB135" s="20">
        <f t="shared" si="118"/>
        <v>623.8596805936337</v>
      </c>
      <c r="CC135" s="59">
        <f t="shared" si="119"/>
        <v>917.19301392696707</v>
      </c>
      <c r="CD135" s="59">
        <f ca="1">AVERAGE(OFFSET($CC$3,0,0,'Données projet'!$E$12+1,1))-AVERAGE(OFFSET($H$3,0,0,'Données projet'!$E$12+1,1))</f>
        <v>302.4170391346459</v>
      </c>
      <c r="CE135" s="59">
        <f t="shared" si="148"/>
        <v>114.18498182856115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39.404172381033355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39.404172381033355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194.89717355535993</v>
      </c>
      <c r="T136" s="59">
        <f t="shared" si="142"/>
        <v>195.422737562245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30.559846017418753</v>
      </c>
      <c r="AA136" s="21">
        <f>EXP(-LN(2)/25)*AA135+(1-EXP(-LN(2)/25))/(LN(2)/25)*Calculateur!V136*Calculateur!X136*VLOOKUP('Données projet'!$B$9,Paramètres!$A$1:$I$89,3,0)*0.475*44/12</f>
        <v>4.8216067342796896</v>
      </c>
      <c r="AB136" s="21">
        <f>EXP(-LN(2)/2)*AB135+(1-EXP(-LN(2)/2))/(LN(2)/2)*V136*Y136*VLOOKUP('Données projet'!$B$9,Paramètres!$A$1:$I$89,3,0)*0.475*44/12</f>
        <v>3.2390679995948737E-10</v>
      </c>
      <c r="AC136" s="22">
        <f t="shared" si="111"/>
        <v>35.381452752022348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253.79640000000001</v>
      </c>
      <c r="BF136" s="13">
        <f t="shared" si="145"/>
        <v>61.39816832228076</v>
      </c>
      <c r="BG136" s="20">
        <f t="shared" si="115"/>
        <v>548.96387316130563</v>
      </c>
      <c r="BH136" s="59">
        <f t="shared" si="116"/>
        <v>842.29720649463889</v>
      </c>
      <c r="BI136" s="59">
        <f ca="1">AVERAGE(OFFSET($BH$3,0,0,'Données projet'!$E$11+1,1))-AVERAGE(OFFSET($H$3,0,0,'Données projet'!$E$11+1,1))</f>
        <v>273.69926316253162</v>
      </c>
      <c r="BJ136" s="59">
        <f t="shared" si="146"/>
        <v>270.78513558650451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15.675710942996812</v>
      </c>
      <c r="BQ136" s="21">
        <f>EXP(-LN(2)/25)*BQ135+(1-EXP(-LN(2)/25))/(LN(2)/25)*Calculateur!BL136*Calculateur!BN136*VLOOKUP('Données projet'!$B$11,Paramètres!$A$1:$I$89,3,0)*0.475*44/12</f>
        <v>1.7357971341700131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17.411508077166825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6.0711538461538508</v>
      </c>
      <c r="BY136" s="12">
        <f>IF('Données projet'!$A$114&gt;35,BY135+BX136-CG135,IF(A136&lt;'Données projet'!$A$114,$BV$205^A136,IF(A136='Données projet'!$A$114,'Données projet'!$B$114,BY135+BX136-CG135)))</f>
        <v>325.78141025640991</v>
      </c>
      <c r="BZ136" s="13">
        <f>BY136*VLOOKUP('Données projet'!$B$12,Paramètres!$A$1:$I$89,3,0)*VLOOKUP('Données projet'!$B$12,Paramètres!$A$1:$I$89,5,0)</f>
        <v>294.76701999999966</v>
      </c>
      <c r="CA136" s="13">
        <f t="shared" si="147"/>
        <v>70.078308863481737</v>
      </c>
      <c r="CB136" s="20">
        <f t="shared" si="118"/>
        <v>635.43894777056346</v>
      </c>
      <c r="CC136" s="59">
        <f t="shared" si="119"/>
        <v>928.77228110389683</v>
      </c>
      <c r="CD136" s="59">
        <f ca="1">AVERAGE(OFFSET($CC$3,0,0,'Données projet'!$E$12+1,1))-AVERAGE(OFFSET($H$3,0,0,'Données projet'!$E$12+1,1))</f>
        <v>302.4170391346459</v>
      </c>
      <c r="CE136" s="59">
        <f t="shared" si="148"/>
        <v>114.18498182856115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38.631480594813269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38.631480594813269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194.89717355535993</v>
      </c>
      <c r="T137" s="59">
        <f t="shared" si="142"/>
        <v>195.422737562245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29.960586076682727</v>
      </c>
      <c r="AA137" s="21">
        <f>EXP(-LN(2)/25)*AA136+(1-EXP(-LN(2)/25))/(LN(2)/25)*Calculateur!V137*Calculateur!X137*VLOOKUP('Données projet'!$B$9,Paramètres!$A$1:$I$89,3,0)*0.475*44/12</f>
        <v>4.6897596445735328</v>
      </c>
      <c r="AB137" s="21">
        <f>EXP(-LN(2)/2)*AB136+(1-EXP(-LN(2)/2))/(LN(2)/2)*V137*Y137*VLOOKUP('Données projet'!$B$9,Paramètres!$A$1:$I$89,3,0)*0.475*44/12</f>
        <v>2.2903669472378806E-10</v>
      </c>
      <c r="AC137" s="22">
        <f t="shared" si="111"/>
        <v>34.650345721485294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253.79640000000001</v>
      </c>
      <c r="BF137" s="13">
        <f t="shared" si="145"/>
        <v>61.39816832228076</v>
      </c>
      <c r="BG137" s="20">
        <f t="shared" si="115"/>
        <v>548.96387316130563</v>
      </c>
      <c r="BH137" s="59">
        <f t="shared" si="116"/>
        <v>842.29720649463889</v>
      </c>
      <c r="BI137" s="59">
        <f ca="1">AVERAGE(OFFSET($BH$3,0,0,'Données projet'!$E$11+1,1))-AVERAGE(OFFSET($H$3,0,0,'Données projet'!$E$11+1,1))</f>
        <v>273.69926316253162</v>
      </c>
      <c r="BJ137" s="59">
        <f t="shared" si="146"/>
        <v>270.78513558650451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15.368319812644225</v>
      </c>
      <c r="BQ137" s="21">
        <f>EXP(-LN(2)/25)*BQ136+(1-EXP(-LN(2)/25))/(LN(2)/25)*Calculateur!BL137*Calculateur!BN137*VLOOKUP('Données projet'!$B$11,Paramètres!$A$1:$I$89,3,0)*0.475*44/12</f>
        <v>1.6883316702545301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17.056651482898754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331.85256410256414</v>
      </c>
      <c r="BW137" s="12">
        <f>VLOOKUP(A137,'Données projet'!$A$113:$I$133,9,0)</f>
        <v>6.0711538461538508</v>
      </c>
      <c r="BX137" s="12">
        <f t="array" ref="BX137">INDEX(BW:BW,MIN(IF(ISNUMBER(BW137:BW333),ROW(BW137:BW333),"")))</f>
        <v>6.0711538461538508</v>
      </c>
      <c r="BY137" s="12">
        <f>IF('Données projet'!$A$114&gt;35,BY136+BX137-CG136,IF(A137&lt;'Données projet'!$A$114,$BV$205^A137,IF(A137='Données projet'!$A$114,'Données projet'!$B$114,BY136+BX137-CG136)))</f>
        <v>331.85256410256375</v>
      </c>
      <c r="BZ137" s="13">
        <f>BY137*VLOOKUP('Données projet'!$B$12,Paramètres!$A$1:$I$89,3,0)*VLOOKUP('Données projet'!$B$12,Paramètres!$A$1:$I$89,5,0)</f>
        <v>300.26019999999971</v>
      </c>
      <c r="CA137" s="13">
        <f t="shared" si="147"/>
        <v>71.231008637455531</v>
      </c>
      <c r="CB137" s="20">
        <f t="shared" si="118"/>
        <v>647.0138550435679</v>
      </c>
      <c r="CC137" s="59">
        <f t="shared" si="119"/>
        <v>940.34718837690116</v>
      </c>
      <c r="CD137" s="59">
        <f ca="1">AVERAGE(OFFSET($CC$3,0,0,'Données projet'!$E$12+1,1))-AVERAGE(OFFSET($H$3,0,0,'Données projet'!$E$12+1,1))</f>
        <v>302.4170391346459</v>
      </c>
      <c r="CE137" s="59">
        <f t="shared" si="148"/>
        <v>114.18498182856115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41.666666666666664</v>
      </c>
      <c r="CH137" s="16">
        <f>IF(ISNA(VLOOKUP(A137,'Données projet'!$A$113:$I$133,5,0)),0%,VLOOKUP(A137,'Données projet'!$A$113:$I$133,5,0)*VLOOKUP('Données projet'!$B$12,Paramètres!$A$1:$I$89,7,0))</f>
        <v>0.30099999999999999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50.418487049051564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50.418487049051564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194.89717355535993</v>
      </c>
      <c r="T138" s="59">
        <f t="shared" si="142"/>
        <v>195.422737562245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29.373077257872062</v>
      </c>
      <c r="AA138" s="21">
        <f>EXP(-LN(2)/25)*AA137+(1-EXP(-LN(2)/25))/(LN(2)/25)*Calculateur!V138*Calculateur!X138*VLOOKUP('Données projet'!$B$9,Paramètres!$A$1:$I$89,3,0)*0.475*44/12</f>
        <v>4.561517920468928</v>
      </c>
      <c r="AB138" s="21">
        <f>EXP(-LN(2)/2)*AB137+(1-EXP(-LN(2)/2))/(LN(2)/2)*V138*Y138*VLOOKUP('Données projet'!$B$9,Paramètres!$A$1:$I$89,3,0)*0.475*44/12</f>
        <v>1.6195339997974371E-10</v>
      </c>
      <c r="AC138" s="22">
        <f t="shared" si="111"/>
        <v>33.934595178502946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253.79640000000001</v>
      </c>
      <c r="BF138" s="13">
        <f t="shared" si="145"/>
        <v>61.39816832228076</v>
      </c>
      <c r="BG138" s="20">
        <f t="shared" si="115"/>
        <v>548.96387316130563</v>
      </c>
      <c r="BH138" s="59">
        <f t="shared" si="116"/>
        <v>842.29720649463889</v>
      </c>
      <c r="BI138" s="59">
        <f ca="1">AVERAGE(OFFSET($BH$3,0,0,'Données projet'!$E$11+1,1))-AVERAGE(OFFSET($H$3,0,0,'Données projet'!$E$11+1,1))</f>
        <v>273.69926316253162</v>
      </c>
      <c r="BJ138" s="59">
        <f t="shared" si="146"/>
        <v>270.78513558650451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15.066956434867777</v>
      </c>
      <c r="BQ138" s="21">
        <f>EXP(-LN(2)/25)*BQ137+(1-EXP(-LN(2)/25))/(LN(2)/25)*Calculateur!BL138*Calculateur!BN138*VLOOKUP('Données projet'!$B$11,Paramètres!$A$1:$I$89,3,0)*0.475*44/12</f>
        <v>1.6421641519459163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16.709120586813693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6.1378205128205137</v>
      </c>
      <c r="BY138" s="12">
        <f>IF('Données projet'!$A$114&gt;35,BY137+BX138-CG137,IF(A138&lt;'Données projet'!$A$114,$BV$205^A138,IF(A138='Données projet'!$A$114,'Données projet'!$B$114,BY137+BX138-CG137)))</f>
        <v>296.32371794871756</v>
      </c>
      <c r="BZ138" s="13">
        <f>BY138*VLOOKUP('Données projet'!$B$12,Paramètres!$A$1:$I$89,3,0)*VLOOKUP('Données projet'!$B$12,Paramètres!$A$1:$I$89,5,0)</f>
        <v>268.1136999999996</v>
      </c>
      <c r="CA138" s="13">
        <f t="shared" si="147"/>
        <v>64.448785624791412</v>
      </c>
      <c r="CB138" s="20">
        <f t="shared" si="118"/>
        <v>579.21299579651088</v>
      </c>
      <c r="CC138" s="59">
        <f t="shared" si="119"/>
        <v>872.54632912984425</v>
      </c>
      <c r="CD138" s="59">
        <f ca="1">AVERAGE(OFFSET($CC$3,0,0,'Données projet'!$E$12+1,1))-AVERAGE(OFFSET($H$3,0,0,'Données projet'!$E$12+1,1))</f>
        <v>302.4170391346459</v>
      </c>
      <c r="CE138" s="59">
        <f t="shared" si="148"/>
        <v>114.18498182856115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49.429811270260231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49.429811270260231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194.89717355535993</v>
      </c>
      <c r="T139" s="59">
        <f t="shared" si="142"/>
        <v>195.422737562245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28.79708912865328</v>
      </c>
      <c r="AA139" s="21">
        <f>EXP(-LN(2)/25)*AA138+(1-EXP(-LN(2)/25))/(LN(2)/25)*Calculateur!V139*Calculateur!X139*VLOOKUP('Données projet'!$B$9,Paramètres!$A$1:$I$89,3,0)*0.475*44/12</f>
        <v>4.4367829730539032</v>
      </c>
      <c r="AB139" s="21">
        <f>EXP(-LN(2)/2)*AB138+(1-EXP(-LN(2)/2))/(LN(2)/2)*V139*Y139*VLOOKUP('Données projet'!$B$9,Paramètres!$A$1:$I$89,3,0)*0.475*44/12</f>
        <v>1.1451834736189406E-10</v>
      </c>
      <c r="AC139" s="22">
        <f t="shared" si="111"/>
        <v>33.233872101821703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253.79640000000001</v>
      </c>
      <c r="BF139" s="13">
        <f t="shared" si="145"/>
        <v>61.39816832228076</v>
      </c>
      <c r="BG139" s="20">
        <f t="shared" si="115"/>
        <v>548.96387316130563</v>
      </c>
      <c r="BH139" s="59">
        <f t="shared" si="116"/>
        <v>842.29720649463889</v>
      </c>
      <c r="BI139" s="59">
        <f ca="1">AVERAGE(OFFSET($BH$3,0,0,'Données projet'!$E$11+1,1))-AVERAGE(OFFSET($H$3,0,0,'Données projet'!$E$11+1,1))</f>
        <v>273.69926316253162</v>
      </c>
      <c r="BJ139" s="59">
        <f t="shared" si="146"/>
        <v>270.78513558650451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14.771502609116014</v>
      </c>
      <c r="BQ139" s="21">
        <f>EXP(-LN(2)/25)*BQ138+(1-EXP(-LN(2)/25))/(LN(2)/25)*Calculateur!BL139*Calculateur!BN139*VLOOKUP('Données projet'!$B$11,Paramètres!$A$1:$I$89,3,0)*0.475*44/12</f>
        <v>1.5972590868532957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16.368761695969312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6.1378205128205137</v>
      </c>
      <c r="BY139" s="12">
        <f>IF('Données projet'!$A$114&gt;35,BY138+BX139-CG138,IF(A139&lt;'Données projet'!$A$114,$BV$205^A139,IF(A139='Données projet'!$A$114,'Données projet'!$B$114,BY138+BX139-CG138)))</f>
        <v>302.46153846153805</v>
      </c>
      <c r="BZ139" s="13">
        <f>BY139*VLOOKUP('Données projet'!$B$12,Paramètres!$A$1:$I$89,3,0)*VLOOKUP('Données projet'!$B$12,Paramètres!$A$1:$I$89,5,0)</f>
        <v>273.66719999999964</v>
      </c>
      <c r="CA139" s="13">
        <f t="shared" si="147"/>
        <v>65.62692955621516</v>
      </c>
      <c r="CB139" s="20">
        <f t="shared" si="118"/>
        <v>590.93727564374069</v>
      </c>
      <c r="CC139" s="59">
        <f t="shared" si="119"/>
        <v>884.27060897707406</v>
      </c>
      <c r="CD139" s="59">
        <f ca="1">AVERAGE(OFFSET($CC$3,0,0,'Données projet'!$E$12+1,1))-AVERAGE(OFFSET($H$3,0,0,'Données projet'!$E$12+1,1))</f>
        <v>302.4170391346459</v>
      </c>
      <c r="CE139" s="59">
        <f t="shared" si="148"/>
        <v>114.18498182856115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48.460522820458316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48.460522820458316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194.89717355535993</v>
      </c>
      <c r="T140" s="59">
        <f t="shared" si="142"/>
        <v>195.422737562245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28.232395775330406</v>
      </c>
      <c r="AA140" s="21">
        <f>EXP(-LN(2)/25)*AA139+(1-EXP(-LN(2)/25))/(LN(2)/25)*Calculateur!V140*Calculateur!X140*VLOOKUP('Données projet'!$B$9,Paramètres!$A$1:$I$89,3,0)*0.475*44/12</f>
        <v>4.3154589093354678</v>
      </c>
      <c r="AB140" s="21">
        <f>EXP(-LN(2)/2)*AB139+(1-EXP(-LN(2)/2))/(LN(2)/2)*V140*Y140*VLOOKUP('Données projet'!$B$9,Paramètres!$A$1:$I$89,3,0)*0.475*44/12</f>
        <v>8.0976699989871867E-11</v>
      </c>
      <c r="AC140" s="22">
        <f t="shared" si="111"/>
        <v>32.547854684746845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253.79640000000001</v>
      </c>
      <c r="BF140" s="13">
        <f t="shared" si="145"/>
        <v>61.39816832228076</v>
      </c>
      <c r="BG140" s="20">
        <f t="shared" si="115"/>
        <v>548.96387316130563</v>
      </c>
      <c r="BH140" s="59">
        <f t="shared" si="116"/>
        <v>842.29720649463889</v>
      </c>
      <c r="BI140" s="59">
        <f ca="1">AVERAGE(OFFSET($BH$3,0,0,'Données projet'!$E$11+1,1))-AVERAGE(OFFSET($H$3,0,0,'Données projet'!$E$11+1,1))</f>
        <v>273.69926316253162</v>
      </c>
      <c r="BJ140" s="59">
        <f t="shared" si="146"/>
        <v>270.78513558650451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14.481842452678205</v>
      </c>
      <c r="BQ140" s="21">
        <f>EXP(-LN(2)/25)*BQ139+(1-EXP(-LN(2)/25))/(LN(2)/25)*Calculateur!BL140*Calculateur!BN140*VLOOKUP('Données projet'!$B$11,Paramètres!$A$1:$I$89,3,0)*0.475*44/12</f>
        <v>1.5535819531270876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16.035424405805291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6.1378205128205137</v>
      </c>
      <c r="BY140" s="12">
        <f>IF('Données projet'!$A$114&gt;35,BY139+BX140-CG139,IF(A140&lt;'Données projet'!$A$114,$BV$205^A140,IF(A140='Données projet'!$A$114,'Données projet'!$B$114,BY139+BX140-CG139)))</f>
        <v>308.59935897435855</v>
      </c>
      <c r="BZ140" s="13">
        <f>BY140*VLOOKUP('Données projet'!$B$12,Paramètres!$A$1:$I$89,3,0)*VLOOKUP('Données projet'!$B$12,Paramètres!$A$1:$I$89,5,0)</f>
        <v>279.22069999999962</v>
      </c>
      <c r="CA140" s="13">
        <f t="shared" si="147"/>
        <v>66.80229368446598</v>
      </c>
      <c r="CB140" s="20">
        <f t="shared" si="118"/>
        <v>602.65671400044437</v>
      </c>
      <c r="CC140" s="59">
        <f t="shared" si="119"/>
        <v>895.99004733377774</v>
      </c>
      <c r="CD140" s="59">
        <f ca="1">AVERAGE(OFFSET($CC$3,0,0,'Données projet'!$E$12+1,1))-AVERAGE(OFFSET($H$3,0,0,'Données projet'!$E$12+1,1))</f>
        <v>302.4170391346459</v>
      </c>
      <c r="CE140" s="59">
        <f t="shared" si="148"/>
        <v>114.18498182856115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47.510241525949439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47.510241525949439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194.89717355535993</v>
      </c>
      <c r="T141" s="59">
        <f t="shared" si="142"/>
        <v>195.422737562245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27.678775714237261</v>
      </c>
      <c r="AA141" s="21">
        <f>EXP(-LN(2)/25)*AA140+(1-EXP(-LN(2)/25))/(LN(2)/25)*Calculateur!V141*Calculateur!X141*VLOOKUP('Données projet'!$B$9,Paramètres!$A$1:$I$89,3,0)*0.475*44/12</f>
        <v>4.1974524585195683</v>
      </c>
      <c r="AB141" s="21">
        <f>EXP(-LN(2)/2)*AB140+(1-EXP(-LN(2)/2))/(LN(2)/2)*V141*Y141*VLOOKUP('Données projet'!$B$9,Paramètres!$A$1:$I$89,3,0)*0.475*44/12</f>
        <v>5.7259173680947034E-11</v>
      </c>
      <c r="AC141" s="22">
        <f t="shared" si="111"/>
        <v>31.876228172814088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253.79640000000001</v>
      </c>
      <c r="BF141" s="13">
        <f t="shared" si="145"/>
        <v>61.39816832228076</v>
      </c>
      <c r="BG141" s="20">
        <f t="shared" si="115"/>
        <v>548.96387316130563</v>
      </c>
      <c r="BH141" s="59">
        <f t="shared" si="116"/>
        <v>842.29720649463889</v>
      </c>
      <c r="BI141" s="59">
        <f ca="1">AVERAGE(OFFSET($BH$3,0,0,'Données projet'!$E$11+1,1))-AVERAGE(OFFSET($H$3,0,0,'Données projet'!$E$11+1,1))</f>
        <v>273.69926316253162</v>
      </c>
      <c r="BJ141" s="59">
        <f t="shared" si="146"/>
        <v>270.78513558650451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14.197862355232889</v>
      </c>
      <c r="BQ141" s="21">
        <f>EXP(-LN(2)/25)*BQ140+(1-EXP(-LN(2)/25))/(LN(2)/25)*Calculateur!BL141*Calculateur!BN141*VLOOKUP('Données projet'!$B$11,Paramètres!$A$1:$I$89,3,0)*0.475*44/12</f>
        <v>1.5110991729195031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15.708961528152392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6.1378205128205137</v>
      </c>
      <c r="BY141" s="12">
        <f>IF('Données projet'!$A$114&gt;35,BY140+BX141-CG140,IF(A141&lt;'Données projet'!$A$114,$BV$205^A141,IF(A141='Données projet'!$A$114,'Données projet'!$B$114,BY140+BX141-CG140)))</f>
        <v>314.73717948717905</v>
      </c>
      <c r="BZ141" s="13">
        <f>BY141*VLOOKUP('Données projet'!$B$12,Paramètres!$A$1:$I$89,3,0)*VLOOKUP('Données projet'!$B$12,Paramètres!$A$1:$I$89,5,0)</f>
        <v>284.77419999999955</v>
      </c>
      <c r="CA141" s="13">
        <f t="shared" si="147"/>
        <v>67.974939670209011</v>
      </c>
      <c r="CB141" s="20">
        <f t="shared" si="118"/>
        <v>614.37141825894662</v>
      </c>
      <c r="CC141" s="59">
        <f t="shared" si="119"/>
        <v>907.70475159227999</v>
      </c>
      <c r="CD141" s="59">
        <f ca="1">AVERAGE(OFFSET($CC$3,0,0,'Données projet'!$E$12+1,1))-AVERAGE(OFFSET($H$3,0,0,'Données projet'!$E$12+1,1))</f>
        <v>302.4170391346459</v>
      </c>
      <c r="CE141" s="59">
        <f t="shared" si="148"/>
        <v>114.18498182856115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46.578594668011526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46.578594668011526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194.89717355535993</v>
      </c>
      <c r="T142" s="59">
        <f t="shared" si="142"/>
        <v>195.422737562245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27.136011804867255</v>
      </c>
      <c r="AA142" s="21">
        <f>EXP(-LN(2)/25)*AA141+(1-EXP(-LN(2)/25))/(LN(2)/25)*Calculateur!V142*Calculateur!X142*VLOOKUP('Données projet'!$B$9,Paramètres!$A$1:$I$89,3,0)*0.475*44/12</f>
        <v>4.0826729003069193</v>
      </c>
      <c r="AB142" s="21">
        <f>EXP(-LN(2)/2)*AB141+(1-EXP(-LN(2)/2))/(LN(2)/2)*V142*Y142*VLOOKUP('Données projet'!$B$9,Paramètres!$A$1:$I$89,3,0)*0.475*44/12</f>
        <v>4.048834999493594E-11</v>
      </c>
      <c r="AC142" s="22">
        <f t="shared" si="111"/>
        <v>31.218684705214663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253.79640000000001</v>
      </c>
      <c r="BF142" s="13">
        <f t="shared" si="145"/>
        <v>61.39816832228076</v>
      </c>
      <c r="BG142" s="20">
        <f t="shared" si="115"/>
        <v>548.96387316130563</v>
      </c>
      <c r="BH142" s="59">
        <f t="shared" si="116"/>
        <v>842.29720649463889</v>
      </c>
      <c r="BI142" s="59">
        <f ca="1">AVERAGE(OFFSET($BH$3,0,0,'Données projet'!$E$11+1,1))-AVERAGE(OFFSET($H$3,0,0,'Données projet'!$E$11+1,1))</f>
        <v>273.69926316253162</v>
      </c>
      <c r="BJ142" s="59">
        <f t="shared" si="146"/>
        <v>270.78513558650451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13.91945093428772</v>
      </c>
      <c r="BQ142" s="21">
        <f>EXP(-LN(2)/25)*BQ141+(1-EXP(-LN(2)/25))/(LN(2)/25)*Calculateur!BL142*Calculateur!BN142*VLOOKUP('Données projet'!$B$11,Paramètres!$A$1:$I$89,3,0)*0.475*44/12</f>
        <v>1.4697780865707675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15.389229020858489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6.1378205128205137</v>
      </c>
      <c r="BY142" s="12">
        <f>IF('Données projet'!$A$114&gt;35,BY141+BX142-CG141,IF(A142&lt;'Données projet'!$A$114,$BV$205^A142,IF(A142='Données projet'!$A$114,'Données projet'!$B$114,BY141+BX142-CG141)))</f>
        <v>320.87499999999955</v>
      </c>
      <c r="BZ142" s="13">
        <f>BY142*VLOOKUP('Données projet'!$B$12,Paramètres!$A$1:$I$89,3,0)*VLOOKUP('Données projet'!$B$12,Paramètres!$A$1:$I$89,5,0)</f>
        <v>290.3276999999996</v>
      </c>
      <c r="CA142" s="13">
        <f t="shared" si="147"/>
        <v>69.144926631604633</v>
      </c>
      <c r="CB142" s="20">
        <f t="shared" si="118"/>
        <v>626.08149138337728</v>
      </c>
      <c r="CC142" s="59">
        <f t="shared" si="119"/>
        <v>919.41482471671065</v>
      </c>
      <c r="CD142" s="59">
        <f ca="1">AVERAGE(OFFSET($CC$3,0,0,'Données projet'!$E$12+1,1))-AVERAGE(OFFSET($H$3,0,0,'Données projet'!$E$12+1,1))</f>
        <v>302.4170391346459</v>
      </c>
      <c r="CE142" s="59">
        <f t="shared" si="148"/>
        <v>114.18498182856115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45.665216836709298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45.665216836709298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194.89717355535993</v>
      </c>
      <c r="T143" s="59">
        <f t="shared" si="142"/>
        <v>195.422737562245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26.603891164706702</v>
      </c>
      <c r="AA143" s="21">
        <f>EXP(-LN(2)/25)*AA142+(1-EXP(-LN(2)/25))/(LN(2)/25)*Calculateur!V143*Calculateur!X143*VLOOKUP('Données projet'!$B$9,Paramètres!$A$1:$I$89,3,0)*0.475*44/12</f>
        <v>3.9710319951495898</v>
      </c>
      <c r="AB143" s="21">
        <f>EXP(-LN(2)/2)*AB142+(1-EXP(-LN(2)/2))/(LN(2)/2)*V143*Y143*VLOOKUP('Données projet'!$B$9,Paramètres!$A$1:$I$89,3,0)*0.475*44/12</f>
        <v>2.8629586840473524E-11</v>
      </c>
      <c r="AC143" s="22">
        <f t="shared" si="111"/>
        <v>30.574923159884925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253.79640000000001</v>
      </c>
      <c r="BF143" s="13">
        <f t="shared" si="145"/>
        <v>61.39816832228076</v>
      </c>
      <c r="BG143" s="20">
        <f t="shared" si="115"/>
        <v>548.96387316130563</v>
      </c>
      <c r="BH143" s="59">
        <f t="shared" si="116"/>
        <v>842.29720649463889</v>
      </c>
      <c r="BI143" s="59">
        <f ca="1">AVERAGE(OFFSET($BH$3,0,0,'Données projet'!$E$11+1,1))-AVERAGE(OFFSET($H$3,0,0,'Données projet'!$E$11+1,1))</f>
        <v>273.69926316253162</v>
      </c>
      <c r="BJ143" s="59">
        <f t="shared" si="146"/>
        <v>270.78513558650451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13.646498991493088</v>
      </c>
      <c r="BQ143" s="21">
        <f>EXP(-LN(2)/25)*BQ142+(1-EXP(-LN(2)/25))/(LN(2)/25)*Calculateur!BL143*Calculateur!BN143*VLOOKUP('Données projet'!$B$11,Paramètres!$A$1:$I$89,3,0)*0.475*44/12</f>
        <v>1.4295869275012194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15.076085918994307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6.1378205128205137</v>
      </c>
      <c r="BY143" s="12">
        <f>IF('Données projet'!$A$114&gt;35,BY142+BX143-CG142,IF(A143&lt;'Données projet'!$A$114,$BV$205^A143,IF(A143='Données projet'!$A$114,'Données projet'!$B$114,BY142+BX143-CG142)))</f>
        <v>327.01282051282004</v>
      </c>
      <c r="BZ143" s="13">
        <f>BY143*VLOOKUP('Données projet'!$B$12,Paramètres!$A$1:$I$89,3,0)*VLOOKUP('Données projet'!$B$12,Paramètres!$A$1:$I$89,5,0)</f>
        <v>295.88119999999958</v>
      </c>
      <c r="CA143" s="13">
        <f t="shared" si="147"/>
        <v>70.31231129573932</v>
      </c>
      <c r="CB143" s="20">
        <f t="shared" si="118"/>
        <v>637.78703217341183</v>
      </c>
      <c r="CC143" s="59">
        <f t="shared" si="119"/>
        <v>931.1203655067452</v>
      </c>
      <c r="CD143" s="59">
        <f ca="1">AVERAGE(OFFSET($CC$3,0,0,'Données projet'!$E$12+1,1))-AVERAGE(OFFSET($H$3,0,0,'Données projet'!$E$12+1,1))</f>
        <v>302.4170391346459</v>
      </c>
      <c r="CE143" s="59">
        <f t="shared" si="148"/>
        <v>114.18498182856115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44.769749787573438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44.769749787573438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194.89717355535993</v>
      </c>
      <c r="T144" s="59">
        <f t="shared" si="142"/>
        <v>195.422737562245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26.082205085738153</v>
      </c>
      <c r="AA144" s="21">
        <f>EXP(-LN(2)/25)*AA143+(1-EXP(-LN(2)/25))/(LN(2)/25)*Calculateur!V144*Calculateur!X144*VLOOKUP('Données projet'!$B$9,Paramètres!$A$1:$I$89,3,0)*0.475*44/12</f>
        <v>3.8624439164147275</v>
      </c>
      <c r="AB144" s="21">
        <f>EXP(-LN(2)/2)*AB143+(1-EXP(-LN(2)/2))/(LN(2)/2)*V144*Y144*VLOOKUP('Données projet'!$B$9,Paramètres!$A$1:$I$89,3,0)*0.475*44/12</f>
        <v>2.0244174997467973E-11</v>
      </c>
      <c r="AC144" s="22">
        <f t="shared" si="111"/>
        <v>29.944649002173122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253.79640000000001</v>
      </c>
      <c r="BF144" s="13">
        <f t="shared" si="145"/>
        <v>61.39816832228076</v>
      </c>
      <c r="BG144" s="20">
        <f t="shared" si="115"/>
        <v>548.96387316130563</v>
      </c>
      <c r="BH144" s="59">
        <f t="shared" si="116"/>
        <v>842.29720649463889</v>
      </c>
      <c r="BI144" s="59">
        <f ca="1">AVERAGE(OFFSET($BH$3,0,0,'Données projet'!$E$11+1,1))-AVERAGE(OFFSET($H$3,0,0,'Données projet'!$E$11+1,1))</f>
        <v>273.69926316253162</v>
      </c>
      <c r="BJ144" s="59">
        <f t="shared" si="146"/>
        <v>270.78513558650451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13.378899469812412</v>
      </c>
      <c r="BQ144" s="21">
        <f>EXP(-LN(2)/25)*BQ143+(1-EXP(-LN(2)/25))/(LN(2)/25)*Calculateur!BL144*Calculateur!BN144*VLOOKUP('Données projet'!$B$11,Paramètres!$A$1:$I$89,3,0)*0.475*44/12</f>
        <v>1.3904947977899893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14.769394267602401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6.1378205128205137</v>
      </c>
      <c r="BY144" s="12">
        <f>IF('Données projet'!$A$114&gt;35,BY143+BX144-CG143,IF(A144&lt;'Données projet'!$A$114,$BV$205^A144,IF(A144='Données projet'!$A$114,'Données projet'!$B$114,BY143+BX144-CG143)))</f>
        <v>333.15064102564054</v>
      </c>
      <c r="BZ144" s="13">
        <f>BY144*VLOOKUP('Données projet'!$B$12,Paramètres!$A$1:$I$89,3,0)*VLOOKUP('Données projet'!$B$12,Paramètres!$A$1:$I$89,5,0)</f>
        <v>301.43469999999951</v>
      </c>
      <c r="CA144" s="13">
        <f t="shared" si="147"/>
        <v>71.477148138366914</v>
      </c>
      <c r="CB144" s="20">
        <f t="shared" si="118"/>
        <v>649.48813550765476</v>
      </c>
      <c r="CC144" s="59">
        <f t="shared" si="119"/>
        <v>942.82146884098802</v>
      </c>
      <c r="CD144" s="59">
        <f ca="1">AVERAGE(OFFSET($CC$3,0,0,'Données projet'!$E$12+1,1))-AVERAGE(OFFSET($H$3,0,0,'Données projet'!$E$12+1,1))</f>
        <v>302.4170391346459</v>
      </c>
      <c r="CE144" s="59">
        <f t="shared" si="148"/>
        <v>114.18498182856115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43.891842301090165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43.891842301090165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194.89717355535993</v>
      </c>
      <c r="T145" s="59">
        <f t="shared" si="142"/>
        <v>195.422737562245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25.570748952581088</v>
      </c>
      <c r="AA145" s="21">
        <f>EXP(-LN(2)/25)*AA144+(1-EXP(-LN(2)/25))/(LN(2)/25)*Calculateur!V145*Calculateur!X145*VLOOKUP('Données projet'!$B$9,Paramètres!$A$1:$I$89,3,0)*0.475*44/12</f>
        <v>3.7568251844032687</v>
      </c>
      <c r="AB145" s="21">
        <f>EXP(-LN(2)/2)*AB144+(1-EXP(-LN(2)/2))/(LN(2)/2)*V145*Y145*VLOOKUP('Données projet'!$B$9,Paramètres!$A$1:$I$89,3,0)*0.475*44/12</f>
        <v>1.4314793420236763E-11</v>
      </c>
      <c r="AC145" s="22">
        <f t="shared" si="111"/>
        <v>29.32757413699867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253.79640000000001</v>
      </c>
      <c r="BF145" s="13">
        <f t="shared" si="145"/>
        <v>61.39816832228076</v>
      </c>
      <c r="BG145" s="20">
        <f t="shared" si="115"/>
        <v>548.96387316130563</v>
      </c>
      <c r="BH145" s="59">
        <f t="shared" si="116"/>
        <v>842.29720649463889</v>
      </c>
      <c r="BI145" s="59">
        <f ca="1">AVERAGE(OFFSET($BH$3,0,0,'Données projet'!$E$11+1,1))-AVERAGE(OFFSET($H$3,0,0,'Données projet'!$E$11+1,1))</f>
        <v>273.69926316253162</v>
      </c>
      <c r="BJ145" s="59">
        <f t="shared" si="146"/>
        <v>270.78513558650451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13.116547411532302</v>
      </c>
      <c r="BQ145" s="21">
        <f>EXP(-LN(2)/25)*BQ144+(1-EXP(-LN(2)/25))/(LN(2)/25)*Calculateur!BL145*Calculateur!BN145*VLOOKUP('Données projet'!$B$11,Paramètres!$A$1:$I$89,3,0)*0.475*44/12</f>
        <v>1.3524716444214786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14.469019055953781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6.1378205128205137</v>
      </c>
      <c r="BY145" s="12">
        <f>IF('Données projet'!$A$114&gt;35,BY144+BX145-CG144,IF(A145&lt;'Données projet'!$A$114,$BV$205^A145,IF(A145='Données projet'!$A$114,'Données projet'!$B$114,BY144+BX145-CG144)))</f>
        <v>339.28846153846104</v>
      </c>
      <c r="BZ145" s="13">
        <f>BY145*VLOOKUP('Données projet'!$B$12,Paramètres!$A$1:$I$89,3,0)*VLOOKUP('Données projet'!$B$12,Paramètres!$A$1:$I$89,5,0)</f>
        <v>306.98819999999955</v>
      </c>
      <c r="CA145" s="13">
        <f t="shared" si="147"/>
        <v>72.639489513059672</v>
      </c>
      <c r="CB145" s="20">
        <f t="shared" si="118"/>
        <v>661.18489256857811</v>
      </c>
      <c r="CC145" s="59">
        <f t="shared" si="119"/>
        <v>954.51822590191136</v>
      </c>
      <c r="CD145" s="59">
        <f ca="1">AVERAGE(OFFSET($CC$3,0,0,'Données projet'!$E$12+1,1))-AVERAGE(OFFSET($H$3,0,0,'Données projet'!$E$12+1,1))</f>
        <v>302.4170391346459</v>
      </c>
      <c r="CE145" s="59">
        <f t="shared" si="148"/>
        <v>114.18498182856115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43.031150044946138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43.031150044946138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194.89717355535993</v>
      </c>
      <c r="T146" s="59">
        <f t="shared" si="142"/>
        <v>195.422737562245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25.069322162237796</v>
      </c>
      <c r="AA146" s="21">
        <f>EXP(-LN(2)/25)*AA145+(1-EXP(-LN(2)/25))/(LN(2)/25)*Calculateur!V146*Calculateur!X146*VLOOKUP('Données projet'!$B$9,Paramètres!$A$1:$I$89,3,0)*0.475*44/12</f>
        <v>3.6540946021729113</v>
      </c>
      <c r="AB146" s="21">
        <f>EXP(-LN(2)/2)*AB145+(1-EXP(-LN(2)/2))/(LN(2)/2)*V146*Y146*VLOOKUP('Données projet'!$B$9,Paramètres!$A$1:$I$89,3,0)*0.475*44/12</f>
        <v>1.0122087498733988E-11</v>
      </c>
      <c r="AC146" s="22">
        <f t="shared" si="111"/>
        <v>28.723416764420829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253.79640000000001</v>
      </c>
      <c r="BF146" s="13">
        <f t="shared" si="145"/>
        <v>61.39816832228076</v>
      </c>
      <c r="BG146" s="20">
        <f t="shared" si="115"/>
        <v>548.96387316130563</v>
      </c>
      <c r="BH146" s="59">
        <f t="shared" si="116"/>
        <v>842.29720649463889</v>
      </c>
      <c r="BI146" s="59">
        <f ca="1">AVERAGE(OFFSET($BH$3,0,0,'Données projet'!$E$11+1,1))-AVERAGE(OFFSET($H$3,0,0,'Données projet'!$E$11+1,1))</f>
        <v>273.69926316253162</v>
      </c>
      <c r="BJ146" s="59">
        <f t="shared" si="146"/>
        <v>270.78513558650451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12.85933991709611</v>
      </c>
      <c r="BQ146" s="21">
        <f>EXP(-LN(2)/25)*BQ145+(1-EXP(-LN(2)/25))/(LN(2)/25)*Calculateur!BL146*Calculateur!BN146*VLOOKUP('Données projet'!$B$11,Paramètres!$A$1:$I$89,3,0)*0.475*44/12</f>
        <v>1.3154882361813807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14.17482815327749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6.1378205128205137</v>
      </c>
      <c r="BY146" s="12">
        <f>IF('Données projet'!$A$114&gt;35,BY145+BX146-CG145,IF(A146&lt;'Données projet'!$A$114,$BV$205^A146,IF(A146='Données projet'!$A$114,'Données projet'!$B$114,BY145+BX146-CG145)))</f>
        <v>345.42628205128153</v>
      </c>
      <c r="BZ146" s="13">
        <f>BY146*VLOOKUP('Données projet'!$B$12,Paramètres!$A$1:$I$89,3,0)*VLOOKUP('Données projet'!$B$12,Paramètres!$A$1:$I$89,5,0)</f>
        <v>312.54169999999954</v>
      </c>
      <c r="CA146" s="13">
        <f t="shared" si="147"/>
        <v>73.79938577074968</v>
      </c>
      <c r="CB146" s="20">
        <f t="shared" si="118"/>
        <v>672.87739105072149</v>
      </c>
      <c r="CC146" s="59">
        <f t="shared" si="119"/>
        <v>966.21072438405486</v>
      </c>
      <c r="CD146" s="59">
        <f ca="1">AVERAGE(OFFSET($CC$3,0,0,'Données projet'!$E$12+1,1))-AVERAGE(OFFSET($H$3,0,0,'Données projet'!$E$12+1,1))</f>
        <v>302.4170391346459</v>
      </c>
      <c r="CE146" s="59">
        <f t="shared" si="148"/>
        <v>114.18498182856115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42.187335438974657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42.187335438974657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194.89717355535993</v>
      </c>
      <c r="T147" s="59">
        <f t="shared" si="142"/>
        <v>195.422737562245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24.577728045412993</v>
      </c>
      <c r="AA147" s="21">
        <f>EXP(-LN(2)/25)*AA146+(1-EXP(-LN(2)/25))/(LN(2)/25)*Calculateur!V147*Calculateur!X147*VLOOKUP('Données projet'!$B$9,Paramètres!$A$1:$I$89,3,0)*0.475*44/12</f>
        <v>3.5541731931160094</v>
      </c>
      <c r="AB147" s="21">
        <f>EXP(-LN(2)/2)*AB146+(1-EXP(-LN(2)/2))/(LN(2)/2)*V147*Y147*VLOOKUP('Données projet'!$B$9,Paramètres!$A$1:$I$89,3,0)*0.475*44/12</f>
        <v>7.1573967101183825E-12</v>
      </c>
      <c r="AC147" s="22">
        <f t="shared" si="111"/>
        <v>28.131901238536162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253.79640000000001</v>
      </c>
      <c r="BF147" s="13">
        <f t="shared" si="145"/>
        <v>61.39816832228076</v>
      </c>
      <c r="BG147" s="20">
        <f t="shared" si="115"/>
        <v>548.96387316130563</v>
      </c>
      <c r="BH147" s="59">
        <f t="shared" si="116"/>
        <v>842.29720649463889</v>
      </c>
      <c r="BI147" s="59">
        <f ca="1">AVERAGE(OFFSET($BH$3,0,0,'Données projet'!$E$11+1,1))-AVERAGE(OFFSET($H$3,0,0,'Données projet'!$E$11+1,1))</f>
        <v>273.69926316253162</v>
      </c>
      <c r="BJ147" s="59">
        <f t="shared" si="146"/>
        <v>270.78513558650451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12.607176104744731</v>
      </c>
      <c r="BQ147" s="21">
        <f>EXP(-LN(2)/25)*BQ146+(1-EXP(-LN(2)/25))/(LN(2)/25)*Calculateur!BL147*Calculateur!BN147*VLOOKUP('Données projet'!$B$11,Paramètres!$A$1:$I$89,3,0)*0.475*44/12</f>
        <v>1.2795161411844811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13.886692245929211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351.5641025641026</v>
      </c>
      <c r="BW147" s="12">
        <f>VLOOKUP(A147,'Données projet'!$A$113:$I$133,9,0)</f>
        <v>6.1378205128205137</v>
      </c>
      <c r="BX147" s="12">
        <f t="array" ref="BX147">INDEX(BW:BW,MIN(IF(ISNUMBER(BW147:BW343),ROW(BW147:BW343),"")))</f>
        <v>6.1378205128205137</v>
      </c>
      <c r="BY147" s="12">
        <f>IF('Données projet'!$A$114&gt;35,BY146+BX147-CG146,IF(A147&lt;'Données projet'!$A$114,$BV$205^A147,IF(A147='Données projet'!$A$114,'Données projet'!$B$114,BY146+BX147-CG146)))</f>
        <v>351.56410256410203</v>
      </c>
      <c r="BZ147" s="13">
        <f>BY147*VLOOKUP('Données projet'!$B$12,Paramètres!$A$1:$I$89,3,0)*VLOOKUP('Données projet'!$B$12,Paramètres!$A$1:$I$89,5,0)</f>
        <v>318.09519999999947</v>
      </c>
      <c r="CA147" s="13">
        <f t="shared" si="147"/>
        <v>74.956885370533442</v>
      </c>
      <c r="CB147" s="20">
        <f t="shared" si="118"/>
        <v>684.56571535367812</v>
      </c>
      <c r="CC147" s="59">
        <f t="shared" si="119"/>
        <v>977.89904868701137</v>
      </c>
      <c r="CD147" s="59">
        <f ca="1">AVERAGE(OFFSET($CC$3,0,0,'Données projet'!$E$12+1,1))-AVERAGE(OFFSET($H$3,0,0,'Données projet'!$E$12+1,1))</f>
        <v>302.4170391346459</v>
      </c>
      <c r="CE147" s="59">
        <f t="shared" si="148"/>
        <v>114.18498182856115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42.224358974358978</v>
      </c>
      <c r="CH147" s="16">
        <f>IF(ISNA(VLOOKUP(A147,'Données projet'!$A$113:$I$133,5,0)),0%,VLOOKUP(A147,'Données projet'!$A$113:$I$133,5,0)*VLOOKUP('Données projet'!$B$12,Paramètres!$A$1:$I$89,7,0))</f>
        <v>0.38700000000000001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57.704646289907245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57.704646289907245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194.89717355535993</v>
      </c>
      <c r="T148" s="59">
        <f t="shared" si="142"/>
        <v>195.422737562245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24.09577378937632</v>
      </c>
      <c r="AA148" s="21">
        <f>EXP(-LN(2)/25)*AA147+(1-EXP(-LN(2)/25))/(LN(2)/25)*Calculateur!V148*Calculateur!X148*VLOOKUP('Données projet'!$B$9,Paramètres!$A$1:$I$89,3,0)*0.475*44/12</f>
        <v>3.456984140244407</v>
      </c>
      <c r="AB148" s="21">
        <f>EXP(-LN(2)/2)*AB147+(1-EXP(-LN(2)/2))/(LN(2)/2)*V148*Y148*VLOOKUP('Données projet'!$B$9,Paramètres!$A$1:$I$89,3,0)*0.475*44/12</f>
        <v>5.0610437493669949E-12</v>
      </c>
      <c r="AC148" s="22">
        <f t="shared" si="111"/>
        <v>27.552757929625791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253.79640000000001</v>
      </c>
      <c r="BF148" s="13">
        <f t="shared" si="145"/>
        <v>61.39816832228076</v>
      </c>
      <c r="BG148" s="20">
        <f t="shared" si="115"/>
        <v>548.96387316130563</v>
      </c>
      <c r="BH148" s="59">
        <f t="shared" si="116"/>
        <v>842.29720649463889</v>
      </c>
      <c r="BI148" s="59">
        <f ca="1">AVERAGE(OFFSET($BH$3,0,0,'Données projet'!$E$11+1,1))-AVERAGE(OFFSET($H$3,0,0,'Données projet'!$E$11+1,1))</f>
        <v>273.69926316253162</v>
      </c>
      <c r="BJ148" s="59">
        <f t="shared" si="146"/>
        <v>270.78513558650451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12.359957070948823</v>
      </c>
      <c r="BQ148" s="21">
        <f>EXP(-LN(2)/25)*BQ147+(1-EXP(-LN(2)/25))/(LN(2)/25)*Calculateur!BL148*Calculateur!BN148*VLOOKUP('Données projet'!$B$11,Paramètres!$A$1:$I$89,3,0)*0.475*44/12</f>
        <v>1.2445277050169619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13.604484775965785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6.2499999999999947</v>
      </c>
      <c r="BY148" s="12">
        <f>IF('Données projet'!$A$114&gt;35,BY147+BX148-CG147,IF(A148&lt;'Données projet'!$A$114,$BV$205^A148,IF(A148='Données projet'!$A$114,'Données projet'!$B$114,BY147+BX148-CG147)))</f>
        <v>315.58974358974308</v>
      </c>
      <c r="BZ148" s="13">
        <f>BY148*VLOOKUP('Données projet'!$B$12,Paramètres!$A$1:$I$89,3,0)*VLOOKUP('Données projet'!$B$12,Paramètres!$A$1:$I$89,5,0)</f>
        <v>285.54559999999952</v>
      </c>
      <c r="CA148" s="13">
        <f t="shared" si="147"/>
        <v>68.137612539795967</v>
      </c>
      <c r="CB148" s="20">
        <f t="shared" si="118"/>
        <v>615.99826184014375</v>
      </c>
      <c r="CC148" s="59">
        <f t="shared" si="119"/>
        <v>909.33159517347713</v>
      </c>
      <c r="CD148" s="59">
        <f ca="1">AVERAGE(OFFSET($CC$3,0,0,'Données projet'!$E$12+1,1))-AVERAGE(OFFSET($H$3,0,0,'Données projet'!$E$12+1,1))</f>
        <v>302.4170391346459</v>
      </c>
      <c r="CE148" s="59">
        <f t="shared" si="148"/>
        <v>114.18498182856115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56.573093372521051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56.573093372521051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194.89717355535993</v>
      </c>
      <c r="T149" s="59">
        <f t="shared" si="142"/>
        <v>195.422737562245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23.623270362337458</v>
      </c>
      <c r="AA149" s="21">
        <f>EXP(-LN(2)/25)*AA148+(1-EXP(-LN(2)/25))/(LN(2)/25)*Calculateur!V149*Calculateur!X149*VLOOKUP('Données projet'!$B$9,Paramètres!$A$1:$I$89,3,0)*0.475*44/12</f>
        <v>3.3624527271345288</v>
      </c>
      <c r="AB149" s="21">
        <f>EXP(-LN(2)/2)*AB148+(1-EXP(-LN(2)/2))/(LN(2)/2)*V149*Y149*VLOOKUP('Données projet'!$B$9,Paramètres!$A$1:$I$89,3,0)*0.475*44/12</f>
        <v>3.5786983550591921E-12</v>
      </c>
      <c r="AC149" s="22">
        <f t="shared" si="111"/>
        <v>26.985723089475563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253.79640000000001</v>
      </c>
      <c r="BF149" s="13">
        <f t="shared" si="145"/>
        <v>61.39816832228076</v>
      </c>
      <c r="BG149" s="20">
        <f t="shared" si="115"/>
        <v>548.96387316130563</v>
      </c>
      <c r="BH149" s="59">
        <f t="shared" si="116"/>
        <v>842.29720649463889</v>
      </c>
      <c r="BI149" s="59">
        <f ca="1">AVERAGE(OFFSET($BH$3,0,0,'Données projet'!$E$11+1,1))-AVERAGE(OFFSET($H$3,0,0,'Données projet'!$E$11+1,1))</f>
        <v>273.69926316253162</v>
      </c>
      <c r="BJ149" s="59">
        <f t="shared" si="146"/>
        <v>270.78513558650451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12.117585851616933</v>
      </c>
      <c r="BQ149" s="21">
        <f>EXP(-LN(2)/25)*BQ148+(1-EXP(-LN(2)/25))/(LN(2)/25)*Calculateur!BL149*Calculateur!BN149*VLOOKUP('Données projet'!$B$11,Paramètres!$A$1:$I$89,3,0)*0.475*44/12</f>
        <v>1.2104960294764053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13.32808188109334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6.2499999999999947</v>
      </c>
      <c r="BY149" s="12">
        <f>IF('Données projet'!$A$114&gt;35,BY148+BX149-CG148,IF(A149&lt;'Données projet'!$A$114,$BV$205^A149,IF(A149='Données projet'!$A$114,'Données projet'!$B$114,BY148+BX149-CG148)))</f>
        <v>321.83974358974308</v>
      </c>
      <c r="BZ149" s="13">
        <f>BY149*VLOOKUP('Données projet'!$B$12,Paramètres!$A$1:$I$89,3,0)*VLOOKUP('Données projet'!$B$12,Paramètres!$A$1:$I$89,5,0)</f>
        <v>291.20059999999955</v>
      </c>
      <c r="CA149" s="13">
        <f t="shared" si="147"/>
        <v>69.328587287431986</v>
      </c>
      <c r="CB149" s="20">
        <f t="shared" si="118"/>
        <v>627.92166785894335</v>
      </c>
      <c r="CC149" s="59">
        <f t="shared" si="119"/>
        <v>921.25500119227672</v>
      </c>
      <c r="CD149" s="59">
        <f ca="1">AVERAGE(OFFSET($CC$3,0,0,'Données projet'!$E$12+1,1))-AVERAGE(OFFSET($H$3,0,0,'Données projet'!$E$12+1,1))</f>
        <v>302.4170391346459</v>
      </c>
      <c r="CE149" s="59">
        <f t="shared" si="148"/>
        <v>114.18498182856115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55.463729517665669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55.463729517665669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194.89717355535993</v>
      </c>
      <c r="T150" s="59">
        <f t="shared" si="142"/>
        <v>195.422737562245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23.160032439304192</v>
      </c>
      <c r="AA150" s="21">
        <f>EXP(-LN(2)/25)*AA149+(1-EXP(-LN(2)/25))/(LN(2)/25)*Calculateur!V150*Calculateur!X150*VLOOKUP('Données projet'!$B$9,Paramètres!$A$1:$I$89,3,0)*0.475*44/12</f>
        <v>3.2705062804873313</v>
      </c>
      <c r="AB150" s="21">
        <f>EXP(-LN(2)/2)*AB149+(1-EXP(-LN(2)/2))/(LN(2)/2)*V150*Y150*VLOOKUP('Données projet'!$B$9,Paramètres!$A$1:$I$89,3,0)*0.475*44/12</f>
        <v>2.5305218746834979E-12</v>
      </c>
      <c r="AC150" s="22">
        <f t="shared" si="111"/>
        <v>26.430538719794054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253.79640000000001</v>
      </c>
      <c r="BF150" s="13">
        <f t="shared" si="145"/>
        <v>61.39816832228076</v>
      </c>
      <c r="BG150" s="20">
        <f t="shared" si="115"/>
        <v>548.96387316130563</v>
      </c>
      <c r="BH150" s="59">
        <f t="shared" si="116"/>
        <v>842.29720649463889</v>
      </c>
      <c r="BI150" s="59">
        <f ca="1">AVERAGE(OFFSET($BH$3,0,0,'Données projet'!$E$11+1,1))-AVERAGE(OFFSET($H$3,0,0,'Données projet'!$E$11+1,1))</f>
        <v>273.69926316253162</v>
      </c>
      <c r="BJ150" s="59">
        <f t="shared" si="146"/>
        <v>270.78513558650451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11.879967384064294</v>
      </c>
      <c r="BQ150" s="21">
        <f>EXP(-LN(2)/25)*BQ149+(1-EXP(-LN(2)/25))/(LN(2)/25)*Calculateur!BL150*Calculateur!BN150*VLOOKUP('Données projet'!$B$11,Paramètres!$A$1:$I$89,3,0)*0.475*44/12</f>
        <v>1.1773949518931535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13.057362335957448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6.2499999999999947</v>
      </c>
      <c r="BY150" s="12">
        <f>IF('Données projet'!$A$114&gt;35,BY149+BX150-CG149,IF(A150&lt;'Données projet'!$A$114,$BV$205^A150,IF(A150='Données projet'!$A$114,'Données projet'!$B$114,BY149+BX150-CG149)))</f>
        <v>328.08974358974308</v>
      </c>
      <c r="BZ150" s="13">
        <f>BY150*VLOOKUP('Données projet'!$B$12,Paramètres!$A$1:$I$89,3,0)*VLOOKUP('Données projet'!$B$12,Paramètres!$A$1:$I$89,5,0)</f>
        <v>296.85559999999953</v>
      </c>
      <c r="CA150" s="13">
        <f t="shared" si="147"/>
        <v>70.516872767727662</v>
      </c>
      <c r="CB150" s="20">
        <f t="shared" si="118"/>
        <v>639.84039007045806</v>
      </c>
      <c r="CC150" s="59">
        <f t="shared" si="119"/>
        <v>933.17372340379143</v>
      </c>
      <c r="CD150" s="59">
        <f ca="1">AVERAGE(OFFSET($CC$3,0,0,'Données projet'!$E$12+1,1))-AVERAGE(OFFSET($H$3,0,0,'Données projet'!$E$12+1,1))</f>
        <v>302.4170391346459</v>
      </c>
      <c r="CE150" s="59">
        <f t="shared" si="148"/>
        <v>114.18498182856115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54.37611961135886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54.37611961135886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194.89717355535993</v>
      </c>
      <c r="T151" s="59">
        <f t="shared" si="142"/>
        <v>195.422737562245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22.705878329394377</v>
      </c>
      <c r="AA151" s="21">
        <f>EXP(-LN(2)/25)*AA150+(1-EXP(-LN(2)/25))/(LN(2)/25)*Calculateur!V151*Calculateur!X151*VLOOKUP('Données projet'!$B$9,Paramètres!$A$1:$I$89,3,0)*0.475*44/12</f>
        <v>3.1810741142589549</v>
      </c>
      <c r="AB151" s="21">
        <f>EXP(-LN(2)/2)*AB150+(1-EXP(-LN(2)/2))/(LN(2)/2)*V151*Y151*VLOOKUP('Données projet'!$B$9,Paramètres!$A$1:$I$89,3,0)*0.475*44/12</f>
        <v>1.7893491775295962E-12</v>
      </c>
      <c r="AC151" s="22">
        <f t="shared" si="111"/>
        <v>25.886952443655122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253.79640000000001</v>
      </c>
      <c r="BF151" s="13">
        <f t="shared" si="145"/>
        <v>61.39816832228076</v>
      </c>
      <c r="BG151" s="20">
        <f t="shared" si="115"/>
        <v>548.96387316130563</v>
      </c>
      <c r="BH151" s="59">
        <f t="shared" si="116"/>
        <v>842.29720649463889</v>
      </c>
      <c r="BI151" s="59">
        <f ca="1">AVERAGE(OFFSET($BH$3,0,0,'Données projet'!$E$11+1,1))-AVERAGE(OFFSET($H$3,0,0,'Données projet'!$E$11+1,1))</f>
        <v>273.69926316253162</v>
      </c>
      <c r="BJ151" s="59">
        <f t="shared" si="146"/>
        <v>270.78513558650451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11.647008469727409</v>
      </c>
      <c r="BQ151" s="21">
        <f>EXP(-LN(2)/25)*BQ150+(1-EXP(-LN(2)/25))/(LN(2)/25)*Calculateur!BL151*Calculateur!BN151*VLOOKUP('Données projet'!$B$11,Paramètres!$A$1:$I$89,3,0)*0.475*44/12</f>
        <v>1.1451990250171256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12.792207494744535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6.2499999999999947</v>
      </c>
      <c r="BY151" s="12">
        <f>IF('Données projet'!$A$114&gt;35,BY150+BX151-CG150,IF(A151&lt;'Données projet'!$A$114,$BV$205^A151,IF(A151='Données projet'!$A$114,'Données projet'!$B$114,BY150+BX151-CG150)))</f>
        <v>334.33974358974308</v>
      </c>
      <c r="BZ151" s="13">
        <f>BY151*VLOOKUP('Données projet'!$B$12,Paramètres!$A$1:$I$89,3,0)*VLOOKUP('Données projet'!$B$12,Paramètres!$A$1:$I$89,5,0)</f>
        <v>302.51059999999956</v>
      </c>
      <c r="CA151" s="13">
        <f t="shared" si="147"/>
        <v>71.702526117067052</v>
      </c>
      <c r="CB151" s="20">
        <f t="shared" si="118"/>
        <v>651.75452798722438</v>
      </c>
      <c r="CC151" s="59">
        <f t="shared" si="119"/>
        <v>945.08786132055775</v>
      </c>
      <c r="CD151" s="59">
        <f ca="1">AVERAGE(OFFSET($CC$3,0,0,'Données projet'!$E$12+1,1))-AVERAGE(OFFSET($H$3,0,0,'Données projet'!$E$12+1,1))</f>
        <v>302.4170391346459</v>
      </c>
      <c r="CE151" s="59">
        <f t="shared" si="148"/>
        <v>114.18498182856115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53.30983707193819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53.30983707193819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194.89717355535993</v>
      </c>
      <c r="T152" s="59">
        <f t="shared" si="142"/>
        <v>195.422737562245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22.260629904573236</v>
      </c>
      <c r="AA152" s="21">
        <f>EXP(-LN(2)/25)*AA151+(1-EXP(-LN(2)/25))/(LN(2)/25)*Calculateur!V152*Calculateur!X152*VLOOKUP('Données projet'!$B$9,Paramètres!$A$1:$I$89,3,0)*0.475*44/12</f>
        <v>3.0940874753191268</v>
      </c>
      <c r="AB152" s="21">
        <f>EXP(-LN(2)/2)*AB151+(1-EXP(-LN(2)/2))/(LN(2)/2)*V152*Y152*VLOOKUP('Données projet'!$B$9,Paramètres!$A$1:$I$89,3,0)*0.475*44/12</f>
        <v>1.2652609373417491E-12</v>
      </c>
      <c r="AC152" s="22">
        <f t="shared" si="111"/>
        <v>25.354717379893629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253.79640000000001</v>
      </c>
      <c r="BF152" s="13">
        <f t="shared" si="145"/>
        <v>61.39816832228076</v>
      </c>
      <c r="BG152" s="20">
        <f t="shared" si="115"/>
        <v>548.96387316130563</v>
      </c>
      <c r="BH152" s="59">
        <f t="shared" si="116"/>
        <v>842.29720649463889</v>
      </c>
      <c r="BI152" s="59">
        <f ca="1">AVERAGE(OFFSET($BH$3,0,0,'Données projet'!$E$11+1,1))-AVERAGE(OFFSET($H$3,0,0,'Données projet'!$E$11+1,1))</f>
        <v>273.69926316253162</v>
      </c>
      <c r="BJ152" s="59">
        <f t="shared" si="146"/>
        <v>270.78513558650451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11.418617737609761</v>
      </c>
      <c r="BQ152" s="21">
        <f>EXP(-LN(2)/25)*BQ151+(1-EXP(-LN(2)/25))/(LN(2)/25)*Calculateur!BL152*Calculateur!BN152*VLOOKUP('Données projet'!$B$11,Paramètres!$A$1:$I$89,3,0)*0.475*44/12</f>
        <v>1.113883497454633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12.532501235064395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6.2499999999999947</v>
      </c>
      <c r="BY152" s="12">
        <f>IF('Données projet'!$A$114&gt;35,BY151+BX152-CG151,IF(A152&lt;'Données projet'!$A$114,$BV$205^A152,IF(A152='Données projet'!$A$114,'Données projet'!$B$114,BY151+BX152-CG151)))</f>
        <v>340.58974358974308</v>
      </c>
      <c r="BZ152" s="13">
        <f>BY152*VLOOKUP('Données projet'!$B$12,Paramètres!$A$1:$I$89,3,0)*VLOOKUP('Données projet'!$B$12,Paramètres!$A$1:$I$89,5,0)</f>
        <v>308.16559999999953</v>
      </c>
      <c r="CA152" s="13">
        <f t="shared" si="147"/>
        <v>72.885602213408205</v>
      </c>
      <c r="CB152" s="20">
        <f t="shared" si="118"/>
        <v>663.6641771883518</v>
      </c>
      <c r="CC152" s="59">
        <f t="shared" si="119"/>
        <v>956.99751052168517</v>
      </c>
      <c r="CD152" s="59">
        <f ca="1">AVERAGE(OFFSET($CC$3,0,0,'Données projet'!$E$12+1,1))-AVERAGE(OFFSET($H$3,0,0,'Données projet'!$E$12+1,1))</f>
        <v>302.4170391346459</v>
      </c>
      <c r="CE152" s="59">
        <f t="shared" si="148"/>
        <v>114.18498182856115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52.264463682747426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52.264463682747426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194.89717355535993</v>
      </c>
      <c r="T153" s="59">
        <f t="shared" si="142"/>
        <v>195.422737562245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21.824112529788117</v>
      </c>
      <c r="AA153" s="21">
        <f>EXP(-LN(2)/25)*AA152+(1-EXP(-LN(2)/25))/(LN(2)/25)*Calculateur!V153*Calculateur!X153*VLOOKUP('Données projet'!$B$9,Paramètres!$A$1:$I$89,3,0)*0.475*44/12</f>
        <v>3.0094794905955364</v>
      </c>
      <c r="AB153" s="21">
        <f>EXP(-LN(2)/2)*AB152+(1-EXP(-LN(2)/2))/(LN(2)/2)*V153*Y153*VLOOKUP('Données projet'!$B$9,Paramètres!$A$1:$I$89,3,0)*0.475*44/12</f>
        <v>8.9467458876479832E-13</v>
      </c>
      <c r="AC153" s="22">
        <f t="shared" si="111"/>
        <v>24.83359202038455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253.79640000000001</v>
      </c>
      <c r="BF153" s="13">
        <f t="shared" si="145"/>
        <v>61.39816832228076</v>
      </c>
      <c r="BG153" s="20">
        <f t="shared" si="115"/>
        <v>548.96387316130563</v>
      </c>
      <c r="BH153" s="59">
        <f t="shared" si="116"/>
        <v>842.29720649463889</v>
      </c>
      <c r="BI153" s="59">
        <f ca="1">AVERAGE(OFFSET($BH$3,0,0,'Données projet'!$E$11+1,1))-AVERAGE(OFFSET($H$3,0,0,'Données projet'!$E$11+1,1))</f>
        <v>273.69926316253162</v>
      </c>
      <c r="BJ153" s="59">
        <f t="shared" si="146"/>
        <v>270.78513558650451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11.19470560844435</v>
      </c>
      <c r="BQ153" s="21">
        <f>EXP(-LN(2)/25)*BQ152+(1-EXP(-LN(2)/25))/(LN(2)/25)*Calculateur!BL153*Calculateur!BN153*VLOOKUP('Données projet'!$B$11,Paramètres!$A$1:$I$89,3,0)*0.475*44/12</f>
        <v>1.0834242946401487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12.278129903084498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6.2499999999999947</v>
      </c>
      <c r="BY153" s="12">
        <f>IF('Données projet'!$A$114&gt;35,BY152+BX153-CG152,IF(A153&lt;'Données projet'!$A$114,$BV$205^A153,IF(A153='Données projet'!$A$114,'Données projet'!$B$114,BY152+BX153-CG152)))</f>
        <v>346.83974358974308</v>
      </c>
      <c r="BZ153" s="13">
        <f>BY153*VLOOKUP('Données projet'!$B$12,Paramètres!$A$1:$I$89,3,0)*VLOOKUP('Données projet'!$B$12,Paramètres!$A$1:$I$89,5,0)</f>
        <v>313.82059999999956</v>
      </c>
      <c r="CA153" s="13">
        <f t="shared" si="147"/>
        <v>74.066153805327986</v>
      </c>
      <c r="CB153" s="20">
        <f t="shared" si="118"/>
        <v>675.56942954427871</v>
      </c>
      <c r="CC153" s="59">
        <f t="shared" si="119"/>
        <v>968.90276287761208</v>
      </c>
      <c r="CD153" s="59">
        <f ca="1">AVERAGE(OFFSET($CC$3,0,0,'Données projet'!$E$12+1,1))-AVERAGE(OFFSET($H$3,0,0,'Données projet'!$E$12+1,1))</f>
        <v>302.4170391346459</v>
      </c>
      <c r="CE153" s="59">
        <f t="shared" si="148"/>
        <v>114.18498182856115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51.239589428103884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51.239589428103884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194.89717355535993</v>
      </c>
      <c r="T154" s="59">
        <f t="shared" si="142"/>
        <v>195.422737562245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21.396154994473225</v>
      </c>
      <c r="AA154" s="21">
        <f>EXP(-LN(2)/25)*AA153+(1-EXP(-LN(2)/25))/(LN(2)/25)*Calculateur!V154*Calculateur!X154*VLOOKUP('Données projet'!$B$9,Paramètres!$A$1:$I$89,3,0)*0.475*44/12</f>
        <v>2.9271851156635535</v>
      </c>
      <c r="AB154" s="21">
        <f>EXP(-LN(2)/2)*AB153+(1-EXP(-LN(2)/2))/(LN(2)/2)*V154*Y154*VLOOKUP('Données projet'!$B$9,Paramètres!$A$1:$I$89,3,0)*0.475*44/12</f>
        <v>6.3263046867087467E-13</v>
      </c>
      <c r="AC154" s="22">
        <f t="shared" ref="AC154:AC203" si="163">SUM(Z154:AB154)</f>
        <v>24.323340110137412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253.79640000000001</v>
      </c>
      <c r="BF154" s="13">
        <f t="shared" ref="BF154:BF203" si="167">EXP(-1.0587+0.8836*LN(BE154)+0.284)</f>
        <v>61.39816832228076</v>
      </c>
      <c r="BG154" s="20">
        <f t="shared" ref="BG154:BG203" si="168">(BE154+BF154)*0.475*44/12</f>
        <v>548.96387316130563</v>
      </c>
      <c r="BH154" s="59">
        <f t="shared" si="116"/>
        <v>842.29720649463889</v>
      </c>
      <c r="BI154" s="59">
        <f ca="1">AVERAGE(OFFSET($BH$3,0,0,'Données projet'!$E$11+1,1))-AVERAGE(OFFSET($H$3,0,0,'Données projet'!$E$11+1,1))</f>
        <v>273.69926316253162</v>
      </c>
      <c r="BJ154" s="59">
        <f t="shared" si="146"/>
        <v>270.78513558650451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10.97518425955896</v>
      </c>
      <c r="BQ154" s="21">
        <f>EXP(-LN(2)/25)*BQ153+(1-EXP(-LN(2)/25))/(LN(2)/25)*Calculateur!BL154*Calculateur!BN154*VLOOKUP('Données projet'!$B$11,Paramètres!$A$1:$I$89,3,0)*0.475*44/12</f>
        <v>1.0537980003284064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12.028982259887366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6.2499999999999947</v>
      </c>
      <c r="BY154" s="12">
        <f>IF('Données projet'!$A$114&gt;35,BY153+BX154-CG153,IF(A154&lt;'Données projet'!$A$114,$BV$205^A154,IF(A154='Données projet'!$A$114,'Données projet'!$B$114,BY153+BX154-CG153)))</f>
        <v>353.08974358974308</v>
      </c>
      <c r="BZ154" s="13">
        <f>BY154*VLOOKUP('Données projet'!$B$12,Paramètres!$A$1:$I$89,3,0)*VLOOKUP('Données projet'!$B$12,Paramètres!$A$1:$I$89,5,0)</f>
        <v>319.47559999999953</v>
      </c>
      <c r="CA154" s="13">
        <f t="shared" ref="CA154:CA203" si="170">EXP(-1.0587+0.8836*LN(BZ154)+0.284)</f>
        <v>75.244231631502288</v>
      </c>
      <c r="CB154" s="20">
        <f t="shared" ref="CB154:CB203" si="171">(BZ154+CA154)*0.475*44/12</f>
        <v>687.47037342486567</v>
      </c>
      <c r="CC154" s="59">
        <f t="shared" si="119"/>
        <v>980.80370675819904</v>
      </c>
      <c r="CD154" s="59">
        <f ca="1">AVERAGE(OFFSET($CC$3,0,0,'Données projet'!$E$12+1,1))-AVERAGE(OFFSET($H$3,0,0,'Données projet'!$E$12+1,1))</f>
        <v>302.4170391346459</v>
      </c>
      <c r="CE154" s="59">
        <f t="shared" si="148"/>
        <v>114.18498182856115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50.234812332482335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50.234812332482335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194.89717355535993</v>
      </c>
      <c r="T155" s="59">
        <f t="shared" si="142"/>
        <v>195.422737562245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20.976589445397536</v>
      </c>
      <c r="AA155" s="21">
        <f>EXP(-LN(2)/25)*AA154+(1-EXP(-LN(2)/25))/(LN(2)/25)*Calculateur!V155*Calculateur!X155*VLOOKUP('Données projet'!$B$9,Paramètres!$A$1:$I$89,3,0)*0.475*44/12</f>
        <v>2.8471410847417586</v>
      </c>
      <c r="AB155" s="21">
        <f>EXP(-LN(2)/2)*AB154+(1-EXP(-LN(2)/2))/(LN(2)/2)*V155*Y155*VLOOKUP('Données projet'!$B$9,Paramètres!$A$1:$I$89,3,0)*0.475*44/12</f>
        <v>4.4733729438239921E-13</v>
      </c>
      <c r="AC155" s="22">
        <f t="shared" si="163"/>
        <v>23.823730530139741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253.79640000000001</v>
      </c>
      <c r="BF155" s="13">
        <f t="shared" si="167"/>
        <v>61.39816832228076</v>
      </c>
      <c r="BG155" s="20">
        <f t="shared" si="168"/>
        <v>548.96387316130563</v>
      </c>
      <c r="BH155" s="59">
        <f t="shared" si="116"/>
        <v>842.29720649463889</v>
      </c>
      <c r="BI155" s="59">
        <f ca="1">AVERAGE(OFFSET($BH$3,0,0,'Données projet'!$E$11+1,1))-AVERAGE(OFFSET($H$3,0,0,'Données projet'!$E$11+1,1))</f>
        <v>273.69926316253162</v>
      </c>
      <c r="BJ155" s="59">
        <f t="shared" si="146"/>
        <v>270.78513558650451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10.75996759043041</v>
      </c>
      <c r="BQ155" s="21">
        <f>EXP(-LN(2)/25)*BQ154+(1-EXP(-LN(2)/25))/(LN(2)/25)*Calculateur!BL155*Calculateur!BN155*VLOOKUP('Données projet'!$B$11,Paramètres!$A$1:$I$89,3,0)*0.475*44/12</f>
        <v>1.0249818385925977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11.784949429023008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6.2499999999999947</v>
      </c>
      <c r="BY155" s="12">
        <f>IF('Données projet'!$A$114&gt;35,BY154+BX155-CG154,IF(A155&lt;'Données projet'!$A$114,$BV$205^A155,IF(A155='Données projet'!$A$114,'Données projet'!$B$114,BY154+BX155-CG154)))</f>
        <v>359.33974358974308</v>
      </c>
      <c r="BZ155" s="13">
        <f>BY155*VLOOKUP('Données projet'!$B$12,Paramètres!$A$1:$I$89,3,0)*VLOOKUP('Données projet'!$B$12,Paramètres!$A$1:$I$89,5,0)</f>
        <v>325.13059999999956</v>
      </c>
      <c r="CA155" s="13">
        <f t="shared" si="170"/>
        <v>76.419884531487469</v>
      </c>
      <c r="CB155" s="20">
        <f t="shared" si="171"/>
        <v>699.36709389233977</v>
      </c>
      <c r="CC155" s="59">
        <f t="shared" si="119"/>
        <v>992.70042722567314</v>
      </c>
      <c r="CD155" s="59">
        <f ca="1">AVERAGE(OFFSET($CC$3,0,0,'Données projet'!$E$12+1,1))-AVERAGE(OFFSET($H$3,0,0,'Données projet'!$E$12+1,1))</f>
        <v>302.4170391346459</v>
      </c>
      <c r="CE155" s="59">
        <f t="shared" si="148"/>
        <v>114.18498182856115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49.249738302852407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49.249738302852407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194.89717355535993</v>
      </c>
      <c r="T156" s="59">
        <f t="shared" si="142"/>
        <v>195.422737562245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20.565251320829503</v>
      </c>
      <c r="AA156" s="21">
        <f>EXP(-LN(2)/25)*AA155+(1-EXP(-LN(2)/25))/(LN(2)/25)*Calculateur!V156*Calculateur!X156*VLOOKUP('Données projet'!$B$9,Paramètres!$A$1:$I$89,3,0)*0.475*44/12</f>
        <v>2.7692858620548528</v>
      </c>
      <c r="AB156" s="21">
        <f>EXP(-LN(2)/2)*AB155+(1-EXP(-LN(2)/2))/(LN(2)/2)*V156*Y156*VLOOKUP('Données projet'!$B$9,Paramètres!$A$1:$I$89,3,0)*0.475*44/12</f>
        <v>3.1631523433543739E-13</v>
      </c>
      <c r="AC156" s="22">
        <f t="shared" si="163"/>
        <v>23.334537182884674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253.79640000000001</v>
      </c>
      <c r="BF156" s="13">
        <f t="shared" si="167"/>
        <v>61.39816832228076</v>
      </c>
      <c r="BG156" s="20">
        <f t="shared" si="168"/>
        <v>548.96387316130563</v>
      </c>
      <c r="BH156" s="59">
        <f t="shared" si="116"/>
        <v>842.29720649463889</v>
      </c>
      <c r="BI156" s="59">
        <f ca="1">AVERAGE(OFFSET($BH$3,0,0,'Données projet'!$E$11+1,1))-AVERAGE(OFFSET($H$3,0,0,'Données projet'!$E$11+1,1))</f>
        <v>273.69926316253162</v>
      </c>
      <c r="BJ156" s="59">
        <f t="shared" si="146"/>
        <v>270.78513558650451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10.548971188914264</v>
      </c>
      <c r="BQ156" s="21">
        <f>EXP(-LN(2)/25)*BQ155+(1-EXP(-LN(2)/25))/(LN(2)/25)*Calculateur!BL156*Calculateur!BN156*VLOOKUP('Données projet'!$B$11,Paramètres!$A$1:$I$89,3,0)*0.475*44/12</f>
        <v>0.9969536563148309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11.545924845229095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6.2499999999999947</v>
      </c>
      <c r="BY156" s="12">
        <f>IF('Données projet'!$A$114&gt;35,BY155+BX156-CG155,IF(A156&lt;'Données projet'!$A$114,$BV$205^A156,IF(A156='Données projet'!$A$114,'Données projet'!$B$114,BY155+BX156-CG155)))</f>
        <v>365.58974358974308</v>
      </c>
      <c r="BZ156" s="13">
        <f>BY156*VLOOKUP('Données projet'!$B$12,Paramètres!$A$1:$I$89,3,0)*VLOOKUP('Données projet'!$B$12,Paramètres!$A$1:$I$89,5,0)</f>
        <v>330.78559999999953</v>
      </c>
      <c r="CA156" s="13">
        <f t="shared" si="170"/>
        <v>77.593159548575656</v>
      </c>
      <c r="CB156" s="20">
        <f t="shared" si="171"/>
        <v>711.25967288043512</v>
      </c>
      <c r="CC156" s="59">
        <f t="shared" si="119"/>
        <v>1004.5930062137684</v>
      </c>
      <c r="CD156" s="59">
        <f ca="1">AVERAGE(OFFSET($CC$3,0,0,'Données projet'!$E$12+1,1))-AVERAGE(OFFSET($H$3,0,0,'Données projet'!$E$12+1,1))</f>
        <v>302.4170391346459</v>
      </c>
      <c r="CE156" s="59">
        <f t="shared" si="148"/>
        <v>114.18498182856115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48.283980974107692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48.283980974107692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194.89717355535993</v>
      </c>
      <c r="T157" s="59">
        <f t="shared" si="142"/>
        <v>195.422737562245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20.161979285992768</v>
      </c>
      <c r="AA157" s="21">
        <f>EXP(-LN(2)/25)*AA156+(1-EXP(-LN(2)/25))/(LN(2)/25)*Calculateur!V157*Calculateur!X157*VLOOKUP('Données projet'!$B$9,Paramètres!$A$1:$I$89,3,0)*0.475*44/12</f>
        <v>2.6935595945265485</v>
      </c>
      <c r="AB157" s="21">
        <f>EXP(-LN(2)/2)*AB156+(1-EXP(-LN(2)/2))/(LN(2)/2)*V157*Y157*VLOOKUP('Données projet'!$B$9,Paramètres!$A$1:$I$89,3,0)*0.475*44/12</f>
        <v>2.2366864719119966E-13</v>
      </c>
      <c r="AC157" s="22">
        <f t="shared" si="163"/>
        <v>22.855538880519539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253.79640000000001</v>
      </c>
      <c r="BF157" s="13">
        <f t="shared" si="167"/>
        <v>61.39816832228076</v>
      </c>
      <c r="BG157" s="20">
        <f t="shared" si="168"/>
        <v>548.96387316130563</v>
      </c>
      <c r="BH157" s="59">
        <f t="shared" si="116"/>
        <v>842.29720649463889</v>
      </c>
      <c r="BI157" s="59">
        <f ca="1">AVERAGE(OFFSET($BH$3,0,0,'Données projet'!$E$11+1,1))-AVERAGE(OFFSET($H$3,0,0,'Données projet'!$E$11+1,1))</f>
        <v>273.69926316253162</v>
      </c>
      <c r="BJ157" s="59">
        <f t="shared" si="146"/>
        <v>270.78513558650451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10.342112298136753</v>
      </c>
      <c r="BQ157" s="21">
        <f>EXP(-LN(2)/25)*BQ156+(1-EXP(-LN(2)/25))/(LN(2)/25)*Calculateur!BL157*Calculateur!BN157*VLOOKUP('Données projet'!$B$11,Paramètres!$A$1:$I$89,3,0)*0.475*44/12</f>
        <v>0.96969190615538758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11.311804204292141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371.83974358974359</v>
      </c>
      <c r="BW157" s="12">
        <f>VLOOKUP(A157,'Données projet'!$A$113:$I$133,9,0)</f>
        <v>6.2499999999999947</v>
      </c>
      <c r="BX157" s="12">
        <f t="array" ref="BX157">INDEX(BW:BW,MIN(IF(ISNUMBER(BW157:BW353),ROW(BW157:BW353),"")))</f>
        <v>6.2499999999999947</v>
      </c>
      <c r="BY157" s="12">
        <f>IF('Données projet'!$A$114&gt;35,BY156+BX157-CG156,IF(A157&lt;'Données projet'!$A$114,$BV$205^A157,IF(A157='Données projet'!$A$114,'Données projet'!$B$114,BY156+BX157-CG156)))</f>
        <v>371.83974358974308</v>
      </c>
      <c r="BZ157" s="13">
        <f>BY157*VLOOKUP('Données projet'!$B$12,Paramètres!$A$1:$I$89,3,0)*VLOOKUP('Données projet'!$B$12,Paramètres!$A$1:$I$89,5,0)</f>
        <v>336.44059999999956</v>
      </c>
      <c r="CA157" s="13">
        <f t="shared" si="170"/>
        <v>78.764102025417841</v>
      </c>
      <c r="CB157" s="20">
        <f t="shared" si="171"/>
        <v>723.14818936093525</v>
      </c>
      <c r="CC157" s="59">
        <f t="shared" si="119"/>
        <v>1016.4815226942685</v>
      </c>
      <c r="CD157" s="59">
        <f ca="1">AVERAGE(OFFSET($CC$3,0,0,'Données projet'!$E$12+1,1))-AVERAGE(OFFSET($H$3,0,0,'Données projet'!$E$12+1,1))</f>
        <v>302.4170391346459</v>
      </c>
      <c r="CE157" s="59">
        <f t="shared" si="148"/>
        <v>114.18498182856115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41.557692307692307</v>
      </c>
      <c r="CH157" s="16">
        <f>IF(ISNA(VLOOKUP(A157,'Données projet'!$A$113:$I$133,5,0)),0%,VLOOKUP(A157,'Données projet'!$A$113:$I$133,5,0)*VLOOKUP('Données projet'!$B$12,Paramètres!$A$1:$I$89,7,0))</f>
        <v>0.38700000000000001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63.423681088037355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63.423681088037355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194.89717355535993</v>
      </c>
      <c r="T158" s="59">
        <f t="shared" si="142"/>
        <v>195.422737562245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19.766615169787528</v>
      </c>
      <c r="AA158" s="21">
        <f>EXP(-LN(2)/25)*AA157+(1-EXP(-LN(2)/25))/(LN(2)/25)*Calculateur!V158*Calculateur!X158*VLOOKUP('Données projet'!$B$9,Paramètres!$A$1:$I$89,3,0)*0.475*44/12</f>
        <v>2.619904065766077</v>
      </c>
      <c r="AB158" s="21">
        <f>EXP(-LN(2)/2)*AB157+(1-EXP(-LN(2)/2))/(LN(2)/2)*V158*Y158*VLOOKUP('Données projet'!$B$9,Paramètres!$A$1:$I$89,3,0)*0.475*44/12</f>
        <v>1.5815761716771872E-13</v>
      </c>
      <c r="AC158" s="22">
        <f t="shared" si="163"/>
        <v>22.386519235553767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253.79640000000001</v>
      </c>
      <c r="BF158" s="13">
        <f t="shared" si="167"/>
        <v>61.39816832228076</v>
      </c>
      <c r="BG158" s="20">
        <f t="shared" si="168"/>
        <v>548.96387316130563</v>
      </c>
      <c r="BH158" s="59">
        <f t="shared" si="116"/>
        <v>842.29720649463889</v>
      </c>
      <c r="BI158" s="59">
        <f ca="1">AVERAGE(OFFSET($BH$3,0,0,'Données projet'!$E$11+1,1))-AVERAGE(OFFSET($H$3,0,0,'Données projet'!$E$11+1,1))</f>
        <v>273.69926316253162</v>
      </c>
      <c r="BJ158" s="59">
        <f t="shared" si="146"/>
        <v>270.78513558650451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10.139309784035923</v>
      </c>
      <c r="BQ158" s="21">
        <f>EXP(-LN(2)/25)*BQ157+(1-EXP(-LN(2)/25))/(LN(2)/25)*Calculateur!BL158*Calculateur!BN158*VLOOKUP('Données projet'!$B$11,Paramètres!$A$1:$I$89,3,0)*0.475*44/12</f>
        <v>0.94317562998768745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11.08248541402361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6.3403846153846128</v>
      </c>
      <c r="BY158" s="12">
        <f>IF('Données projet'!$A$114&gt;35,BY157+BX158-CG157,IF(A158&lt;'Données projet'!$A$114,$BV$205^A158,IF(A158='Données projet'!$A$114,'Données projet'!$B$114,BY157+BX158-CG157)))</f>
        <v>336.62243589743537</v>
      </c>
      <c r="BZ158" s="13">
        <f>BY158*VLOOKUP('Données projet'!$B$12,Paramètres!$A$1:$I$89,3,0)*VLOOKUP('Données projet'!$B$12,Paramètres!$A$1:$I$89,5,0)</f>
        <v>304.5759799999995</v>
      </c>
      <c r="CA158" s="13">
        <f t="shared" si="170"/>
        <v>72.134917834185984</v>
      </c>
      <c r="CB158" s="20">
        <f t="shared" si="171"/>
        <v>656.10481372787308</v>
      </c>
      <c r="CC158" s="59">
        <f t="shared" si="119"/>
        <v>949.43814706120634</v>
      </c>
      <c r="CD158" s="59">
        <f ca="1">AVERAGE(OFFSET($CC$3,0,0,'Données projet'!$E$12+1,1))-AVERAGE(OFFSET($H$3,0,0,'Données projet'!$E$12+1,1))</f>
        <v>302.4170391346459</v>
      </c>
      <c r="CE158" s="59">
        <f t="shared" si="148"/>
        <v>114.18498182856115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62.17998138652662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62.17998138652662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194.89717355535993</v>
      </c>
      <c r="T159" s="59">
        <f t="shared" si="142"/>
        <v>195.422737562245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19.379003902752775</v>
      </c>
      <c r="AA159" s="21">
        <f>EXP(-LN(2)/25)*AA158+(1-EXP(-LN(2)/25))/(LN(2)/25)*Calculateur!V159*Calculateur!X159*VLOOKUP('Données projet'!$B$9,Paramètres!$A$1:$I$89,3,0)*0.475*44/12</f>
        <v>2.5482626513129367</v>
      </c>
      <c r="AB159" s="21">
        <f>EXP(-LN(2)/2)*AB158+(1-EXP(-LN(2)/2))/(LN(2)/2)*V159*Y159*VLOOKUP('Données projet'!$B$9,Paramètres!$A$1:$I$89,3,0)*0.475*44/12</f>
        <v>1.1183432359559984E-13</v>
      </c>
      <c r="AC159" s="22">
        <f t="shared" si="163"/>
        <v>21.92726655406582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253.79640000000001</v>
      </c>
      <c r="BF159" s="13">
        <f t="shared" si="167"/>
        <v>61.39816832228076</v>
      </c>
      <c r="BG159" s="20">
        <f t="shared" si="168"/>
        <v>548.96387316130563</v>
      </c>
      <c r="BH159" s="59">
        <f t="shared" si="116"/>
        <v>842.29720649463889</v>
      </c>
      <c r="BI159" s="59">
        <f ca="1">AVERAGE(OFFSET($BH$3,0,0,'Données projet'!$E$11+1,1))-AVERAGE(OFFSET($H$3,0,0,'Données projet'!$E$11+1,1))</f>
        <v>273.69926316253162</v>
      </c>
      <c r="BJ159" s="59">
        <f t="shared" si="146"/>
        <v>270.78513558650451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9.9404841035392906</v>
      </c>
      <c r="BQ159" s="21">
        <f>EXP(-LN(2)/25)*BQ158+(1-EXP(-LN(2)/25))/(LN(2)/25)*Calculateur!BL159*Calculateur!BN159*VLOOKUP('Données projet'!$B$11,Paramètres!$A$1:$I$89,3,0)*0.475*44/12</f>
        <v>0.91738444278622344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10.857868546325514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6.3403846153846128</v>
      </c>
      <c r="BY159" s="12">
        <f>IF('Données projet'!$A$114&gt;35,BY158+BX159-CG158,IF(A159&lt;'Données projet'!$A$114,$BV$205^A159,IF(A159='Données projet'!$A$114,'Données projet'!$B$114,BY158+BX159-CG158)))</f>
        <v>342.96282051281997</v>
      </c>
      <c r="BZ159" s="13">
        <f>BY159*VLOOKUP('Données projet'!$B$12,Paramètres!$A$1:$I$89,3,0)*VLOOKUP('Données projet'!$B$12,Paramètres!$A$1:$I$89,5,0)</f>
        <v>310.31275999999946</v>
      </c>
      <c r="CA159" s="13">
        <f t="shared" si="170"/>
        <v>73.334143074131603</v>
      </c>
      <c r="CB159" s="20">
        <f t="shared" si="171"/>
        <v>668.18502285411148</v>
      </c>
      <c r="CC159" s="59">
        <f t="shared" si="119"/>
        <v>961.51835618744485</v>
      </c>
      <c r="CD159" s="59">
        <f ca="1">AVERAGE(OFFSET($CC$3,0,0,'Données projet'!$E$12+1,1))-AVERAGE(OFFSET($H$3,0,0,'Données projet'!$E$12+1,1))</f>
        <v>302.4170391346459</v>
      </c>
      <c r="CE159" s="59">
        <f t="shared" si="148"/>
        <v>114.18498182856115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60.960669877580592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60.960669877580592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194.89717355535993</v>
      </c>
      <c r="T160" s="59">
        <f t="shared" si="142"/>
        <v>195.422737562245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18.998993456245042</v>
      </c>
      <c r="AA160" s="21">
        <f>EXP(-LN(2)/25)*AA159+(1-EXP(-LN(2)/25))/(LN(2)/25)*Calculateur!V160*Calculateur!X160*VLOOKUP('Données projet'!$B$9,Paramètres!$A$1:$I$89,3,0)*0.475*44/12</f>
        <v>2.4785802751054757</v>
      </c>
      <c r="AB160" s="21">
        <f>EXP(-LN(2)/2)*AB159+(1-EXP(-LN(2)/2))/(LN(2)/2)*V160*Y160*VLOOKUP('Données projet'!$B$9,Paramètres!$A$1:$I$89,3,0)*0.475*44/12</f>
        <v>7.9078808583859372E-14</v>
      </c>
      <c r="AC160" s="22">
        <f t="shared" si="163"/>
        <v>21.477573731350596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253.79640000000001</v>
      </c>
      <c r="BF160" s="13">
        <f t="shared" si="167"/>
        <v>61.39816832228076</v>
      </c>
      <c r="BG160" s="20">
        <f t="shared" si="168"/>
        <v>548.96387316130563</v>
      </c>
      <c r="BH160" s="59">
        <f t="shared" si="116"/>
        <v>842.29720649463889</v>
      </c>
      <c r="BI160" s="59">
        <f ca="1">AVERAGE(OFFSET($BH$3,0,0,'Données projet'!$E$11+1,1))-AVERAGE(OFFSET($H$3,0,0,'Données projet'!$E$11+1,1))</f>
        <v>273.69926316253162</v>
      </c>
      <c r="BJ160" s="59">
        <f t="shared" si="146"/>
        <v>270.78513558650451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9.7455572733655078</v>
      </c>
      <c r="BQ160" s="21">
        <f>EXP(-LN(2)/25)*BQ159+(1-EXP(-LN(2)/25))/(LN(2)/25)*Calculateur!BL160*Calculateur!BN160*VLOOKUP('Données projet'!$B$11,Paramètres!$A$1:$I$89,3,0)*0.475*44/12</f>
        <v>0.892298516955083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10.637855790320591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6.3403846153846128</v>
      </c>
      <c r="BY160" s="12">
        <f>IF('Données projet'!$A$114&gt;35,BY159+BX160-CG159,IF(A160&lt;'Données projet'!$A$114,$BV$205^A160,IF(A160='Données projet'!$A$114,'Données projet'!$B$114,BY159+BX160-CG159)))</f>
        <v>349.30320512820458</v>
      </c>
      <c r="BZ160" s="13">
        <f>BY160*VLOOKUP('Données projet'!$B$12,Paramètres!$A$1:$I$89,3,0)*VLOOKUP('Données projet'!$B$12,Paramètres!$A$1:$I$89,5,0)</f>
        <v>316.04953999999947</v>
      </c>
      <c r="CA160" s="13">
        <f t="shared" si="170"/>
        <v>74.530790323887828</v>
      </c>
      <c r="CB160" s="20">
        <f t="shared" si="171"/>
        <v>680.26074198077038</v>
      </c>
      <c r="CC160" s="59">
        <f t="shared" si="119"/>
        <v>973.59407531410375</v>
      </c>
      <c r="CD160" s="59">
        <f ca="1">AVERAGE(OFFSET($CC$3,0,0,'Données projet'!$E$12+1,1))-AVERAGE(OFFSET($H$3,0,0,'Données projet'!$E$12+1,1))</f>
        <v>302.4170391346459</v>
      </c>
      <c r="CE160" s="59">
        <f t="shared" si="148"/>
        <v>114.18498182856115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59.765268323618415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59.765268323618415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194.89717355535993</v>
      </c>
      <c r="T161" s="59">
        <f t="shared" si="142"/>
        <v>195.422737562245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18.626434782809842</v>
      </c>
      <c r="AA161" s="21">
        <f>EXP(-LN(2)/25)*AA160+(1-EXP(-LN(2)/25))/(LN(2)/25)*Calculateur!V161*Calculateur!X161*VLOOKUP('Données projet'!$B$9,Paramètres!$A$1:$I$89,3,0)*0.475*44/12</f>
        <v>2.4108033671398448</v>
      </c>
      <c r="AB161" s="21">
        <f>EXP(-LN(2)/2)*AB160+(1-EXP(-LN(2)/2))/(LN(2)/2)*V161*Y161*VLOOKUP('Données projet'!$B$9,Paramètres!$A$1:$I$89,3,0)*0.475*44/12</f>
        <v>5.5917161797799927E-14</v>
      </c>
      <c r="AC161" s="22">
        <f t="shared" si="163"/>
        <v>21.037238149949744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253.79640000000001</v>
      </c>
      <c r="BF161" s="13">
        <f t="shared" si="167"/>
        <v>61.39816832228076</v>
      </c>
      <c r="BG161" s="20">
        <f t="shared" si="168"/>
        <v>548.96387316130563</v>
      </c>
      <c r="BH161" s="59">
        <f t="shared" si="116"/>
        <v>842.29720649463889</v>
      </c>
      <c r="BI161" s="59">
        <f ca="1">AVERAGE(OFFSET($BH$3,0,0,'Données projet'!$E$11+1,1))-AVERAGE(OFFSET($H$3,0,0,'Données projet'!$E$11+1,1))</f>
        <v>273.69926316253162</v>
      </c>
      <c r="BJ161" s="59">
        <f t="shared" si="146"/>
        <v>270.78513558650451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9.5544528394378059</v>
      </c>
      <c r="BQ161" s="21">
        <f>EXP(-LN(2)/25)*BQ160+(1-EXP(-LN(2)/25))/(LN(2)/25)*Calculateur!BL161*Calculateur!BN161*VLOOKUP('Données projet'!$B$11,Paramètres!$A$1:$I$89,3,0)*0.475*44/12</f>
        <v>0.86789856708500668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10.422351406522813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6.3403846153846128</v>
      </c>
      <c r="BY161" s="12">
        <f>IF('Données projet'!$A$114&gt;35,BY160+BX161-CG160,IF(A161&lt;'Données projet'!$A$114,$BV$205^A161,IF(A161='Données projet'!$A$114,'Données projet'!$B$114,BY160+BX161-CG160)))</f>
        <v>355.64358974358919</v>
      </c>
      <c r="BZ161" s="13">
        <f>BY161*VLOOKUP('Données projet'!$B$12,Paramètres!$A$1:$I$89,3,0)*VLOOKUP('Données projet'!$B$12,Paramètres!$A$1:$I$89,5,0)</f>
        <v>321.78631999999948</v>
      </c>
      <c r="CA161" s="13">
        <f t="shared" si="170"/>
        <v>75.724911775401807</v>
      </c>
      <c r="CB161" s="20">
        <f t="shared" si="171"/>
        <v>692.33206200882375</v>
      </c>
      <c r="CC161" s="59">
        <f t="shared" si="119"/>
        <v>985.66539534215713</v>
      </c>
      <c r="CD161" s="59">
        <f ca="1">AVERAGE(OFFSET($CC$3,0,0,'Données projet'!$E$12+1,1))-AVERAGE(OFFSET($H$3,0,0,'Données projet'!$E$12+1,1))</f>
        <v>302.4170391346459</v>
      </c>
      <c r="CE161" s="59">
        <f t="shared" si="148"/>
        <v>114.18498182856115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58.59330786500648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58.59330786500648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194.89717355535993</v>
      </c>
      <c r="T162" s="59">
        <f t="shared" si="142"/>
        <v>195.422737562245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18.261181757722351</v>
      </c>
      <c r="AA162" s="21">
        <f>EXP(-LN(2)/25)*AA161+(1-EXP(-LN(2)/25))/(LN(2)/25)*Calculateur!V162*Calculateur!X162*VLOOKUP('Données projet'!$B$9,Paramètres!$A$1:$I$89,3,0)*0.475*44/12</f>
        <v>2.3448798222867664</v>
      </c>
      <c r="AB162" s="21">
        <f>EXP(-LN(2)/2)*AB161+(1-EXP(-LN(2)/2))/(LN(2)/2)*V162*Y162*VLOOKUP('Données projet'!$B$9,Paramètres!$A$1:$I$89,3,0)*0.475*44/12</f>
        <v>3.9539404291929692E-14</v>
      </c>
      <c r="AC162" s="22">
        <f t="shared" si="163"/>
        <v>20.606061580009158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253.79640000000001</v>
      </c>
      <c r="BF162" s="13">
        <f t="shared" si="167"/>
        <v>61.39816832228076</v>
      </c>
      <c r="BG162" s="20">
        <f t="shared" si="168"/>
        <v>548.96387316130563</v>
      </c>
      <c r="BH162" s="59">
        <f t="shared" si="116"/>
        <v>842.29720649463889</v>
      </c>
      <c r="BI162" s="59">
        <f ca="1">AVERAGE(OFFSET($BH$3,0,0,'Données projet'!$E$11+1,1))-AVERAGE(OFFSET($H$3,0,0,'Données projet'!$E$11+1,1))</f>
        <v>273.69926316253162</v>
      </c>
      <c r="BJ162" s="59">
        <f t="shared" si="146"/>
        <v>270.78513558650451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9.3670958468972305</v>
      </c>
      <c r="BQ162" s="21">
        <f>EXP(-LN(2)/25)*BQ161+(1-EXP(-LN(2)/25))/(LN(2)/25)*Calculateur!BL162*Calculateur!BN162*VLOOKUP('Données projet'!$B$11,Paramètres!$A$1:$I$89,3,0)*0.475*44/12</f>
        <v>0.84416583512726517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10.211261682024496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6.3403846153846128</v>
      </c>
      <c r="BY162" s="12">
        <f>IF('Données projet'!$A$114&gt;35,BY161+BX162-CG161,IF(A162&lt;'Données projet'!$A$114,$BV$205^A162,IF(A162='Données projet'!$A$114,'Données projet'!$B$114,BY161+BX162-CG161)))</f>
        <v>361.9839743589738</v>
      </c>
      <c r="BZ162" s="13">
        <f>BY162*VLOOKUP('Données projet'!$B$12,Paramètres!$A$1:$I$89,3,0)*VLOOKUP('Données projet'!$B$12,Paramètres!$A$1:$I$89,5,0)</f>
        <v>327.52309999999949</v>
      </c>
      <c r="CA162" s="13">
        <f t="shared" si="170"/>
        <v>76.916557653095737</v>
      </c>
      <c r="CB162" s="20">
        <f t="shared" si="171"/>
        <v>704.39907041247409</v>
      </c>
      <c r="CC162" s="59">
        <f t="shared" si="119"/>
        <v>997.73240374580746</v>
      </c>
      <c r="CD162" s="59">
        <f ca="1">AVERAGE(OFFSET($CC$3,0,0,'Données projet'!$E$12+1,1))-AVERAGE(OFFSET($H$3,0,0,'Données projet'!$E$12+1,1))</f>
        <v>302.4170391346459</v>
      </c>
      <c r="CE162" s="59">
        <f t="shared" si="148"/>
        <v>114.18498182856115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57.444328836162626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57.444328836162626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194.89717355535993</v>
      </c>
      <c r="T163" s="59">
        <f t="shared" si="142"/>
        <v>195.422737562245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17.903091121674478</v>
      </c>
      <c r="AA163" s="21">
        <f>EXP(-LN(2)/25)*AA162+(1-EXP(-LN(2)/25))/(LN(2)/25)*Calculateur!V163*Calculateur!X163*VLOOKUP('Données projet'!$B$9,Paramètres!$A$1:$I$89,3,0)*0.475*44/12</f>
        <v>2.280758960234464</v>
      </c>
      <c r="AB163" s="21">
        <f>EXP(-LN(2)/2)*AB162+(1-EXP(-LN(2)/2))/(LN(2)/2)*V163*Y163*VLOOKUP('Données projet'!$B$9,Paramètres!$A$1:$I$89,3,0)*0.475*44/12</f>
        <v>2.795858089889997E-14</v>
      </c>
      <c r="AC163" s="22">
        <f t="shared" si="163"/>
        <v>20.183850081908972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253.79640000000001</v>
      </c>
      <c r="BF163" s="13">
        <f t="shared" si="167"/>
        <v>61.39816832228076</v>
      </c>
      <c r="BG163" s="20">
        <f t="shared" si="168"/>
        <v>548.96387316130563</v>
      </c>
      <c r="BH163" s="59">
        <f t="shared" si="116"/>
        <v>842.29720649463889</v>
      </c>
      <c r="BI163" s="59">
        <f ca="1">AVERAGE(OFFSET($BH$3,0,0,'Données projet'!$E$11+1,1))-AVERAGE(OFFSET($H$3,0,0,'Données projet'!$E$11+1,1))</f>
        <v>273.69926316253162</v>
      </c>
      <c r="BJ163" s="59">
        <f t="shared" si="146"/>
        <v>270.78513558650451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9.1834128107038939</v>
      </c>
      <c r="BQ163" s="21">
        <f>EXP(-LN(2)/25)*BQ162+(1-EXP(-LN(2)/25))/(LN(2)/25)*Calculateur!BL163*Calculateur!BN163*VLOOKUP('Données projet'!$B$11,Paramètres!$A$1:$I$89,3,0)*0.475*44/12</f>
        <v>0.82108207597295824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10.004494886676852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6.3403846153846128</v>
      </c>
      <c r="BY163" s="12">
        <f>IF('Données projet'!$A$114&gt;35,BY162+BX163-CG162,IF(A163&lt;'Données projet'!$A$114,$BV$205^A163,IF(A163='Données projet'!$A$114,'Données projet'!$B$114,BY162+BX163-CG162)))</f>
        <v>368.3243589743584</v>
      </c>
      <c r="BZ163" s="13">
        <f>BY163*VLOOKUP('Données projet'!$B$12,Paramètres!$A$1:$I$89,3,0)*VLOOKUP('Données projet'!$B$12,Paramètres!$A$1:$I$89,5,0)</f>
        <v>333.2598799999995</v>
      </c>
      <c r="CA163" s="13">
        <f t="shared" si="170"/>
        <v>78.105776321178652</v>
      </c>
      <c r="CB163" s="20">
        <f t="shared" si="171"/>
        <v>716.46185142605191</v>
      </c>
      <c r="CC163" s="59">
        <f t="shared" si="119"/>
        <v>1009.7951847593852</v>
      </c>
      <c r="CD163" s="59">
        <f ca="1">AVERAGE(OFFSET($CC$3,0,0,'Données projet'!$E$12+1,1))-AVERAGE(OFFSET($H$3,0,0,'Données projet'!$E$12+1,1))</f>
        <v>302.4170391346459</v>
      </c>
      <c r="CE163" s="59">
        <f t="shared" si="148"/>
        <v>114.18498182856115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56.317880585266394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56.317880585266394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194.89717355535993</v>
      </c>
      <c r="T164" s="59">
        <f t="shared" si="142"/>
        <v>195.422737562245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17.552022424585786</v>
      </c>
      <c r="AA164" s="21">
        <f>EXP(-LN(2)/25)*AA163+(1-EXP(-LN(2)/25))/(LN(2)/25)*Calculateur!V164*Calculateur!X164*VLOOKUP('Données projet'!$B$9,Paramètres!$A$1:$I$89,3,0)*0.475*44/12</f>
        <v>2.2183914865269516</v>
      </c>
      <c r="AB164" s="21">
        <f>EXP(-LN(2)/2)*AB163+(1-EXP(-LN(2)/2))/(LN(2)/2)*V164*Y164*VLOOKUP('Données projet'!$B$9,Paramètres!$A$1:$I$89,3,0)*0.475*44/12</f>
        <v>1.9769702145964849E-14</v>
      </c>
      <c r="AC164" s="22">
        <f t="shared" si="163"/>
        <v>19.770413911112758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253.79640000000001</v>
      </c>
      <c r="BF164" s="13">
        <f t="shared" si="167"/>
        <v>61.39816832228076</v>
      </c>
      <c r="BG164" s="20">
        <f t="shared" si="168"/>
        <v>548.96387316130563</v>
      </c>
      <c r="BH164" s="59">
        <f t="shared" si="116"/>
        <v>842.29720649463889</v>
      </c>
      <c r="BI164" s="59">
        <f ca="1">AVERAGE(OFFSET($BH$3,0,0,'Données projet'!$E$11+1,1))-AVERAGE(OFFSET($H$3,0,0,'Données projet'!$E$11+1,1))</f>
        <v>273.69926316253162</v>
      </c>
      <c r="BJ164" s="59">
        <f t="shared" si="146"/>
        <v>270.78513558650451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9.00333168681472</v>
      </c>
      <c r="BQ164" s="21">
        <f>EXP(-LN(2)/25)*BQ163+(1-EXP(-LN(2)/25))/(LN(2)/25)*Calculateur!BL164*Calculateur!BN164*VLOOKUP('Données projet'!$B$11,Paramètres!$A$1:$I$89,3,0)*0.475*44/12</f>
        <v>0.79862954342664794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9.8019612302413677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6.3403846153846128</v>
      </c>
      <c r="BY164" s="12">
        <f>IF('Données projet'!$A$114&gt;35,BY163+BX164-CG163,IF(A164&lt;'Données projet'!$A$114,$BV$205^A164,IF(A164='Données projet'!$A$114,'Données projet'!$B$114,BY163+BX164-CG163)))</f>
        <v>374.66474358974301</v>
      </c>
      <c r="BZ164" s="13">
        <f>BY164*VLOOKUP('Données projet'!$B$12,Paramètres!$A$1:$I$89,3,0)*VLOOKUP('Données projet'!$B$12,Paramètres!$A$1:$I$89,5,0)</f>
        <v>338.99665999999951</v>
      </c>
      <c r="CA164" s="13">
        <f t="shared" si="170"/>
        <v>79.292614383358782</v>
      </c>
      <c r="CB164" s="20">
        <f t="shared" si="171"/>
        <v>728.52048621768233</v>
      </c>
      <c r="CC164" s="59">
        <f t="shared" si="119"/>
        <v>1021.8538195510157</v>
      </c>
      <c r="CD164" s="59">
        <f ca="1">AVERAGE(OFFSET($CC$3,0,0,'Données projet'!$E$12+1,1))-AVERAGE(OFFSET($H$3,0,0,'Données projet'!$E$12+1,1))</f>
        <v>302.4170391346459</v>
      </c>
      <c r="CE164" s="59">
        <f t="shared" si="148"/>
        <v>114.18498182856115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55.213521297504649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55.213521297504649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194.89717355535993</v>
      </c>
      <c r="T165" s="59">
        <f t="shared" si="142"/>
        <v>195.422737562245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17.207837970516241</v>
      </c>
      <c r="AA165" s="21">
        <f>EXP(-LN(2)/25)*AA164+(1-EXP(-LN(2)/25))/(LN(2)/25)*Calculateur!V165*Calculateur!X165*VLOOKUP('Données projet'!$B$9,Paramètres!$A$1:$I$89,3,0)*0.475*44/12</f>
        <v>2.1577294546677339</v>
      </c>
      <c r="AB165" s="21">
        <f>EXP(-LN(2)/2)*AB164+(1-EXP(-LN(2)/2))/(LN(2)/2)*V165*Y165*VLOOKUP('Données projet'!$B$9,Paramètres!$A$1:$I$89,3,0)*0.475*44/12</f>
        <v>1.3979290449449986E-14</v>
      </c>
      <c r="AC165" s="22">
        <f t="shared" si="163"/>
        <v>19.36556742518399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253.79640000000001</v>
      </c>
      <c r="BF165" s="13">
        <f t="shared" si="167"/>
        <v>61.39816832228076</v>
      </c>
      <c r="BG165" s="20">
        <f t="shared" si="168"/>
        <v>548.96387316130563</v>
      </c>
      <c r="BH165" s="59">
        <f t="shared" si="116"/>
        <v>842.29720649463889</v>
      </c>
      <c r="BI165" s="59">
        <f ca="1">AVERAGE(OFFSET($BH$3,0,0,'Données projet'!$E$11+1,1))-AVERAGE(OFFSET($H$3,0,0,'Données projet'!$E$11+1,1))</f>
        <v>273.69926316253162</v>
      </c>
      <c r="BJ165" s="59">
        <f t="shared" si="146"/>
        <v>270.78513558650451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8.8267818439263728</v>
      </c>
      <c r="BQ165" s="21">
        <f>EXP(-LN(2)/25)*BQ164+(1-EXP(-LN(2)/25))/(LN(2)/25)*Calculateur!BL165*Calculateur!BN165*VLOOKUP('Données projet'!$B$11,Paramètres!$A$1:$I$89,3,0)*0.475*44/12</f>
        <v>0.7767909765635439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9.6035728204899158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6.3403846153846128</v>
      </c>
      <c r="BY165" s="12">
        <f>IF('Données projet'!$A$114&gt;35,BY164+BX165-CG164,IF(A165&lt;'Données projet'!$A$114,$BV$205^A165,IF(A165='Données projet'!$A$114,'Données projet'!$B$114,BY164+BX165-CG164)))</f>
        <v>381.00512820512762</v>
      </c>
      <c r="BZ165" s="13">
        <f>BY165*VLOOKUP('Données projet'!$B$12,Paramètres!$A$1:$I$89,3,0)*VLOOKUP('Données projet'!$B$12,Paramètres!$A$1:$I$89,5,0)</f>
        <v>344.73343999999946</v>
      </c>
      <c r="CA165" s="13">
        <f t="shared" si="170"/>
        <v>80.477116775616508</v>
      </c>
      <c r="CB165" s="20">
        <f t="shared" si="171"/>
        <v>740.57505305086443</v>
      </c>
      <c r="CC165" s="59">
        <f t="shared" si="119"/>
        <v>1033.9083863841977</v>
      </c>
      <c r="CD165" s="59">
        <f ca="1">AVERAGE(OFFSET($CC$3,0,0,'Données projet'!$E$12+1,1))-AVERAGE(OFFSET($H$3,0,0,'Données projet'!$E$12+1,1))</f>
        <v>302.4170391346459</v>
      </c>
      <c r="CE165" s="59">
        <f t="shared" si="148"/>
        <v>114.18498182856115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54.130817821783253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54.130817821783253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194.89717355535993</v>
      </c>
      <c r="T166" s="59">
        <f t="shared" si="142"/>
        <v>195.422737562245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16.870402763659211</v>
      </c>
      <c r="AA166" s="21">
        <f>EXP(-LN(2)/25)*AA165+(1-EXP(-LN(2)/25))/(LN(2)/25)*Calculateur!V166*Calculateur!X166*VLOOKUP('Données projet'!$B$9,Paramètres!$A$1:$I$89,3,0)*0.475*44/12</f>
        <v>2.0987262292597841</v>
      </c>
      <c r="AB166" s="21">
        <f>EXP(-LN(2)/2)*AB165+(1-EXP(-LN(2)/2))/(LN(2)/2)*V166*Y166*VLOOKUP('Données projet'!$B$9,Paramètres!$A$1:$I$89,3,0)*0.475*44/12</f>
        <v>9.8848510729824262E-15</v>
      </c>
      <c r="AC166" s="22">
        <f t="shared" si="163"/>
        <v>18.969128992919007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253.79640000000001</v>
      </c>
      <c r="BF166" s="13">
        <f t="shared" si="167"/>
        <v>61.39816832228076</v>
      </c>
      <c r="BG166" s="20">
        <f t="shared" si="168"/>
        <v>548.96387316130563</v>
      </c>
      <c r="BH166" s="59">
        <f t="shared" si="116"/>
        <v>842.29720649463889</v>
      </c>
      <c r="BI166" s="59">
        <f ca="1">AVERAGE(OFFSET($BH$3,0,0,'Données projet'!$E$11+1,1))-AVERAGE(OFFSET($H$3,0,0,'Données projet'!$E$11+1,1))</f>
        <v>273.69926316253162</v>
      </c>
      <c r="BJ166" s="59">
        <f t="shared" si="146"/>
        <v>270.78513558650451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8.6536940357722951</v>
      </c>
      <c r="BQ166" s="21">
        <f>EXP(-LN(2)/25)*BQ165+(1-EXP(-LN(2)/25))/(LN(2)/25)*Calculateur!BL166*Calculateur!BN166*VLOOKUP('Données projet'!$B$11,Paramètres!$A$1:$I$89,3,0)*0.475*44/12</f>
        <v>0.75554958645975168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9.4092436222320472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6.3403846153846128</v>
      </c>
      <c r="BY166" s="12">
        <f>IF('Données projet'!$A$114&gt;35,BY165+BX166-CG165,IF(A166&lt;'Données projet'!$A$114,$BV$205^A166,IF(A166='Données projet'!$A$114,'Données projet'!$B$114,BY165+BX166-CG165)))</f>
        <v>387.34551282051223</v>
      </c>
      <c r="BZ166" s="13">
        <f>BY166*VLOOKUP('Données projet'!$B$12,Paramètres!$A$1:$I$89,3,0)*VLOOKUP('Données projet'!$B$12,Paramètres!$A$1:$I$89,5,0)</f>
        <v>350.47021999999941</v>
      </c>
      <c r="CA166" s="13">
        <f t="shared" si="170"/>
        <v>81.659326852624957</v>
      </c>
      <c r="CB166" s="20">
        <f t="shared" si="171"/>
        <v>752.62562743498745</v>
      </c>
      <c r="CC166" s="59">
        <f t="shared" si="119"/>
        <v>1045.9589607683208</v>
      </c>
      <c r="CD166" s="59">
        <f ca="1">AVERAGE(OFFSET($CC$3,0,0,'Données projet'!$E$12+1,1))-AVERAGE(OFFSET($H$3,0,0,'Données projet'!$E$12+1,1))</f>
        <v>302.4170391346459</v>
      </c>
      <c r="CE166" s="59">
        <f t="shared" si="148"/>
        <v>114.18498182856115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53.069345500836846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53.069345500836846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194.89717355535993</v>
      </c>
      <c r="T167" s="59">
        <f t="shared" si="142"/>
        <v>195.422737562245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16.539584455393495</v>
      </c>
      <c r="AA167" s="21">
        <f>EXP(-LN(2)/25)*AA166+(1-EXP(-LN(2)/25))/(LN(2)/25)*Calculateur!V167*Calculateur!X167*VLOOKUP('Données projet'!$B$9,Paramètres!$A$1:$I$89,3,0)*0.475*44/12</f>
        <v>2.0413364501534597</v>
      </c>
      <c r="AB167" s="21">
        <f>EXP(-LN(2)/2)*AB166+(1-EXP(-LN(2)/2))/(LN(2)/2)*V167*Y167*VLOOKUP('Données projet'!$B$9,Paramètres!$A$1:$I$89,3,0)*0.475*44/12</f>
        <v>6.9896452247249948E-15</v>
      </c>
      <c r="AC167" s="22">
        <f t="shared" si="163"/>
        <v>18.580920905546961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253.79640000000001</v>
      </c>
      <c r="BF167" s="13">
        <f t="shared" si="167"/>
        <v>61.39816832228076</v>
      </c>
      <c r="BG167" s="20">
        <f t="shared" si="168"/>
        <v>548.96387316130563</v>
      </c>
      <c r="BH167" s="59">
        <f t="shared" si="116"/>
        <v>842.29720649463889</v>
      </c>
      <c r="BI167" s="59">
        <f ca="1">AVERAGE(OFFSET($BH$3,0,0,'Données projet'!$E$11+1,1))-AVERAGE(OFFSET($H$3,0,0,'Données projet'!$E$11+1,1))</f>
        <v>273.69926316253162</v>
      </c>
      <c r="BJ167" s="59">
        <f t="shared" si="146"/>
        <v>270.78513558650451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8.4840003739629797</v>
      </c>
      <c r="BQ167" s="21">
        <f>EXP(-LN(2)/25)*BQ166+(1-EXP(-LN(2)/25))/(LN(2)/25)*Calculateur!BL167*Calculateur!BN167*VLOOKUP('Données projet'!$B$11,Paramètres!$A$1:$I$89,3,0)*0.475*44/12</f>
        <v>0.73488904328538385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9.2188894172483629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393.6858974358974</v>
      </c>
      <c r="BW167" s="12">
        <f>VLOOKUP(A167,'Données projet'!$A$113:$I$133,9,0)</f>
        <v>6.3403846153846128</v>
      </c>
      <c r="BX167" s="12">
        <f t="array" ref="BX167">INDEX(BW:BW,MIN(IF(ISNUMBER(BW167:BW363),ROW(BW167:BW363),"")))</f>
        <v>6.3403846153846128</v>
      </c>
      <c r="BY167" s="12">
        <f>IF('Données projet'!$A$114&gt;35,BY166+BX167-CG166,IF(A167&lt;'Données projet'!$A$114,$BV$205^A167,IF(A167='Données projet'!$A$114,'Données projet'!$B$114,BY166+BX167-CG166)))</f>
        <v>393.68589743589683</v>
      </c>
      <c r="BZ167" s="13">
        <f>BY167*VLOOKUP('Données projet'!$B$12,Paramètres!$A$1:$I$89,3,0)*VLOOKUP('Données projet'!$B$12,Paramètres!$A$1:$I$89,5,0)</f>
        <v>356.20699999999943</v>
      </c>
      <c r="CA167" s="13">
        <f t="shared" si="170"/>
        <v>82.839286468353521</v>
      </c>
      <c r="CB167" s="20">
        <f t="shared" si="171"/>
        <v>764.67228226571467</v>
      </c>
      <c r="CC167" s="59">
        <f t="shared" si="119"/>
        <v>1058.005615599048</v>
      </c>
      <c r="CD167" s="59">
        <f ca="1">AVERAGE(OFFSET($CC$3,0,0,'Données projet'!$E$12+1,1))-AVERAGE(OFFSET($H$3,0,0,'Données projet'!$E$12+1,1))</f>
        <v>302.4170391346459</v>
      </c>
      <c r="CE167" s="59">
        <f t="shared" si="148"/>
        <v>114.18498182856115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44.814102564102562</v>
      </c>
      <c r="CH167" s="16">
        <f>IF(ISNA(VLOOKUP(A167,'Données projet'!$A$113:$I$133,5,0)),0%,VLOOKUP(A167,'Données projet'!$A$113:$I$133,5,0)*VLOOKUP('Données projet'!$B$12,Paramètres!$A$1:$I$89,7,0))</f>
        <v>0.38700000000000001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69.375727652642539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69.375727652642539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194.89717355535993</v>
      </c>
      <c r="T168" s="59">
        <f t="shared" si="142"/>
        <v>195.422737562245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16.215253292373625</v>
      </c>
      <c r="AA168" s="21">
        <f>EXP(-LN(2)/25)*AA167+(1-EXP(-LN(2)/25))/(LN(2)/25)*Calculateur!V168*Calculateur!X168*VLOOKUP('Données projet'!$B$9,Paramètres!$A$1:$I$89,3,0)*0.475*44/12</f>
        <v>1.9855159975747949</v>
      </c>
      <c r="AB168" s="21">
        <f>EXP(-LN(2)/2)*AB167+(1-EXP(-LN(2)/2))/(LN(2)/2)*V168*Y168*VLOOKUP('Données projet'!$B$9,Paramètres!$A$1:$I$89,3,0)*0.475*44/12</f>
        <v>4.9424255364912139E-15</v>
      </c>
      <c r="AC168" s="22">
        <f t="shared" si="163"/>
        <v>18.200769289948422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253.79640000000001</v>
      </c>
      <c r="BF168" s="13">
        <f t="shared" si="167"/>
        <v>61.39816832228076</v>
      </c>
      <c r="BG168" s="20">
        <f t="shared" si="168"/>
        <v>548.96387316130563</v>
      </c>
      <c r="BH168" s="59">
        <f t="shared" si="116"/>
        <v>842.29720649463889</v>
      </c>
      <c r="BI168" s="59">
        <f ca="1">AVERAGE(OFFSET($BH$3,0,0,'Données projet'!$E$11+1,1))-AVERAGE(OFFSET($H$3,0,0,'Données projet'!$E$11+1,1))</f>
        <v>273.69926316253162</v>
      </c>
      <c r="BJ168" s="59">
        <f t="shared" si="146"/>
        <v>270.78513558650451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8.3176343013588312</v>
      </c>
      <c r="BQ168" s="21">
        <f>EXP(-LN(2)/25)*BQ167+(1-EXP(-LN(2)/25))/(LN(2)/25)*Calculateur!BL168*Calculateur!BN168*VLOOKUP('Données projet'!$B$11,Paramètres!$A$1:$I$89,3,0)*0.475*44/12</f>
        <v>0.71479346375060981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9.0324277651094409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6.4179487179487182</v>
      </c>
      <c r="BY168" s="12">
        <f>IF('Données projet'!$A$114&gt;35,BY167+BX168-CG167,IF(A168&lt;'Données projet'!$A$114,$BV$205^A168,IF(A168='Données projet'!$A$114,'Données projet'!$B$114,BY167+BX168-CG167)))</f>
        <v>355.28974358974301</v>
      </c>
      <c r="BZ168" s="13">
        <f>BY168*VLOOKUP('Données projet'!$B$12,Paramètres!$A$1:$I$89,3,0)*VLOOKUP('Données projet'!$B$12,Paramètres!$A$1:$I$89,5,0)</f>
        <v>321.46615999999949</v>
      </c>
      <c r="CA168" s="13">
        <f t="shared" si="170"/>
        <v>75.658335555310842</v>
      </c>
      <c r="CB168" s="20">
        <f t="shared" si="171"/>
        <v>691.65849642549881</v>
      </c>
      <c r="CC168" s="59">
        <f t="shared" si="119"/>
        <v>984.99182975883218</v>
      </c>
      <c r="CD168" s="59">
        <f ca="1">AVERAGE(OFFSET($CC$3,0,0,'Données projet'!$E$12+1,1))-AVERAGE(OFFSET($H$3,0,0,'Données projet'!$E$12+1,1))</f>
        <v>302.4170391346459</v>
      </c>
      <c r="CE168" s="59">
        <f t="shared" si="148"/>
        <v>114.18498182856115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68.015311948389822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68.015311948389822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194.89717355535993</v>
      </c>
      <c r="T169" s="59">
        <f t="shared" si="142"/>
        <v>195.422737562245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15.897282065638098</v>
      </c>
      <c r="AA169" s="21">
        <f>EXP(-LN(2)/25)*AA168+(1-EXP(-LN(2)/25))/(LN(2)/25)*Calculateur!V169*Calculateur!X169*VLOOKUP('Données projet'!$B$9,Paramètres!$A$1:$I$89,3,0)*0.475*44/12</f>
        <v>1.9312219582073638</v>
      </c>
      <c r="AB169" s="21">
        <f>EXP(-LN(2)/2)*AB168+(1-EXP(-LN(2)/2))/(LN(2)/2)*V169*Y169*VLOOKUP('Données projet'!$B$9,Paramètres!$A$1:$I$89,3,0)*0.475*44/12</f>
        <v>3.4948226123624978E-15</v>
      </c>
      <c r="AC169" s="22">
        <f t="shared" si="163"/>
        <v>17.828504023845465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253.79640000000001</v>
      </c>
      <c r="BF169" s="13">
        <f t="shared" si="167"/>
        <v>61.39816832228076</v>
      </c>
      <c r="BG169" s="20">
        <f t="shared" si="168"/>
        <v>548.96387316130563</v>
      </c>
      <c r="BH169" s="59">
        <f t="shared" si="116"/>
        <v>842.29720649463889</v>
      </c>
      <c r="BI169" s="59">
        <f ca="1">AVERAGE(OFFSET($BH$3,0,0,'Données projet'!$E$11+1,1))-AVERAGE(OFFSET($H$3,0,0,'Données projet'!$E$11+1,1))</f>
        <v>273.69926316253162</v>
      </c>
      <c r="BJ169" s="59">
        <f t="shared" si="146"/>
        <v>270.78513558650451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8.1545305659651657</v>
      </c>
      <c r="BQ169" s="21">
        <f>EXP(-LN(2)/25)*BQ168+(1-EXP(-LN(2)/25))/(LN(2)/25)*Calculateur!BL169*Calculateur!BN169*VLOOKUP('Données projet'!$B$11,Paramètres!$A$1:$I$89,3,0)*0.475*44/12</f>
        <v>0.69524739889499476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8.8497779648601611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6.4179487179487182</v>
      </c>
      <c r="BY169" s="12">
        <f>IF('Données projet'!$A$114&gt;35,BY168+BX169-CG168,IF(A169&lt;'Données projet'!$A$114,$BV$205^A169,IF(A169='Données projet'!$A$114,'Données projet'!$B$114,BY168+BX169-CG168)))</f>
        <v>361.70769230769173</v>
      </c>
      <c r="BZ169" s="13">
        <f>BY169*VLOOKUP('Données projet'!$B$12,Paramètres!$A$1:$I$89,3,0)*VLOOKUP('Données projet'!$B$12,Paramètres!$A$1:$I$89,5,0)</f>
        <v>327.27311999999944</v>
      </c>
      <c r="CA169" s="13">
        <f t="shared" si="170"/>
        <v>76.864682645751117</v>
      </c>
      <c r="CB169" s="20">
        <f t="shared" si="171"/>
        <v>703.8733396080155</v>
      </c>
      <c r="CC169" s="59">
        <f t="shared" si="119"/>
        <v>997.20667294134887</v>
      </c>
      <c r="CD169" s="59">
        <f ca="1">AVERAGE(OFFSET($CC$3,0,0,'Données projet'!$E$12+1,1))-AVERAGE(OFFSET($H$3,0,0,'Données projet'!$E$12+1,1))</f>
        <v>302.4170391346459</v>
      </c>
      <c r="CE169" s="59">
        <f t="shared" si="148"/>
        <v>114.18498182856115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66.681573166325862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66.681573166325862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194.89717355535993</v>
      </c>
      <c r="T170" s="59">
        <f t="shared" si="142"/>
        <v>195.422737562245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15.585546060715556</v>
      </c>
      <c r="AA170" s="21">
        <f>EXP(-LN(2)/25)*AA169+(1-EXP(-LN(2)/25))/(LN(2)/25)*Calculateur!V170*Calculateur!X170*VLOOKUP('Données projet'!$B$9,Paramètres!$A$1:$I$89,3,0)*0.475*44/12</f>
        <v>1.8784125922016344</v>
      </c>
      <c r="AB170" s="21">
        <f>EXP(-LN(2)/2)*AB169+(1-EXP(-LN(2)/2))/(LN(2)/2)*V170*Y170*VLOOKUP('Données projet'!$B$9,Paramètres!$A$1:$I$89,3,0)*0.475*44/12</f>
        <v>2.4712127682456073E-15</v>
      </c>
      <c r="AC170" s="22">
        <f t="shared" si="163"/>
        <v>17.463958652917196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253.79640000000001</v>
      </c>
      <c r="BF170" s="13">
        <f t="shared" si="167"/>
        <v>61.39816832228076</v>
      </c>
      <c r="BG170" s="20">
        <f t="shared" si="168"/>
        <v>548.96387316130563</v>
      </c>
      <c r="BH170" s="59">
        <f t="shared" si="116"/>
        <v>842.29720649463889</v>
      </c>
      <c r="BI170" s="59">
        <f ca="1">AVERAGE(OFFSET($BH$3,0,0,'Données projet'!$E$11+1,1))-AVERAGE(OFFSET($H$3,0,0,'Données projet'!$E$11+1,1))</f>
        <v>273.69926316253162</v>
      </c>
      <c r="BJ170" s="59">
        <f t="shared" si="146"/>
        <v>270.78513558650451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7.9946251953391148</v>
      </c>
      <c r="BQ170" s="21">
        <f>EXP(-LN(2)/25)*BQ169+(1-EXP(-LN(2)/25))/(LN(2)/25)*Calculateur!BL170*Calculateur!BN170*VLOOKUP('Données projet'!$B$11,Paramètres!$A$1:$I$89,3,0)*0.475*44/12</f>
        <v>0.67623582221073941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8.6708610175498535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6.4179487179487182</v>
      </c>
      <c r="BY170" s="12">
        <f>IF('Données projet'!$A$114&gt;35,BY169+BX170-CG169,IF(A170&lt;'Données projet'!$A$114,$BV$205^A170,IF(A170='Données projet'!$A$114,'Données projet'!$B$114,BY169+BX170-CG169)))</f>
        <v>368.12564102564045</v>
      </c>
      <c r="BZ170" s="13">
        <f>BY170*VLOOKUP('Données projet'!$B$12,Paramètres!$A$1:$I$89,3,0)*VLOOKUP('Données projet'!$B$12,Paramètres!$A$1:$I$89,5,0)</f>
        <v>333.08007999999944</v>
      </c>
      <c r="CA170" s="13">
        <f t="shared" si="170"/>
        <v>78.068540652807755</v>
      </c>
      <c r="CB170" s="20">
        <f t="shared" si="171"/>
        <v>716.08384763697256</v>
      </c>
      <c r="CC170" s="59">
        <f t="shared" si="119"/>
        <v>1009.4171809703059</v>
      </c>
      <c r="CD170" s="59">
        <f ca="1">AVERAGE(OFFSET($CC$3,0,0,'Données projet'!$E$12+1,1))-AVERAGE(OFFSET($H$3,0,0,'Données projet'!$E$12+1,1))</f>
        <v>302.4170391346459</v>
      </c>
      <c r="CE170" s="59">
        <f t="shared" si="148"/>
        <v>114.18498182856115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65.373988188277835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65.373988188277835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194.89717355535993</v>
      </c>
      <c r="T171" s="59">
        <f t="shared" si="142"/>
        <v>195.422737562245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15.279923008709357</v>
      </c>
      <c r="AA171" s="21">
        <f>EXP(-LN(2)/25)*AA170+(1-EXP(-LN(2)/25))/(LN(2)/25)*Calculateur!V171*Calculateur!X171*VLOOKUP('Données projet'!$B$9,Paramètres!$A$1:$I$89,3,0)*0.475*44/12</f>
        <v>1.8270473010864556</v>
      </c>
      <c r="AB171" s="21">
        <f>EXP(-LN(2)/2)*AB170+(1-EXP(-LN(2)/2))/(LN(2)/2)*V171*Y171*VLOOKUP('Données projet'!$B$9,Paramètres!$A$1:$I$89,3,0)*0.475*44/12</f>
        <v>1.7474113061812491E-15</v>
      </c>
      <c r="AC171" s="22">
        <f t="shared" si="163"/>
        <v>17.106970309795813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253.79640000000001</v>
      </c>
      <c r="BF171" s="13">
        <f t="shared" si="167"/>
        <v>61.39816832228076</v>
      </c>
      <c r="BG171" s="20">
        <f t="shared" si="168"/>
        <v>548.96387316130563</v>
      </c>
      <c r="BH171" s="59">
        <f t="shared" si="116"/>
        <v>842.29720649463889</v>
      </c>
      <c r="BI171" s="59">
        <f ca="1">AVERAGE(OFFSET($BH$3,0,0,'Données projet'!$E$11+1,1))-AVERAGE(OFFSET($H$3,0,0,'Données projet'!$E$11+1,1))</f>
        <v>273.69926316253162</v>
      </c>
      <c r="BJ171" s="59">
        <f t="shared" si="146"/>
        <v>270.78513558650451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7.8378554714983952</v>
      </c>
      <c r="BQ171" s="21">
        <f>EXP(-LN(2)/25)*BQ170+(1-EXP(-LN(2)/25))/(LN(2)/25)*Calculateur!BL171*Calculateur!BN171*VLOOKUP('Données projet'!$B$11,Paramètres!$A$1:$I$89,3,0)*0.475*44/12</f>
        <v>0.65774411809069044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8.4955995895890855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6.4179487179487182</v>
      </c>
      <c r="BY171" s="12">
        <f>IF('Données projet'!$A$114&gt;35,BY170+BX171-CG170,IF(A171&lt;'Données projet'!$A$114,$BV$205^A171,IF(A171='Données projet'!$A$114,'Données projet'!$B$114,BY170+BX171-CG170)))</f>
        <v>374.54358974358917</v>
      </c>
      <c r="BZ171" s="13">
        <f>BY171*VLOOKUP('Données projet'!$B$12,Paramètres!$A$1:$I$89,3,0)*VLOOKUP('Données projet'!$B$12,Paramètres!$A$1:$I$89,5,0)</f>
        <v>338.88703999999944</v>
      </c>
      <c r="CA171" s="13">
        <f t="shared" si="170"/>
        <v>79.26995797846979</v>
      </c>
      <c r="CB171" s="20">
        <f t="shared" si="171"/>
        <v>728.29010481250054</v>
      </c>
      <c r="CC171" s="59">
        <f t="shared" si="119"/>
        <v>1021.6234381458339</v>
      </c>
      <c r="CD171" s="59">
        <f ca="1">AVERAGE(OFFSET($CC$3,0,0,'Données projet'!$E$12+1,1))-AVERAGE(OFFSET($H$3,0,0,'Données projet'!$E$12+1,1))</f>
        <v>302.4170391346459</v>
      </c>
      <c r="CE171" s="59">
        <f t="shared" si="148"/>
        <v>114.18498182856115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64.092044154101245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64.092044154101245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194.89717355535993</v>
      </c>
      <c r="T172" s="59">
        <f t="shared" si="142"/>
        <v>195.422737562245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14.980293038341344</v>
      </c>
      <c r="AA172" s="21">
        <f>EXP(-LN(2)/25)*AA171+(1-EXP(-LN(2)/25))/(LN(2)/25)*Calculateur!V172*Calculateur!X172*VLOOKUP('Données projet'!$B$9,Paramètres!$A$1:$I$89,3,0)*0.475*44/12</f>
        <v>1.7770865965580047</v>
      </c>
      <c r="AB172" s="21">
        <f>EXP(-LN(2)/2)*AB171+(1-EXP(-LN(2)/2))/(LN(2)/2)*V172*Y172*VLOOKUP('Données projet'!$B$9,Paramètres!$A$1:$I$89,3,0)*0.475*44/12</f>
        <v>1.2356063841228039E-15</v>
      </c>
      <c r="AC172" s="22">
        <f t="shared" si="163"/>
        <v>16.757379634899348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253.79640000000001</v>
      </c>
      <c r="BF172" s="13">
        <f t="shared" si="167"/>
        <v>61.39816832228076</v>
      </c>
      <c r="BG172" s="20">
        <f t="shared" si="168"/>
        <v>548.96387316130563</v>
      </c>
      <c r="BH172" s="59">
        <f t="shared" si="116"/>
        <v>842.29720649463889</v>
      </c>
      <c r="BI172" s="59">
        <f ca="1">AVERAGE(OFFSET($BH$3,0,0,'Données projet'!$E$11+1,1))-AVERAGE(OFFSET($H$3,0,0,'Données projet'!$E$11+1,1))</f>
        <v>273.69926316253162</v>
      </c>
      <c r="BJ172" s="59">
        <f t="shared" si="146"/>
        <v>270.78513558650451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7.684159906322102</v>
      </c>
      <c r="BQ172" s="21">
        <f>EXP(-LN(2)/25)*BQ171+(1-EXP(-LN(2)/25))/(LN(2)/25)*Calculateur!BL172*Calculateur!BN172*VLOOKUP('Données projet'!$B$11,Paramètres!$A$1:$I$89,3,0)*0.475*44/12</f>
        <v>0.63975807059224066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8.323917976914343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6.4179487179487182</v>
      </c>
      <c r="BY172" s="12">
        <f>IF('Données projet'!$A$114&gt;35,BY171+BX172-CG171,IF(A172&lt;'Données projet'!$A$114,$BV$205^A172,IF(A172='Données projet'!$A$114,'Données projet'!$B$114,BY171+BX172-CG171)))</f>
        <v>380.96153846153788</v>
      </c>
      <c r="BZ172" s="13">
        <f>BY172*VLOOKUP('Données projet'!$B$12,Paramètres!$A$1:$I$89,3,0)*VLOOKUP('Données projet'!$B$12,Paramètres!$A$1:$I$89,5,0)</f>
        <v>344.69399999999945</v>
      </c>
      <c r="CA172" s="13">
        <f t="shared" si="170"/>
        <v>80.468981270905161</v>
      </c>
      <c r="CB172" s="20">
        <f t="shared" si="171"/>
        <v>740.49219238015883</v>
      </c>
      <c r="CC172" s="59">
        <f t="shared" si="119"/>
        <v>1033.8255257134922</v>
      </c>
      <c r="CD172" s="59">
        <f ca="1">AVERAGE(OFFSET($CC$3,0,0,'Données projet'!$E$12+1,1))-AVERAGE(OFFSET($H$3,0,0,'Données projet'!$E$12+1,1))</f>
        <v>302.4170391346459</v>
      </c>
      <c r="CE172" s="59">
        <f t="shared" si="148"/>
        <v>114.18498182856115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62.835238260526211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62.835238260526211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194.89717355535993</v>
      </c>
      <c r="T173" s="59">
        <f t="shared" si="142"/>
        <v>195.422737562245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14.686538628936011</v>
      </c>
      <c r="AA173" s="21">
        <f>EXP(-LN(2)/25)*AA172+(1-EXP(-LN(2)/25))/(LN(2)/25)*Calculateur!V173*Calculateur!X173*VLOOKUP('Données projet'!$B$9,Paramètres!$A$1:$I$89,3,0)*0.475*44/12</f>
        <v>1.7284920701222035</v>
      </c>
      <c r="AB173" s="21">
        <f>EXP(-LN(2)/2)*AB172+(1-EXP(-LN(2)/2))/(LN(2)/2)*V173*Y173*VLOOKUP('Données projet'!$B$9,Paramètres!$A$1:$I$89,3,0)*0.475*44/12</f>
        <v>8.7370565309062474E-16</v>
      </c>
      <c r="AC173" s="22">
        <f t="shared" si="163"/>
        <v>16.415030699058214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253.79640000000001</v>
      </c>
      <c r="BF173" s="13">
        <f t="shared" si="167"/>
        <v>61.39816832228076</v>
      </c>
      <c r="BG173" s="20">
        <f t="shared" si="168"/>
        <v>548.96387316130563</v>
      </c>
      <c r="BH173" s="59">
        <f t="shared" si="116"/>
        <v>842.29720649463889</v>
      </c>
      <c r="BI173" s="59">
        <f ca="1">AVERAGE(OFFSET($BH$3,0,0,'Données projet'!$E$11+1,1))-AVERAGE(OFFSET($H$3,0,0,'Données projet'!$E$11+1,1))</f>
        <v>273.69926316253162</v>
      </c>
      <c r="BJ173" s="59">
        <f t="shared" si="146"/>
        <v>270.78513558650451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7.5334782174338777</v>
      </c>
      <c r="BQ173" s="21">
        <f>EXP(-LN(2)/25)*BQ172+(1-EXP(-LN(2)/25))/(LN(2)/25)*Calculateur!BL173*Calculateur!BN173*VLOOKUP('Données projet'!$B$11,Paramètres!$A$1:$I$89,3,0)*0.475*44/12</f>
        <v>0.62226385250848104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8.1557420699423595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6.4179487179487182</v>
      </c>
      <c r="BY173" s="12">
        <f>IF('Données projet'!$A$114&gt;35,BY172+BX173-CG172,IF(A173&lt;'Données projet'!$A$114,$BV$205^A173,IF(A173='Données projet'!$A$114,'Données projet'!$B$114,BY172+BX173-CG172)))</f>
        <v>387.3794871794866</v>
      </c>
      <c r="BZ173" s="13">
        <f>BY173*VLOOKUP('Données projet'!$B$12,Paramètres!$A$1:$I$89,3,0)*VLOOKUP('Données projet'!$B$12,Paramètres!$A$1:$I$89,5,0)</f>
        <v>350.50095999999945</v>
      </c>
      <c r="CA173" s="13">
        <f t="shared" si="170"/>
        <v>81.665655516464668</v>
      </c>
      <c r="CB173" s="20">
        <f t="shared" si="171"/>
        <v>752.69018869117497</v>
      </c>
      <c r="CC173" s="59">
        <f t="shared" si="119"/>
        <v>1046.0235220245083</v>
      </c>
      <c r="CD173" s="59">
        <f ca="1">AVERAGE(OFFSET($CC$3,0,0,'Données projet'!$E$12+1,1))-AVERAGE(OFFSET($H$3,0,0,'Données projet'!$E$12+1,1))</f>
        <v>302.4170391346459</v>
      </c>
      <c r="CE173" s="59">
        <f t="shared" si="148"/>
        <v>114.18498182856115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61.603077563948283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61.603077563948283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194.89717355535993</v>
      </c>
      <c r="T174" s="59">
        <f t="shared" si="142"/>
        <v>195.422737562245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14.39854456432662</v>
      </c>
      <c r="AA174" s="21">
        <f>EXP(-LN(2)/25)*AA173+(1-EXP(-LN(2)/25))/(LN(2)/25)*Calculateur!V174*Calculateur!X174*VLOOKUP('Données projet'!$B$9,Paramètres!$A$1:$I$89,3,0)*0.475*44/12</f>
        <v>1.6812263635672644</v>
      </c>
      <c r="AB174" s="21">
        <f>EXP(-LN(2)/2)*AB173+(1-EXP(-LN(2)/2))/(LN(2)/2)*V174*Y174*VLOOKUP('Données projet'!$B$9,Paramètres!$A$1:$I$89,3,0)*0.475*44/12</f>
        <v>6.1780319206140203E-16</v>
      </c>
      <c r="AC174" s="22">
        <f t="shared" si="163"/>
        <v>16.079770927893886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253.79640000000001</v>
      </c>
      <c r="BF174" s="13">
        <f t="shared" si="167"/>
        <v>61.39816832228076</v>
      </c>
      <c r="BG174" s="20">
        <f t="shared" si="168"/>
        <v>548.96387316130563</v>
      </c>
      <c r="BH174" s="59">
        <f t="shared" si="116"/>
        <v>842.29720649463889</v>
      </c>
      <c r="BI174" s="59">
        <f ca="1">AVERAGE(OFFSET($BH$3,0,0,'Données projet'!$E$11+1,1))-AVERAGE(OFFSET($H$3,0,0,'Données projet'!$E$11+1,1))</f>
        <v>273.69926316253162</v>
      </c>
      <c r="BJ174" s="59">
        <f t="shared" si="146"/>
        <v>270.78513558650451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7.3857513045579966</v>
      </c>
      <c r="BQ174" s="21">
        <f>EXP(-LN(2)/25)*BQ173+(1-EXP(-LN(2)/25))/(LN(2)/25)*Calculateur!BL174*Calculateur!BN174*VLOOKUP('Données projet'!$B$11,Paramètres!$A$1:$I$89,3,0)*0.475*44/12</f>
        <v>0.60524801473820278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7.9909993192961997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6.4179487179487182</v>
      </c>
      <c r="BY174" s="12">
        <f>IF('Données projet'!$A$114&gt;35,BY173+BX174-CG173,IF(A174&lt;'Données projet'!$A$114,$BV$205^A174,IF(A174='Données projet'!$A$114,'Données projet'!$B$114,BY173+BX174-CG173)))</f>
        <v>393.79743589743532</v>
      </c>
      <c r="BZ174" s="13">
        <f>BY174*VLOOKUP('Données projet'!$B$12,Paramètres!$A$1:$I$89,3,0)*VLOOKUP('Données projet'!$B$12,Paramètres!$A$1:$I$89,5,0)</f>
        <v>356.30791999999946</v>
      </c>
      <c r="CA174" s="13">
        <f t="shared" si="170"/>
        <v>82.860024125417155</v>
      </c>
      <c r="CB174" s="20">
        <f t="shared" si="171"/>
        <v>764.88416935176735</v>
      </c>
      <c r="CC174" s="59">
        <f t="shared" si="119"/>
        <v>1058.2175026851007</v>
      </c>
      <c r="CD174" s="59">
        <f ca="1">AVERAGE(OFFSET($CC$3,0,0,'Données projet'!$E$12+1,1))-AVERAGE(OFFSET($H$3,0,0,'Données projet'!$E$12+1,1))</f>
        <v>302.4170391346459</v>
      </c>
      <c r="CE174" s="59">
        <f t="shared" si="148"/>
        <v>114.18498182856115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60.395078787086433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60.395078787086433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194.89717355535993</v>
      </c>
      <c r="T175" s="59">
        <f t="shared" si="142"/>
        <v>195.422737562245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14.116197887665185</v>
      </c>
      <c r="AA175" s="21">
        <f>EXP(-LN(2)/25)*AA174+(1-EXP(-LN(2)/25))/(LN(2)/25)*Calculateur!V175*Calculateur!X175*VLOOKUP('Données projet'!$B$9,Paramètres!$A$1:$I$89,3,0)*0.475*44/12</f>
        <v>1.6352531402436656</v>
      </c>
      <c r="AB175" s="21">
        <f>EXP(-LN(2)/2)*AB174+(1-EXP(-LN(2)/2))/(LN(2)/2)*V175*Y175*VLOOKUP('Données projet'!$B$9,Paramètres!$A$1:$I$89,3,0)*0.475*44/12</f>
        <v>4.3685282654531242E-16</v>
      </c>
      <c r="AC175" s="22">
        <f t="shared" si="163"/>
        <v>15.751451027908852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253.79640000000001</v>
      </c>
      <c r="BF175" s="13">
        <f t="shared" si="167"/>
        <v>61.39816832228076</v>
      </c>
      <c r="BG175" s="20">
        <f t="shared" si="168"/>
        <v>548.96387316130563</v>
      </c>
      <c r="BH175" s="59">
        <f t="shared" si="116"/>
        <v>842.29720649463889</v>
      </c>
      <c r="BI175" s="59">
        <f ca="1">AVERAGE(OFFSET($BH$3,0,0,'Données projet'!$E$11+1,1))-AVERAGE(OFFSET($H$3,0,0,'Données projet'!$E$11+1,1))</f>
        <v>273.69926316253162</v>
      </c>
      <c r="BJ175" s="59">
        <f t="shared" si="146"/>
        <v>270.78513558650451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7.2409212263390916</v>
      </c>
      <c r="BQ175" s="21">
        <f>EXP(-LN(2)/25)*BQ174+(1-EXP(-LN(2)/25))/(LN(2)/25)*Calculateur!BL175*Calculateur!BN175*VLOOKUP('Données projet'!$B$11,Paramètres!$A$1:$I$89,3,0)*0.475*44/12</f>
        <v>0.58869747594657684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7.8296187022856687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6.4179487179487182</v>
      </c>
      <c r="BY175" s="12">
        <f>IF('Données projet'!$A$114&gt;35,BY174+BX175-CG174,IF(A175&lt;'Données projet'!$A$114,$BV$205^A175,IF(A175='Données projet'!$A$114,'Données projet'!$B$114,BY174+BX175-CG174)))</f>
        <v>400.21538461538404</v>
      </c>
      <c r="BZ175" s="13">
        <f>BY175*VLOOKUP('Données projet'!$B$12,Paramètres!$A$1:$I$89,3,0)*VLOOKUP('Données projet'!$B$12,Paramètres!$A$1:$I$89,5,0)</f>
        <v>362.11487999999946</v>
      </c>
      <c r="CA175" s="13">
        <f t="shared" si="170"/>
        <v>84.052129011936628</v>
      </c>
      <c r="CB175" s="20">
        <f t="shared" si="171"/>
        <v>777.07420736245524</v>
      </c>
      <c r="CC175" s="59">
        <f t="shared" si="119"/>
        <v>1070.4075406957886</v>
      </c>
      <c r="CD175" s="59">
        <f ca="1">AVERAGE(OFFSET($CC$3,0,0,'Données projet'!$E$12+1,1))-AVERAGE(OFFSET($H$3,0,0,'Données projet'!$E$12+1,1))</f>
        <v>302.4170391346459</v>
      </c>
      <c r="CE175" s="59">
        <f t="shared" si="148"/>
        <v>114.18498182856115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59.210768129432338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59.210768129432338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194.89717355535993</v>
      </c>
      <c r="T176" s="59">
        <f t="shared" si="142"/>
        <v>195.422737562245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13.839387857118613</v>
      </c>
      <c r="AA176" s="21">
        <f>EXP(-LN(2)/25)*AA175+(1-EXP(-LN(2)/25))/(LN(2)/25)*Calculateur!V176*Calculateur!X176*VLOOKUP('Données projet'!$B$9,Paramètres!$A$1:$I$89,3,0)*0.475*44/12</f>
        <v>1.5905370571294775</v>
      </c>
      <c r="AB176" s="21">
        <f>EXP(-LN(2)/2)*AB175+(1-EXP(-LN(2)/2))/(LN(2)/2)*V176*Y176*VLOOKUP('Données projet'!$B$9,Paramètres!$A$1:$I$89,3,0)*0.475*44/12</f>
        <v>3.0890159603070107E-16</v>
      </c>
      <c r="AC176" s="22">
        <f t="shared" si="163"/>
        <v>15.42992491424809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253.79640000000001</v>
      </c>
      <c r="BF176" s="13">
        <f t="shared" si="167"/>
        <v>61.39816832228076</v>
      </c>
      <c r="BG176" s="20">
        <f t="shared" si="168"/>
        <v>548.96387316130563</v>
      </c>
      <c r="BH176" s="59">
        <f t="shared" si="116"/>
        <v>842.29720649463889</v>
      </c>
      <c r="BI176" s="59">
        <f ca="1">AVERAGE(OFFSET($BH$3,0,0,'Données projet'!$E$11+1,1))-AVERAGE(OFFSET($H$3,0,0,'Données projet'!$E$11+1,1))</f>
        <v>273.69926316253162</v>
      </c>
      <c r="BJ176" s="59">
        <f t="shared" si="146"/>
        <v>270.78513558650451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7.0989311776164348</v>
      </c>
      <c r="BQ176" s="21">
        <f>EXP(-LN(2)/25)*BQ175+(1-EXP(-LN(2)/25))/(LN(2)/25)*Calculateur!BL176*Calculateur!BN176*VLOOKUP('Données projet'!$B$11,Paramètres!$A$1:$I$89,3,0)*0.475*44/12</f>
        <v>0.57259951250856289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7.6715306901249978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6.4179487179487182</v>
      </c>
      <c r="BY176" s="12">
        <f>IF('Données projet'!$A$114&gt;35,BY175+BX176-CG175,IF(A176&lt;'Données projet'!$A$114,$BV$205^A176,IF(A176='Données projet'!$A$114,'Données projet'!$B$114,BY175+BX176-CG175)))</f>
        <v>406.63333333333276</v>
      </c>
      <c r="BZ176" s="13">
        <f>BY176*VLOOKUP('Données projet'!$B$12,Paramètres!$A$1:$I$89,3,0)*VLOOKUP('Données projet'!$B$12,Paramètres!$A$1:$I$89,5,0)</f>
        <v>367.92183999999946</v>
      </c>
      <c r="CA176" s="13">
        <f t="shared" si="170"/>
        <v>85.242010668812711</v>
      </c>
      <c r="CB176" s="20">
        <f t="shared" si="171"/>
        <v>789.26037324818117</v>
      </c>
      <c r="CC176" s="59">
        <f t="shared" si="119"/>
        <v>1082.5937065815144</v>
      </c>
      <c r="CD176" s="59">
        <f ca="1">AVERAGE(OFFSET($CC$3,0,0,'Données projet'!$E$12+1,1))-AVERAGE(OFFSET($H$3,0,0,'Données projet'!$E$12+1,1))</f>
        <v>302.4170391346459</v>
      </c>
      <c r="CE176" s="59">
        <f t="shared" si="148"/>
        <v>114.18498182856115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58.049681081416672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58.049681081416672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194.89717355535993</v>
      </c>
      <c r="T177" s="59">
        <f t="shared" si="142"/>
        <v>195.422737562245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13.568005902433612</v>
      </c>
      <c r="AA177" s="21">
        <f>EXP(-LN(2)/25)*AA176+(1-EXP(-LN(2)/25))/(LN(2)/25)*Calculateur!V177*Calculateur!X177*VLOOKUP('Données projet'!$B$9,Paramètres!$A$1:$I$89,3,0)*0.475*44/12</f>
        <v>1.5470437376595634</v>
      </c>
      <c r="AB177" s="21">
        <f>EXP(-LN(2)/2)*AB176+(1-EXP(-LN(2)/2))/(LN(2)/2)*V177*Y177*VLOOKUP('Données projet'!$B$9,Paramètres!$A$1:$I$89,3,0)*0.475*44/12</f>
        <v>2.1842641327265626E-16</v>
      </c>
      <c r="AC177" s="22">
        <f t="shared" si="163"/>
        <v>15.115049640093176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253.79640000000001</v>
      </c>
      <c r="BF177" s="13">
        <f t="shared" si="167"/>
        <v>61.39816832228076</v>
      </c>
      <c r="BG177" s="20">
        <f t="shared" si="168"/>
        <v>548.96387316130563</v>
      </c>
      <c r="BH177" s="59">
        <f t="shared" si="116"/>
        <v>842.29720649463889</v>
      </c>
      <c r="BI177" s="59">
        <f ca="1">AVERAGE(OFFSET($BH$3,0,0,'Données projet'!$E$11+1,1))-AVERAGE(OFFSET($H$3,0,0,'Données projet'!$E$11+1,1))</f>
        <v>273.69926316253162</v>
      </c>
      <c r="BJ177" s="59">
        <f t="shared" si="146"/>
        <v>270.78513558650451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6.9597254671438504</v>
      </c>
      <c r="BQ177" s="21">
        <f>EXP(-LN(2)/25)*BQ176+(1-EXP(-LN(2)/25))/(LN(2)/25)*Calculateur!BL177*Calculateur!BN177*VLOOKUP('Données projet'!$B$11,Paramètres!$A$1:$I$89,3,0)*0.475*44/12</f>
        <v>0.55694174872731661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7.5166672158711672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413.05128205128204</v>
      </c>
      <c r="BW177" s="12">
        <f>VLOOKUP(A177,'Données projet'!$A$113:$I$133,9,0)</f>
        <v>6.4179487179487182</v>
      </c>
      <c r="BX177" s="12">
        <f t="array" ref="BX177">INDEX(BW:BW,MIN(IF(ISNUMBER(BW177:BW373),ROW(BW177:BW373),"")))</f>
        <v>6.4179487179487182</v>
      </c>
      <c r="BY177" s="12">
        <f>IF('Données projet'!$A$114&gt;35,BY176+BX177-CG176,IF(A177&lt;'Données projet'!$A$114,$BV$205^A177,IF(A177='Données projet'!$A$114,'Données projet'!$B$114,BY176+BX177-CG176)))</f>
        <v>413.05128205128148</v>
      </c>
      <c r="BZ177" s="13">
        <f>BY177*VLOOKUP('Données projet'!$B$12,Paramètres!$A$1:$I$89,3,0)*VLOOKUP('Données projet'!$B$12,Paramètres!$A$1:$I$89,5,0)</f>
        <v>373.72879999999947</v>
      </c>
      <c r="CA177" s="13">
        <f t="shared" si="170"/>
        <v>86.429708237311118</v>
      </c>
      <c r="CB177" s="20">
        <f t="shared" si="171"/>
        <v>801.44273517998261</v>
      </c>
      <c r="CC177" s="59">
        <f t="shared" si="119"/>
        <v>1094.776068513316</v>
      </c>
      <c r="CD177" s="59">
        <f ca="1">AVERAGE(OFFSET($CC$3,0,0,'Données projet'!$E$12+1,1))-AVERAGE(OFFSET($H$3,0,0,'Données projet'!$E$12+1,1))</f>
        <v>302.4170391346459</v>
      </c>
      <c r="CE177" s="59">
        <f t="shared" si="148"/>
        <v>114.18498182856115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162.38461538461539</v>
      </c>
      <c r="CH177" s="16">
        <f>IF(ISNA(VLOOKUP(A177,'Données projet'!$A$113:$I$133,5,0)),0%,VLOOKUP(A177,'Données projet'!$A$113:$I$133,5,0)*VLOOKUP('Données projet'!$B$12,Paramètres!$A$1:$I$89,7,0))</f>
        <v>0.38700000000000001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119.7686370759256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119.7686370759256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194.89717355535993</v>
      </c>
      <c r="T178" s="59">
        <f t="shared" si="142"/>
        <v>195.422737562245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13.301945582353335</v>
      </c>
      <c r="AA178" s="21">
        <f>EXP(-LN(2)/25)*AA177+(1-EXP(-LN(2)/25))/(LN(2)/25)*Calculateur!V178*Calculateur!X178*VLOOKUP('Données projet'!$B$9,Paramètres!$A$1:$I$89,3,0)*0.475*44/12</f>
        <v>1.5047397452977682</v>
      </c>
      <c r="AB178" s="21">
        <f>EXP(-LN(2)/2)*AB177+(1-EXP(-LN(2)/2))/(LN(2)/2)*V178*Y178*VLOOKUP('Données projet'!$B$9,Paramètres!$A$1:$I$89,3,0)*0.475*44/12</f>
        <v>1.5445079801535056E-16</v>
      </c>
      <c r="AC178" s="22">
        <f t="shared" si="163"/>
        <v>14.806685327651103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253.79640000000001</v>
      </c>
      <c r="BF178" s="13">
        <f t="shared" si="167"/>
        <v>61.39816832228076</v>
      </c>
      <c r="BG178" s="20">
        <f t="shared" si="168"/>
        <v>548.96387316130563</v>
      </c>
      <c r="BH178" s="59">
        <f t="shared" si="116"/>
        <v>842.29720649463889</v>
      </c>
      <c r="BI178" s="59">
        <f ca="1">AVERAGE(OFFSET($BH$3,0,0,'Données projet'!$E$11+1,1))-AVERAGE(OFFSET($H$3,0,0,'Données projet'!$E$11+1,1))</f>
        <v>273.69926316253162</v>
      </c>
      <c r="BJ178" s="59">
        <f t="shared" si="146"/>
        <v>270.78513558650451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6.8232494957465342</v>
      </c>
      <c r="BQ178" s="21">
        <f>EXP(-LN(2)/25)*BQ177+(1-EXP(-LN(2)/25))/(LN(2)/25)*Calculateur!BL178*Calculateur!BN178*VLOOKUP('Données projet'!$B$11,Paramètres!$A$1:$I$89,3,0)*0.475*44/12</f>
        <v>0.54171214732007444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7.3649616430666089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4.0982905982905988</v>
      </c>
      <c r="BY178" s="12">
        <f>IF('Données projet'!$A$114&gt;35,BY177+BX178-CG177,IF(A178&lt;'Données projet'!$A$114,$BV$205^A178,IF(A178='Données projet'!$A$114,'Données projet'!$B$114,BY177+BX178-CG177)))</f>
        <v>254.76495726495668</v>
      </c>
      <c r="BZ178" s="13">
        <f>BY178*VLOOKUP('Données projet'!$B$12,Paramètres!$A$1:$I$89,3,0)*VLOOKUP('Données projet'!$B$12,Paramètres!$A$1:$I$89,5,0)</f>
        <v>230.5113333333328</v>
      </c>
      <c r="CA178" s="13">
        <f t="shared" si="170"/>
        <v>56.393229459006619</v>
      </c>
      <c r="CB178" s="20">
        <f t="shared" si="171"/>
        <v>499.6921135299911</v>
      </c>
      <c r="CC178" s="59">
        <f t="shared" si="119"/>
        <v>793.02544686332442</v>
      </c>
      <c r="CD178" s="59">
        <f ca="1">AVERAGE(OFFSET($CC$3,0,0,'Données projet'!$E$12+1,1))-AVERAGE(OFFSET($H$3,0,0,'Données projet'!$E$12+1,1))</f>
        <v>302.4170391346459</v>
      </c>
      <c r="CE178" s="59">
        <f t="shared" si="148"/>
        <v>114.18498182856115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117.42004715452207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117.42004715452207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194.89717355535993</v>
      </c>
      <c r="T179" s="59">
        <f t="shared" si="142"/>
        <v>195.422737562245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13.041102542869062</v>
      </c>
      <c r="AA179" s="21">
        <f>EXP(-LN(2)/25)*AA178+(1-EXP(-LN(2)/25))/(LN(2)/25)*Calculateur!V179*Calculateur!X179*VLOOKUP('Données projet'!$B$9,Paramètres!$A$1:$I$89,3,0)*0.475*44/12</f>
        <v>1.4635925578317768</v>
      </c>
      <c r="AB179" s="21">
        <f>EXP(-LN(2)/2)*AB178+(1-EXP(-LN(2)/2))/(LN(2)/2)*V179*Y179*VLOOKUP('Données projet'!$B$9,Paramètres!$A$1:$I$89,3,0)*0.475*44/12</f>
        <v>1.0921320663632814E-16</v>
      </c>
      <c r="AC179" s="22">
        <f t="shared" si="163"/>
        <v>14.50469510070084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253.79640000000001</v>
      </c>
      <c r="BF179" s="13">
        <f t="shared" si="167"/>
        <v>61.39816832228076</v>
      </c>
      <c r="BG179" s="20">
        <f t="shared" si="168"/>
        <v>548.96387316130563</v>
      </c>
      <c r="BH179" s="59">
        <f t="shared" si="116"/>
        <v>842.29720649463889</v>
      </c>
      <c r="BI179" s="59">
        <f ca="1">AVERAGE(OFFSET($BH$3,0,0,'Données projet'!$E$11+1,1))-AVERAGE(OFFSET($H$3,0,0,'Données projet'!$E$11+1,1))</f>
        <v>273.69926316253162</v>
      </c>
      <c r="BJ179" s="59">
        <f t="shared" si="146"/>
        <v>270.78513558650451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6.6894497349061961</v>
      </c>
      <c r="BQ179" s="21">
        <f>EXP(-LN(2)/25)*BQ178+(1-EXP(-LN(2)/25))/(LN(2)/25)*Calculateur!BL179*Calculateur!BN179*VLOOKUP('Données projet'!$B$11,Paramètres!$A$1:$I$89,3,0)*0.475*44/12</f>
        <v>0.52689900016420332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7.2163487350703992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4.0982905982905988</v>
      </c>
      <c r="BY179" s="12">
        <f>IF('Données projet'!$A$114&gt;35,BY178+BX179-CG178,IF(A179&lt;'Données projet'!$A$114,$BV$205^A179,IF(A179='Données projet'!$A$114,'Données projet'!$B$114,BY178+BX179-CG178)))</f>
        <v>258.8632478632473</v>
      </c>
      <c r="BZ179" s="13">
        <f>BY179*VLOOKUP('Données projet'!$B$12,Paramètres!$A$1:$I$89,3,0)*VLOOKUP('Données projet'!$B$12,Paramètres!$A$1:$I$89,5,0)</f>
        <v>234.21946666666616</v>
      </c>
      <c r="CA179" s="13">
        <f t="shared" si="170"/>
        <v>57.194061341064028</v>
      </c>
      <c r="CB179" s="20">
        <f t="shared" si="171"/>
        <v>507.54522794679673</v>
      </c>
      <c r="CC179" s="59">
        <f t="shared" si="119"/>
        <v>800.87856128013004</v>
      </c>
      <c r="CD179" s="59">
        <f ca="1">AVERAGE(OFFSET($CC$3,0,0,'Données projet'!$E$12+1,1))-AVERAGE(OFFSET($H$3,0,0,'Données projet'!$E$12+1,1))</f>
        <v>302.4170391346459</v>
      </c>
      <c r="CE179" s="59">
        <f t="shared" si="148"/>
        <v>114.18498182856115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115.11751164897885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115.11751164897885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194.89717355535993</v>
      </c>
      <c r="T180" s="59">
        <f t="shared" si="142"/>
        <v>195.422737562245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12.78537447629053</v>
      </c>
      <c r="AA180" s="21">
        <f>EXP(-LN(2)/25)*AA179+(1-EXP(-LN(2)/25))/(LN(2)/25)*Calculateur!V180*Calculateur!X180*VLOOKUP('Données projet'!$B$9,Paramètres!$A$1:$I$89,3,0)*0.475*44/12</f>
        <v>1.4235705423708793</v>
      </c>
      <c r="AB180" s="21">
        <f>EXP(-LN(2)/2)*AB179+(1-EXP(-LN(2)/2))/(LN(2)/2)*V180*Y180*VLOOKUP('Données projet'!$B$9,Paramètres!$A$1:$I$89,3,0)*0.475*44/12</f>
        <v>7.7225399007675291E-17</v>
      </c>
      <c r="AC180" s="22">
        <f t="shared" si="163"/>
        <v>14.208945018661408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253.79640000000001</v>
      </c>
      <c r="BF180" s="13">
        <f t="shared" si="167"/>
        <v>61.39816832228076</v>
      </c>
      <c r="BG180" s="20">
        <f t="shared" si="168"/>
        <v>548.96387316130563</v>
      </c>
      <c r="BH180" s="59">
        <f t="shared" si="116"/>
        <v>842.29720649463889</v>
      </c>
      <c r="BI180" s="59">
        <f ca="1">AVERAGE(OFFSET($BH$3,0,0,'Données projet'!$E$11+1,1))-AVERAGE(OFFSET($H$3,0,0,'Données projet'!$E$11+1,1))</f>
        <v>273.69926316253162</v>
      </c>
      <c r="BJ180" s="59">
        <f t="shared" si="146"/>
        <v>270.78513558650451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6.5582737057661413</v>
      </c>
      <c r="BQ180" s="21">
        <f>EXP(-LN(2)/25)*BQ179+(1-EXP(-LN(2)/25))/(LN(2)/25)*Calculateur!BL180*Calculateur!BN180*VLOOKUP('Données projet'!$B$11,Paramètres!$A$1:$I$89,3,0)*0.475*44/12</f>
        <v>0.51249091929629897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7.0707646250624405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262.96153846153845</v>
      </c>
      <c r="BW180" s="12">
        <f>VLOOKUP(A180,'Données projet'!$A$113:$I$133,9,0)</f>
        <v>4.0982905982905988</v>
      </c>
      <c r="BX180" s="12">
        <f t="array" ref="BX180">INDEX(BW:BW,MIN(IF(ISNUMBER(BW180:BW376),ROW(BW180:BW376),"")))</f>
        <v>4.0982905982905988</v>
      </c>
      <c r="BY180" s="12">
        <f>IF('Données projet'!$A$114&gt;35,BY179+BX180-CG179,IF(A180&lt;'Données projet'!$A$114,$BV$205^A180,IF(A180='Données projet'!$A$114,'Données projet'!$B$114,BY179+BX180-CG179)))</f>
        <v>262.96153846153788</v>
      </c>
      <c r="BZ180" s="13">
        <f>BY180*VLOOKUP('Données projet'!$B$12,Paramètres!$A$1:$I$89,3,0)*VLOOKUP('Données projet'!$B$12,Paramètres!$A$1:$I$89,5,0)</f>
        <v>237.92759999999947</v>
      </c>
      <c r="CA180" s="13">
        <f t="shared" si="170"/>
        <v>57.993418719759447</v>
      </c>
      <c r="CB180" s="20">
        <f t="shared" si="171"/>
        <v>515.39577427024676</v>
      </c>
      <c r="CC180" s="59">
        <f t="shared" si="119"/>
        <v>808.72910760358013</v>
      </c>
      <c r="CD180" s="59">
        <f ca="1">AVERAGE(OFFSET($CC$3,0,0,'Données projet'!$E$12+1,1))-AVERAGE(OFFSET($H$3,0,0,'Données projet'!$E$12+1,1))</f>
        <v>302.4170391346459</v>
      </c>
      <c r="CE180" s="59">
        <f t="shared" si="148"/>
        <v>114.18498182856115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87</v>
      </c>
      <c r="CH180" s="16">
        <f>IF(ISNA(VLOOKUP(A180,'Données projet'!$A$113:$I$133,5,0)),0%,VLOOKUP(A180,'Données projet'!$A$113:$I$133,5,0)*VLOOKUP('Données projet'!$B$12,Paramètres!$A$1:$I$89,7,0))</f>
        <v>0.38700000000000001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146.53685784253753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146.53685784253753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194.89717355535993</v>
      </c>
      <c r="T181" s="59">
        <f t="shared" si="142"/>
        <v>195.422737562245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12.534661081118884</v>
      </c>
      <c r="AA181" s="21">
        <f>EXP(-LN(2)/25)*AA180+(1-EXP(-LN(2)/25))/(LN(2)/25)*Calculateur!V181*Calculateur!X181*VLOOKUP('Données projet'!$B$9,Paramètres!$A$1:$I$89,3,0)*0.475*44/12</f>
        <v>1.3846429310274264</v>
      </c>
      <c r="AB181" s="21">
        <f>EXP(-LN(2)/2)*AB180+(1-EXP(-LN(2)/2))/(LN(2)/2)*V181*Y181*VLOOKUP('Données projet'!$B$9,Paramètres!$A$1:$I$89,3,0)*0.475*44/12</f>
        <v>5.4606603318164077E-17</v>
      </c>
      <c r="AC181" s="22">
        <f t="shared" si="163"/>
        <v>13.919304012146311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253.79640000000001</v>
      </c>
      <c r="BF181" s="13">
        <f t="shared" si="167"/>
        <v>61.39816832228076</v>
      </c>
      <c r="BG181" s="20">
        <f t="shared" si="168"/>
        <v>548.96387316130563</v>
      </c>
      <c r="BH181" s="59">
        <f t="shared" si="116"/>
        <v>842.29720649463889</v>
      </c>
      <c r="BI181" s="59">
        <f ca="1">AVERAGE(OFFSET($BH$3,0,0,'Données projet'!$E$11+1,1))-AVERAGE(OFFSET($H$3,0,0,'Données projet'!$E$11+1,1))</f>
        <v>273.69926316253162</v>
      </c>
      <c r="BJ181" s="59">
        <f t="shared" si="146"/>
        <v>270.78513558650451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6.4296699585480459</v>
      </c>
      <c r="BQ181" s="21">
        <f>EXP(-LN(2)/25)*BQ180+(1-EXP(-LN(2)/25))/(LN(2)/25)*Calculateur!BL181*Calculateur!BN181*VLOOKUP('Données projet'!$B$11,Paramètres!$A$1:$I$89,3,0)*0.475*44/12</f>
        <v>0.49847682815741556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6.9281467867054616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2.5149572649572653</v>
      </c>
      <c r="BY181" s="12">
        <f>IF('Données projet'!$A$114&gt;35,BY180+BX181-CG180,IF(A181&lt;'Données projet'!$A$114,$BV$205^A181,IF(A181='Données projet'!$A$114,'Données projet'!$B$114,BY180+BX181-CG180)))</f>
        <v>178.47649572649516</v>
      </c>
      <c r="BZ181" s="13">
        <f>BY181*VLOOKUP('Données projet'!$B$12,Paramètres!$A$1:$I$89,3,0)*VLOOKUP('Données projet'!$B$12,Paramètres!$A$1:$I$89,5,0)</f>
        <v>161.48553333333282</v>
      </c>
      <c r="CA181" s="13">
        <f t="shared" si="170"/>
        <v>41.17740116187629</v>
      </c>
      <c r="CB181" s="20">
        <f t="shared" si="171"/>
        <v>352.97127757915587</v>
      </c>
      <c r="CC181" s="59">
        <f t="shared" si="119"/>
        <v>646.30461091248912</v>
      </c>
      <c r="CD181" s="59">
        <f ca="1">AVERAGE(OFFSET($CC$3,0,0,'Données projet'!$E$12+1,1))-AVERAGE(OFFSET($H$3,0,0,'Données projet'!$E$12+1,1))</f>
        <v>302.4170391346459</v>
      </c>
      <c r="CE181" s="59">
        <f t="shared" si="148"/>
        <v>114.18498182856115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143.66335943890326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143.66335943890326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194.89717355535993</v>
      </c>
      <c r="T182" s="59">
        <f t="shared" si="142"/>
        <v>195.422737562245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12.288864022706482</v>
      </c>
      <c r="AA182" s="21">
        <f>EXP(-LN(2)/25)*AA181+(1-EXP(-LN(2)/25))/(LN(2)/25)*Calculateur!V182*Calculateur!X182*VLOOKUP('Données projet'!$B$9,Paramètres!$A$1:$I$89,3,0)*0.475*44/12</f>
        <v>1.3467797972632742</v>
      </c>
      <c r="AB182" s="21">
        <f>EXP(-LN(2)/2)*AB181+(1-EXP(-LN(2)/2))/(LN(2)/2)*V182*Y182*VLOOKUP('Données projet'!$B$9,Paramètres!$A$1:$I$89,3,0)*0.475*44/12</f>
        <v>3.8612699503837652E-17</v>
      </c>
      <c r="AC182" s="22">
        <f t="shared" si="163"/>
        <v>13.635643819969756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253.79640000000001</v>
      </c>
      <c r="BF182" s="13">
        <f t="shared" si="167"/>
        <v>61.39816832228076</v>
      </c>
      <c r="BG182" s="20">
        <f t="shared" si="168"/>
        <v>548.96387316130563</v>
      </c>
      <c r="BH182" s="59">
        <f t="shared" si="116"/>
        <v>842.29720649463889</v>
      </c>
      <c r="BI182" s="59">
        <f ca="1">AVERAGE(OFFSET($BH$3,0,0,'Données projet'!$E$11+1,1))-AVERAGE(OFFSET($H$3,0,0,'Données projet'!$E$11+1,1))</f>
        <v>273.69926316253162</v>
      </c>
      <c r="BJ182" s="59">
        <f t="shared" si="146"/>
        <v>270.78513558650451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6.3035880523723566</v>
      </c>
      <c r="BQ182" s="21">
        <f>EXP(-LN(2)/25)*BQ181+(1-EXP(-LN(2)/25))/(LN(2)/25)*Calculateur!BL182*Calculateur!BN182*VLOOKUP('Données projet'!$B$11,Paramètres!$A$1:$I$89,3,0)*0.475*44/12</f>
        <v>0.4848459530776939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6.7884340054500507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2.5149572649572653</v>
      </c>
      <c r="BY182" s="12">
        <f>IF('Données projet'!$A$114&gt;35,BY181+BX182-CG181,IF(A182&lt;'Données projet'!$A$114,$BV$205^A182,IF(A182='Données projet'!$A$114,'Données projet'!$B$114,BY181+BX182-CG181)))</f>
        <v>180.99145299145243</v>
      </c>
      <c r="BZ182" s="13">
        <f>BY182*VLOOKUP('Données projet'!$B$12,Paramètres!$A$1:$I$89,3,0)*VLOOKUP('Données projet'!$B$12,Paramètres!$A$1:$I$89,5,0)</f>
        <v>163.76106666666615</v>
      </c>
      <c r="CA182" s="13">
        <f t="shared" si="170"/>
        <v>41.689683944410106</v>
      </c>
      <c r="CB182" s="20">
        <f t="shared" si="171"/>
        <v>357.82672398095787</v>
      </c>
      <c r="CC182" s="59">
        <f t="shared" si="119"/>
        <v>651.16005731429118</v>
      </c>
      <c r="CD182" s="59">
        <f ca="1">AVERAGE(OFFSET($CC$3,0,0,'Données projet'!$E$12+1,1))-AVERAGE(OFFSET($H$3,0,0,'Données projet'!$E$12+1,1))</f>
        <v>302.4170391346459</v>
      </c>
      <c r="CE182" s="59">
        <f t="shared" si="148"/>
        <v>114.18498182856115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140.84620858630328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140.84620858630328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194.89717355535993</v>
      </c>
      <c r="T183" s="59">
        <f t="shared" si="142"/>
        <v>195.422737562245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12.047886894688146</v>
      </c>
      <c r="AA183" s="21">
        <f>EXP(-LN(2)/25)*AA182+(1-EXP(-LN(2)/25))/(LN(2)/25)*Calculateur!V183*Calculateur!X183*VLOOKUP('Données projet'!$B$9,Paramètres!$A$1:$I$89,3,0)*0.475*44/12</f>
        <v>1.3099520328830385</v>
      </c>
      <c r="AB183" s="21">
        <f>EXP(-LN(2)/2)*AB182+(1-EXP(-LN(2)/2))/(LN(2)/2)*V183*Y183*VLOOKUP('Données projet'!$B$9,Paramètres!$A$1:$I$89,3,0)*0.475*44/12</f>
        <v>2.7303301659082045E-17</v>
      </c>
      <c r="AC183" s="22">
        <f t="shared" si="163"/>
        <v>13.357838927571184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253.79640000000001</v>
      </c>
      <c r="BF183" s="13">
        <f t="shared" si="167"/>
        <v>61.39816832228076</v>
      </c>
      <c r="BG183" s="20">
        <f t="shared" si="168"/>
        <v>548.96387316130563</v>
      </c>
      <c r="BH183" s="59">
        <f t="shared" si="116"/>
        <v>842.29720649463889</v>
      </c>
      <c r="BI183" s="59">
        <f ca="1">AVERAGE(OFFSET($BH$3,0,0,'Données projet'!$E$11+1,1))-AVERAGE(OFFSET($H$3,0,0,'Données projet'!$E$11+1,1))</f>
        <v>273.69926316253162</v>
      </c>
      <c r="BJ183" s="59">
        <f t="shared" si="146"/>
        <v>270.78513558650451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6.1799785354744037</v>
      </c>
      <c r="BQ183" s="21">
        <f>EXP(-LN(2)/25)*BQ182+(1-EXP(-LN(2)/25))/(LN(2)/25)*Calculateur!BL183*Calculateur!BN183*VLOOKUP('Données projet'!$B$11,Paramètres!$A$1:$I$89,3,0)*0.475*44/12</f>
        <v>0.47158781499384383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6.6515663504682472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183.50641025641025</v>
      </c>
      <c r="BW183" s="12">
        <f>VLOOKUP(A183,'Données projet'!$A$113:$I$133,9,0)</f>
        <v>2.5149572649572653</v>
      </c>
      <c r="BX183" s="12">
        <f t="array" ref="BX183">INDEX(BW:BW,MIN(IF(ISNUMBER(BW183:BW379),ROW(BW183:BW379),"")))</f>
        <v>2.5149572649572653</v>
      </c>
      <c r="BY183" s="12">
        <f>IF('Données projet'!$A$114&gt;35,BY182+BX183-CG182,IF(A183&lt;'Données projet'!$A$114,$BV$205^A183,IF(A183='Données projet'!$A$114,'Données projet'!$B$114,BY182+BX183-CG182)))</f>
        <v>183.50641025640971</v>
      </c>
      <c r="BZ183" s="13">
        <f>BY183*VLOOKUP('Données projet'!$B$12,Paramètres!$A$1:$I$89,3,0)*VLOOKUP('Données projet'!$B$12,Paramètres!$A$1:$I$89,5,0)</f>
        <v>166.03659999999951</v>
      </c>
      <c r="CA183" s="13">
        <f t="shared" si="170"/>
        <v>42.201138786899428</v>
      </c>
      <c r="CB183" s="20">
        <f t="shared" si="171"/>
        <v>362.68072838718234</v>
      </c>
      <c r="CC183" s="59">
        <f t="shared" si="119"/>
        <v>656.01406172051566</v>
      </c>
      <c r="CD183" s="59">
        <f ca="1">AVERAGE(OFFSET($CC$3,0,0,'Données projet'!$E$12+1,1))-AVERAGE(OFFSET($H$3,0,0,'Données projet'!$E$12+1,1))</f>
        <v>302.4170391346459</v>
      </c>
      <c r="CE183" s="59">
        <f t="shared" si="148"/>
        <v>114.18498182856115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58.794871794871796</v>
      </c>
      <c r="CH183" s="16">
        <f>IF(ISNA(VLOOKUP(A183,'Données projet'!$A$113:$I$133,5,0)),0%,VLOOKUP(A183,'Données projet'!$A$113:$I$133,5,0)*VLOOKUP('Données projet'!$B$12,Paramètres!$A$1:$I$89,7,0))</f>
        <v>0.38700000000000001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160.8431399447181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160.8431399447181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194.89717355535993</v>
      </c>
      <c r="T184" s="59">
        <f t="shared" si="142"/>
        <v>195.422737562245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11.811635181168715</v>
      </c>
      <c r="AA184" s="21">
        <f>EXP(-LN(2)/25)*AA183+(1-EXP(-LN(2)/25))/(LN(2)/25)*Calculateur!V184*Calculateur!X184*VLOOKUP('Données projet'!$B$9,Paramètres!$A$1:$I$89,3,0)*0.475*44/12</f>
        <v>1.2741313256564684</v>
      </c>
      <c r="AB184" s="21">
        <f>EXP(-LN(2)/2)*AB183+(1-EXP(-LN(2)/2))/(LN(2)/2)*V184*Y184*VLOOKUP('Données projet'!$B$9,Paramètres!$A$1:$I$89,3,0)*0.475*44/12</f>
        <v>1.9306349751918829E-17</v>
      </c>
      <c r="AC184" s="22">
        <f t="shared" si="163"/>
        <v>13.085766506825182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253.79640000000001</v>
      </c>
      <c r="BF184" s="13">
        <f t="shared" si="167"/>
        <v>61.39816832228076</v>
      </c>
      <c r="BG184" s="20">
        <f t="shared" si="168"/>
        <v>548.96387316130563</v>
      </c>
      <c r="BH184" s="59">
        <f t="shared" si="116"/>
        <v>842.29720649463889</v>
      </c>
      <c r="BI184" s="59">
        <f ca="1">AVERAGE(OFFSET($BH$3,0,0,'Données projet'!$E$11+1,1))-AVERAGE(OFFSET($H$3,0,0,'Données projet'!$E$11+1,1))</f>
        <v>273.69926316253162</v>
      </c>
      <c r="BJ184" s="59">
        <f t="shared" si="146"/>
        <v>270.78513558650451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6.0587929258084587</v>
      </c>
      <c r="BQ184" s="21">
        <f>EXP(-LN(2)/25)*BQ183+(1-EXP(-LN(2)/25))/(LN(2)/25)*Calculateur!BL184*Calculateur!BN184*VLOOKUP('Données projet'!$B$11,Paramètres!$A$1:$I$89,3,0)*0.475*44/12</f>
        <v>0.45869222139311183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6.5174851472015707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1.5384615384615377</v>
      </c>
      <c r="BY184" s="12">
        <f>IF('Données projet'!$A$114&gt;35,BY183+BX184-CG183,IF(A184&lt;'Données projet'!$A$114,$BV$205^A184,IF(A184='Données projet'!$A$114,'Données projet'!$B$114,BY183+BX184-CG183)))</f>
        <v>126.24999999999946</v>
      </c>
      <c r="BZ184" s="13">
        <f>BY184*VLOOKUP('Données projet'!$B$12,Paramètres!$A$1:$I$89,3,0)*VLOOKUP('Données projet'!$B$12,Paramètres!$A$1:$I$89,5,0)</f>
        <v>114.23099999999951</v>
      </c>
      <c r="CA184" s="13">
        <f t="shared" si="170"/>
        <v>30.325640932877807</v>
      </c>
      <c r="CB184" s="20">
        <f t="shared" si="171"/>
        <v>251.76948295809464</v>
      </c>
      <c r="CC184" s="59">
        <f t="shared" si="119"/>
        <v>545.10281629142798</v>
      </c>
      <c r="CD184" s="59">
        <f ca="1">AVERAGE(OFFSET($CC$3,0,0,'Données projet'!$E$12+1,1))-AVERAGE(OFFSET($H$3,0,0,'Données projet'!$E$12+1,1))</f>
        <v>302.4170391346459</v>
      </c>
      <c r="CE184" s="59">
        <f t="shared" si="148"/>
        <v>114.18498182856115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157.68910407503051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157.68910407503051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194.89717355535993</v>
      </c>
      <c r="T185" s="59">
        <f t="shared" si="142"/>
        <v>195.422737562245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11.580016219652082</v>
      </c>
      <c r="AA185" s="21">
        <f>EXP(-LN(2)/25)*AA184+(1-EXP(-LN(2)/25))/(LN(2)/25)*Calculateur!V185*Calculateur!X185*VLOOKUP('Données projet'!$B$9,Paramètres!$A$1:$I$89,3,0)*0.475*44/12</f>
        <v>1.2392901375527379</v>
      </c>
      <c r="AB185" s="21">
        <f>EXP(-LN(2)/2)*AB184+(1-EXP(-LN(2)/2))/(LN(2)/2)*V185*Y185*VLOOKUP('Données projet'!$B$9,Paramètres!$A$1:$I$89,3,0)*0.475*44/12</f>
        <v>1.3651650829541024E-17</v>
      </c>
      <c r="AC185" s="22">
        <f t="shared" si="163"/>
        <v>12.81930635720482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253.79640000000001</v>
      </c>
      <c r="BF185" s="13">
        <f t="shared" si="167"/>
        <v>61.39816832228076</v>
      </c>
      <c r="BG185" s="20">
        <f t="shared" si="168"/>
        <v>548.96387316130563</v>
      </c>
      <c r="BH185" s="59">
        <f t="shared" si="116"/>
        <v>842.29720649463889</v>
      </c>
      <c r="BI185" s="59">
        <f ca="1">AVERAGE(OFFSET($BH$3,0,0,'Données projet'!$E$11+1,1))-AVERAGE(OFFSET($H$3,0,0,'Données projet'!$E$11+1,1))</f>
        <v>273.69926316253162</v>
      </c>
      <c r="BJ185" s="59">
        <f t="shared" si="146"/>
        <v>270.78513558650451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5.9399836920321398</v>
      </c>
      <c r="BQ185" s="21">
        <f>EXP(-LN(2)/25)*BQ184+(1-EXP(-LN(2)/25))/(LN(2)/25)*Calculateur!BL185*Calculateur!BN185*VLOOKUP('Données projet'!$B$11,Paramètres!$A$1:$I$89,3,0)*0.475*44/12</f>
        <v>0.44614925847754161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6.3861329505096815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1.5384615384615377</v>
      </c>
      <c r="BY185" s="12">
        <f>IF('Données projet'!$A$114&gt;35,BY184+BX185-CG184,IF(A185&lt;'Données projet'!$A$114,$BV$205^A185,IF(A185='Données projet'!$A$114,'Données projet'!$B$114,BY184+BX185-CG184)))</f>
        <v>127.78846153846099</v>
      </c>
      <c r="BZ185" s="13">
        <f>BY185*VLOOKUP('Données projet'!$B$12,Paramètres!$A$1:$I$89,3,0)*VLOOKUP('Données projet'!$B$12,Paramètres!$A$1:$I$89,5,0)</f>
        <v>115.62299999999951</v>
      </c>
      <c r="CA185" s="13">
        <f t="shared" si="170"/>
        <v>30.651938791248938</v>
      </c>
      <c r="CB185" s="20">
        <f t="shared" si="171"/>
        <v>254.76218506142436</v>
      </c>
      <c r="CC185" s="59">
        <f t="shared" si="119"/>
        <v>548.09551839475762</v>
      </c>
      <c r="CD185" s="59">
        <f ca="1">AVERAGE(OFFSET($CC$3,0,0,'Données projet'!$E$12+1,1))-AVERAGE(OFFSET($H$3,0,0,'Données projet'!$E$12+1,1))</f>
        <v>302.4170391346459</v>
      </c>
      <c r="CE185" s="59">
        <f t="shared" si="148"/>
        <v>114.18498182856115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154.59691692497557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154.59691692497557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194.89717355535993</v>
      </c>
      <c r="T186" s="59">
        <f t="shared" si="142"/>
        <v>195.422737562245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11.352939164697174</v>
      </c>
      <c r="AA186" s="21">
        <f>EXP(-LN(2)/25)*AA185+(1-EXP(-LN(2)/25))/(LN(2)/25)*Calculateur!V186*Calculateur!X186*VLOOKUP('Données projet'!$B$9,Paramètres!$A$1:$I$89,3,0)*0.475*44/12</f>
        <v>1.2054016835699224</v>
      </c>
      <c r="AB186" s="21">
        <f>EXP(-LN(2)/2)*AB185+(1-EXP(-LN(2)/2))/(LN(2)/2)*V186*Y186*VLOOKUP('Données projet'!$B$9,Paramètres!$A$1:$I$89,3,0)*0.475*44/12</f>
        <v>9.653174875959416E-18</v>
      </c>
      <c r="AC186" s="22">
        <f t="shared" si="163"/>
        <v>12.558340848267097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253.79640000000001</v>
      </c>
      <c r="BF186" s="13">
        <f t="shared" si="167"/>
        <v>61.39816832228076</v>
      </c>
      <c r="BG186" s="20">
        <f t="shared" si="168"/>
        <v>548.96387316130563</v>
      </c>
      <c r="BH186" s="59">
        <f t="shared" si="116"/>
        <v>842.29720649463889</v>
      </c>
      <c r="BI186" s="59">
        <f ca="1">AVERAGE(OFFSET($BH$3,0,0,'Données projet'!$E$11+1,1))-AVERAGE(OFFSET($H$3,0,0,'Données projet'!$E$11+1,1))</f>
        <v>273.69926316253162</v>
      </c>
      <c r="BJ186" s="59">
        <f t="shared" si="146"/>
        <v>270.78513558650451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5.8235042348636972</v>
      </c>
      <c r="BQ186" s="21">
        <f>EXP(-LN(2)/25)*BQ185+(1-EXP(-LN(2)/25))/(LN(2)/25)*Calculateur!BL186*Calculateur!BN186*VLOOKUP('Données projet'!$B$11,Paramètres!$A$1:$I$89,3,0)*0.475*44/12</f>
        <v>0.43394928354250339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6.2574535184062006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129.32692307692307</v>
      </c>
      <c r="BW186" s="12">
        <f>VLOOKUP(A186,'Données projet'!$A$113:$I$133,9,0)</f>
        <v>1.5384615384615377</v>
      </c>
      <c r="BX186" s="12">
        <f t="array" ref="BX186">INDEX(BW:BW,MIN(IF(ISNUMBER(BW186:BW382),ROW(BW186:BW382),"")))</f>
        <v>1.5384615384615377</v>
      </c>
      <c r="BY186" s="12">
        <f>IF('Données projet'!$A$114&gt;35,BY185+BX186-CG185,IF(A186&lt;'Données projet'!$A$114,$BV$205^A186,IF(A186='Données projet'!$A$114,'Données projet'!$B$114,BY185+BX186-CG185)))</f>
        <v>129.32692307692253</v>
      </c>
      <c r="BZ186" s="13">
        <f>BY186*VLOOKUP('Données projet'!$B$12,Paramètres!$A$1:$I$89,3,0)*VLOOKUP('Données projet'!$B$12,Paramètres!$A$1:$I$89,5,0)</f>
        <v>117.0149999999995</v>
      </c>
      <c r="CA186" s="13">
        <f t="shared" si="170"/>
        <v>30.977779699248124</v>
      </c>
      <c r="CB186" s="20">
        <f t="shared" si="171"/>
        <v>257.75409130952295</v>
      </c>
      <c r="CC186" s="59">
        <f t="shared" si="119"/>
        <v>551.08742464285626</v>
      </c>
      <c r="CD186" s="59">
        <f ca="1">AVERAGE(OFFSET($CC$3,0,0,'Données projet'!$E$12+1,1))-AVERAGE(OFFSET($H$3,0,0,'Données projet'!$E$12+1,1))</f>
        <v>302.4170391346459</v>
      </c>
      <c r="CE186" s="59">
        <f t="shared" si="148"/>
        <v>114.18498182856115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129.32692307692307</v>
      </c>
      <c r="CH186" s="16">
        <f>IF(ISNA(VLOOKUP(A186,'Données projet'!$A$113:$I$133,5,0)),0%,VLOOKUP(A186,'Données projet'!$A$113:$I$133,5,0)*VLOOKUP('Données projet'!$B$12,Paramètres!$A$1:$I$89,7,0))</f>
        <v>0.38700000000000001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201.62637624931091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201.62637624931091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194.89717355535993</v>
      </c>
      <c r="T187" s="59">
        <f t="shared" si="142"/>
        <v>195.422737562245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11.130314952286605</v>
      </c>
      <c r="AA187" s="21">
        <f>EXP(-LN(2)/25)*AA186+(1-EXP(-LN(2)/25))/(LN(2)/25)*Calculateur!V187*Calculateur!X187*VLOOKUP('Données projet'!$B$9,Paramètres!$A$1:$I$89,3,0)*0.475*44/12</f>
        <v>1.1724399111433832</v>
      </c>
      <c r="AB187" s="21">
        <f>EXP(-LN(2)/2)*AB186+(1-EXP(-LN(2)/2))/(LN(2)/2)*V187*Y187*VLOOKUP('Données projet'!$B$9,Paramètres!$A$1:$I$89,3,0)*0.475*44/12</f>
        <v>6.8258254147705135E-18</v>
      </c>
      <c r="AC187" s="22">
        <f t="shared" si="163"/>
        <v>12.302754863429989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253.79640000000001</v>
      </c>
      <c r="BF187" s="13">
        <f t="shared" si="167"/>
        <v>61.39816832228076</v>
      </c>
      <c r="BG187" s="20">
        <f t="shared" si="168"/>
        <v>548.96387316130563</v>
      </c>
      <c r="BH187" s="59">
        <f t="shared" si="116"/>
        <v>842.29720649463889</v>
      </c>
      <c r="BI187" s="59">
        <f ca="1">AVERAGE(OFFSET($BH$3,0,0,'Données projet'!$E$11+1,1))-AVERAGE(OFFSET($H$3,0,0,'Données projet'!$E$11+1,1))</f>
        <v>273.69926316253162</v>
      </c>
      <c r="BJ187" s="59">
        <f t="shared" si="146"/>
        <v>270.78513558650451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5.7093088688048734</v>
      </c>
      <c r="BQ187" s="21">
        <f>EXP(-LN(2)/25)*BQ186+(1-EXP(-LN(2)/25))/(LN(2)/25)*Calculateur!BL187*Calculateur!BN187*VLOOKUP('Données projet'!$B$11,Paramètres!$A$1:$I$89,3,0)*0.475*44/12</f>
        <v>0.42208291756363264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6.1313917863685061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-5.4001247917767614E-13</v>
      </c>
      <c r="BZ187" s="13">
        <f>BY187*VLOOKUP('Données projet'!$B$12,Paramètres!$A$1:$I$89,3,0)*VLOOKUP('Données projet'!$B$12,Paramètres!$A$1:$I$89,5,0)</f>
        <v>-4.8860329115996133E-13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302.4170391346459</v>
      </c>
      <c r="CE187" s="59">
        <f t="shared" si="148"/>
        <v>114.18498182856115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197.67260599100817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197.67260599100817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194.89717355535993</v>
      </c>
      <c r="T188" s="59">
        <f t="shared" si="142"/>
        <v>195.422737562245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10.912056264894046</v>
      </c>
      <c r="AA188" s="21">
        <f>EXP(-LN(2)/25)*AA187+(1-EXP(-LN(2)/25))/(LN(2)/25)*Calculateur!V188*Calculateur!X188*VLOOKUP('Données projet'!$B$9,Paramètres!$A$1:$I$89,3,0)*0.475*44/12</f>
        <v>1.140379480117232</v>
      </c>
      <c r="AB188" s="21">
        <f>EXP(-LN(2)/2)*AB187+(1-EXP(-LN(2)/2))/(LN(2)/2)*V188*Y188*VLOOKUP('Données projet'!$B$9,Paramètres!$A$1:$I$89,3,0)*0.475*44/12</f>
        <v>4.8265874379797088E-18</v>
      </c>
      <c r="AC188" s="22">
        <f t="shared" si="163"/>
        <v>12.052435745011278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253.79640000000001</v>
      </c>
      <c r="BF188" s="13">
        <f t="shared" si="167"/>
        <v>61.39816832228076</v>
      </c>
      <c r="BG188" s="20">
        <f t="shared" si="168"/>
        <v>548.96387316130563</v>
      </c>
      <c r="BH188" s="59">
        <f t="shared" si="116"/>
        <v>842.29720649463889</v>
      </c>
      <c r="BI188" s="59">
        <f ca="1">AVERAGE(OFFSET($BH$3,0,0,'Données projet'!$E$11+1,1))-AVERAGE(OFFSET($H$3,0,0,'Données projet'!$E$11+1,1))</f>
        <v>273.69926316253162</v>
      </c>
      <c r="BJ188" s="59">
        <f t="shared" si="146"/>
        <v>270.78513558650451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5.5973528042221679</v>
      </c>
      <c r="BQ188" s="21">
        <f>EXP(-LN(2)/25)*BQ187+(1-EXP(-LN(2)/25))/(LN(2)/25)*Calculateur!BL188*Calculateur!BN188*VLOOKUP('Données projet'!$B$11,Paramètres!$A$1:$I$89,3,0)*0.475*44/12</f>
        <v>0.41054103798647917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6.007893842208647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-5.4001247917767614E-13</v>
      </c>
      <c r="BZ188" s="13">
        <f>BY188*VLOOKUP('Données projet'!$B$12,Paramètres!$A$1:$I$89,3,0)*VLOOKUP('Données projet'!$B$12,Paramètres!$A$1:$I$89,5,0)</f>
        <v>-4.8860329115996133E-13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302.4170391346459</v>
      </c>
      <c r="CE188" s="59">
        <f t="shared" si="148"/>
        <v>114.18498182856115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193.79636675590902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193.79636675590902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194.89717355535993</v>
      </c>
      <c r="T189" s="59">
        <f t="shared" si="142"/>
        <v>195.422737562245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10.6980774972366</v>
      </c>
      <c r="AA189" s="21">
        <f>EXP(-LN(2)/25)*AA188+(1-EXP(-LN(2)/25))/(LN(2)/25)*Calculateur!V189*Calculateur!X189*VLOOKUP('Données projet'!$B$9,Paramètres!$A$1:$I$89,3,0)*0.475*44/12</f>
        <v>1.1091957432634758</v>
      </c>
      <c r="AB189" s="21">
        <f>EXP(-LN(2)/2)*AB188+(1-EXP(-LN(2)/2))/(LN(2)/2)*V189*Y189*VLOOKUP('Données projet'!$B$9,Paramètres!$A$1:$I$89,3,0)*0.475*44/12</f>
        <v>3.4129127073852571E-18</v>
      </c>
      <c r="AC189" s="22">
        <f t="shared" si="163"/>
        <v>11.807273240500075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253.79640000000001</v>
      </c>
      <c r="BF189" s="13">
        <f t="shared" si="167"/>
        <v>61.39816832228076</v>
      </c>
      <c r="BG189" s="20">
        <f t="shared" si="168"/>
        <v>548.96387316130563</v>
      </c>
      <c r="BH189" s="59">
        <f t="shared" si="116"/>
        <v>842.29720649463889</v>
      </c>
      <c r="BI189" s="59">
        <f ca="1">AVERAGE(OFFSET($BH$3,0,0,'Données projet'!$E$11+1,1))-AVERAGE(OFFSET($H$3,0,0,'Données projet'!$E$11+1,1))</f>
        <v>273.69926316253162</v>
      </c>
      <c r="BJ189" s="59">
        <f t="shared" si="146"/>
        <v>270.78513558650451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5.4875921297794727</v>
      </c>
      <c r="BQ189" s="21">
        <f>EXP(-LN(2)/25)*BQ188+(1-EXP(-LN(2)/25))/(LN(2)/25)*Calculateur!BL189*Calculateur!BN189*VLOOKUP('Données projet'!$B$11,Paramètres!$A$1:$I$89,3,0)*0.475*44/12</f>
        <v>0.39931477171332402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5.8869069014927966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-5.4001247917767614E-13</v>
      </c>
      <c r="BZ189" s="13">
        <f>BY189*VLOOKUP('Données projet'!$B$12,Paramètres!$A$1:$I$89,3,0)*VLOOKUP('Données projet'!$B$12,Paramètres!$A$1:$I$89,5,0)</f>
        <v>-4.8860329115996133E-13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302.4170391346459</v>
      </c>
      <c r="CE189" s="59">
        <f t="shared" si="148"/>
        <v>114.18498182856115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189.99613820793769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189.99613820793769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194.89717355535993</v>
      </c>
      <c r="T190" s="59">
        <f t="shared" si="142"/>
        <v>195.422737562245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10.488294722698756</v>
      </c>
      <c r="AA190" s="21">
        <f>EXP(-LN(2)/25)*AA189+(1-EXP(-LN(2)/25))/(LN(2)/25)*Calculateur!V190*Calculateur!X190*VLOOKUP('Données projet'!$B$9,Paramètres!$A$1:$I$89,3,0)*0.475*44/12</f>
        <v>1.078864727333867</v>
      </c>
      <c r="AB190" s="21">
        <f>EXP(-LN(2)/2)*AB189+(1-EXP(-LN(2)/2))/(LN(2)/2)*V190*Y190*VLOOKUP('Données projet'!$B$9,Paramètres!$A$1:$I$89,3,0)*0.475*44/12</f>
        <v>2.4132937189898548E-18</v>
      </c>
      <c r="AC190" s="22">
        <f t="shared" si="163"/>
        <v>11.567159450032623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253.79640000000001</v>
      </c>
      <c r="BF190" s="13">
        <f t="shared" si="167"/>
        <v>61.39816832228076</v>
      </c>
      <c r="BG190" s="20">
        <f t="shared" si="168"/>
        <v>548.96387316130563</v>
      </c>
      <c r="BH190" s="59">
        <f t="shared" si="116"/>
        <v>842.29720649463889</v>
      </c>
      <c r="BI190" s="59">
        <f ca="1">AVERAGE(OFFSET($BH$3,0,0,'Données projet'!$E$11+1,1))-AVERAGE(OFFSET($H$3,0,0,'Données projet'!$E$11+1,1))</f>
        <v>273.69926316253162</v>
      </c>
      <c r="BJ190" s="59">
        <f t="shared" si="146"/>
        <v>270.78513558650451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5.3799837952151979</v>
      </c>
      <c r="BQ190" s="21">
        <f>EXP(-LN(2)/25)*BQ189+(1-EXP(-LN(2)/25))/(LN(2)/25)*Calculateur!BL190*Calculateur!BN190*VLOOKUP('Données projet'!$B$11,Paramètres!$A$1:$I$89,3,0)*0.475*44/12</f>
        <v>0.38839548828177201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5.7683792834969703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-5.4001247917767614E-13</v>
      </c>
      <c r="BZ190" s="13">
        <f>BY190*VLOOKUP('Données projet'!$B$12,Paramètres!$A$1:$I$89,3,0)*VLOOKUP('Données projet'!$B$12,Paramètres!$A$1:$I$89,5,0)</f>
        <v>-4.8860329115996133E-13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302.4170391346459</v>
      </c>
      <c r="CE190" s="59">
        <f t="shared" si="148"/>
        <v>114.18498182856115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186.27042982388153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186.27042982388153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194.89717355535993</v>
      </c>
      <c r="T191" s="59">
        <f t="shared" si="142"/>
        <v>195.422737562245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10.282625660414741</v>
      </c>
      <c r="AA191" s="21">
        <f>EXP(-LN(2)/25)*AA190+(1-EXP(-LN(2)/25))/(LN(2)/25)*Calculateur!V191*Calculateur!X191*VLOOKUP('Données projet'!$B$9,Paramètres!$A$1:$I$89,3,0)*0.475*44/12</f>
        <v>1.0493631146298921</v>
      </c>
      <c r="AB191" s="21">
        <f>EXP(-LN(2)/2)*AB190+(1-EXP(-LN(2)/2))/(LN(2)/2)*V191*Y191*VLOOKUP('Données projet'!$B$9,Paramètres!$A$1:$I$89,3,0)*0.475*44/12</f>
        <v>1.706456353692629E-18</v>
      </c>
      <c r="AC191" s="22">
        <f t="shared" si="163"/>
        <v>11.331988775044634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253.79640000000001</v>
      </c>
      <c r="BF191" s="13">
        <f t="shared" si="167"/>
        <v>61.39816832228076</v>
      </c>
      <c r="BG191" s="20">
        <f t="shared" si="168"/>
        <v>548.96387316130563</v>
      </c>
      <c r="BH191" s="59">
        <f t="shared" si="116"/>
        <v>842.29720649463889</v>
      </c>
      <c r="BI191" s="59">
        <f ca="1">AVERAGE(OFFSET($BH$3,0,0,'Données projet'!$E$11+1,1))-AVERAGE(OFFSET($H$3,0,0,'Données projet'!$E$11+1,1))</f>
        <v>273.69926316253162</v>
      </c>
      <c r="BJ191" s="59">
        <f t="shared" si="146"/>
        <v>270.78513558650451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5.2744855944571247</v>
      </c>
      <c r="BQ191" s="21">
        <f>EXP(-LN(2)/25)*BQ190+(1-EXP(-LN(2)/25))/(LN(2)/25)*Calculateur!BL191*Calculateur!BN191*VLOOKUP('Données projet'!$B$11,Paramètres!$A$1:$I$89,3,0)*0.475*44/12</f>
        <v>0.37777479322987589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5.6522603876870008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-5.4001247917767614E-13</v>
      </c>
      <c r="BZ191" s="13">
        <f>BY191*VLOOKUP('Données projet'!$B$12,Paramètres!$A$1:$I$89,3,0)*VLOOKUP('Données projet'!$B$12,Paramètres!$A$1:$I$89,5,0)</f>
        <v>-4.8860329115996133E-13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302.4170391346459</v>
      </c>
      <c r="CE191" s="59">
        <f t="shared" si="148"/>
        <v>114.18498182856115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182.61778030877898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182.61778030877898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194.89717355535993</v>
      </c>
      <c r="T192" s="59">
        <f t="shared" si="142"/>
        <v>195.422737562245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10.080989642996373</v>
      </c>
      <c r="AA192" s="21">
        <f>EXP(-LN(2)/25)*AA191+(1-EXP(-LN(2)/25))/(LN(2)/25)*Calculateur!V192*Calculateur!X192*VLOOKUP('Données projet'!$B$9,Paramètres!$A$1:$I$89,3,0)*0.475*44/12</f>
        <v>1.0206682250767298</v>
      </c>
      <c r="AB192" s="21">
        <f>EXP(-LN(2)/2)*AB191+(1-EXP(-LN(2)/2))/(LN(2)/2)*V192*Y192*VLOOKUP('Données projet'!$B$9,Paramètres!$A$1:$I$89,3,0)*0.475*44/12</f>
        <v>1.2066468594949276E-18</v>
      </c>
      <c r="AC192" s="22">
        <f t="shared" si="163"/>
        <v>11.101657868073103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253.79640000000001</v>
      </c>
      <c r="BF192" s="13">
        <f t="shared" si="167"/>
        <v>61.39816832228076</v>
      </c>
      <c r="BG192" s="20">
        <f t="shared" si="168"/>
        <v>548.96387316130563</v>
      </c>
      <c r="BH192" s="59">
        <f t="shared" si="116"/>
        <v>842.29720649463889</v>
      </c>
      <c r="BI192" s="59">
        <f ca="1">AVERAGE(OFFSET($BH$3,0,0,'Données projet'!$E$11+1,1))-AVERAGE(OFFSET($H$3,0,0,'Données projet'!$E$11+1,1))</f>
        <v>273.69926316253162</v>
      </c>
      <c r="BJ192" s="59">
        <f t="shared" si="146"/>
        <v>270.78513558650451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5.1710561490683693</v>
      </c>
      <c r="BQ192" s="21">
        <f>EXP(-LN(2)/25)*BQ191+(1-EXP(-LN(2)/25))/(LN(2)/25)*Calculateur!BL192*Calculateur!BN192*VLOOKUP('Données projet'!$B$11,Paramètres!$A$1:$I$89,3,0)*0.475*44/12</f>
        <v>0.36744452164269198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5.5385006707110609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-5.4001247917767614E-13</v>
      </c>
      <c r="BZ192" s="13">
        <f>BY192*VLOOKUP('Données projet'!$B$12,Paramètres!$A$1:$I$89,3,0)*VLOOKUP('Données projet'!$B$12,Paramètres!$A$1:$I$89,5,0)</f>
        <v>-4.8860329115996133E-13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302.4170391346459</v>
      </c>
      <c r="CE192" s="59">
        <f t="shared" si="148"/>
        <v>114.18498182856115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179.03675702277138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179.03675702277138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194.89717355535993</v>
      </c>
      <c r="T193" s="59">
        <f t="shared" si="142"/>
        <v>195.422737562245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9.8833075848937533</v>
      </c>
      <c r="AA193" s="21">
        <f>EXP(-LN(2)/25)*AA192+(1-EXP(-LN(2)/25))/(LN(2)/25)*Calculateur!V193*Calculateur!X193*VLOOKUP('Données projet'!$B$9,Paramètres!$A$1:$I$89,3,0)*0.475*44/12</f>
        <v>0.99275799878739746</v>
      </c>
      <c r="AB193" s="21">
        <f>EXP(-LN(2)/2)*AB192+(1-EXP(-LN(2)/2))/(LN(2)/2)*V193*Y193*VLOOKUP('Données projet'!$B$9,Paramètres!$A$1:$I$89,3,0)*0.475*44/12</f>
        <v>8.5322817684631457E-19</v>
      </c>
      <c r="AC193" s="22">
        <f t="shared" si="163"/>
        <v>10.87606558368115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253.79640000000001</v>
      </c>
      <c r="BF193" s="13">
        <f t="shared" si="167"/>
        <v>61.39816832228076</v>
      </c>
      <c r="BG193" s="20">
        <f t="shared" si="168"/>
        <v>548.96387316130563</v>
      </c>
      <c r="BH193" s="59">
        <f t="shared" si="116"/>
        <v>842.29720649463889</v>
      </c>
      <c r="BI193" s="59">
        <f ca="1">AVERAGE(OFFSET($BH$3,0,0,'Données projet'!$E$11+1,1))-AVERAGE(OFFSET($H$3,0,0,'Données projet'!$E$11+1,1))</f>
        <v>273.69926316253162</v>
      </c>
      <c r="BJ193" s="59">
        <f t="shared" si="146"/>
        <v>270.78513558650451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5.0696548920179545</v>
      </c>
      <c r="BQ193" s="21">
        <f>EXP(-LN(2)/25)*BQ192+(1-EXP(-LN(2)/25))/(LN(2)/25)*Calculateur!BL193*Calculateur!BN193*VLOOKUP('Données projet'!$B$11,Paramètres!$A$1:$I$89,3,0)*0.475*44/12</f>
        <v>0.35739673187530496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5.4270516238932593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-5.4001247917767614E-13</v>
      </c>
      <c r="BZ193" s="13">
        <f>BY193*VLOOKUP('Données projet'!$B$12,Paramètres!$A$1:$I$89,3,0)*VLOOKUP('Données projet'!$B$12,Paramètres!$A$1:$I$89,5,0)</f>
        <v>-4.8860329115996133E-13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302.4170391346459</v>
      </c>
      <c r="CE193" s="59">
        <f t="shared" si="148"/>
        <v>114.18498182856115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175.52595541919385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175.52595541919385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194.89717355535993</v>
      </c>
      <c r="T194" s="59">
        <f t="shared" si="142"/>
        <v>195.422737562245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9.6895019513763767</v>
      </c>
      <c r="AA194" s="21">
        <f>EXP(-LN(2)/25)*AA193+(1-EXP(-LN(2)/25))/(LN(2)/25)*Calculateur!V194*Calculateur!X194*VLOOKUP('Données projet'!$B$9,Paramètres!$A$1:$I$89,3,0)*0.475*44/12</f>
        <v>0.96561097910368188</v>
      </c>
      <c r="AB194" s="21">
        <f>EXP(-LN(2)/2)*AB193+(1-EXP(-LN(2)/2))/(LN(2)/2)*V194*Y194*VLOOKUP('Données projet'!$B$9,Paramètres!$A$1:$I$89,3,0)*0.475*44/12</f>
        <v>6.0332342974746388E-19</v>
      </c>
      <c r="AC194" s="22">
        <f t="shared" si="163"/>
        <v>10.655112930480058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253.79640000000001</v>
      </c>
      <c r="BF194" s="13">
        <f t="shared" si="167"/>
        <v>61.39816832228076</v>
      </c>
      <c r="BG194" s="20">
        <f t="shared" si="168"/>
        <v>548.96387316130563</v>
      </c>
      <c r="BH194" s="59">
        <f t="shared" si="116"/>
        <v>842.29720649463889</v>
      </c>
      <c r="BI194" s="59">
        <f ca="1">AVERAGE(OFFSET($BH$3,0,0,'Données projet'!$E$11+1,1))-AVERAGE(OFFSET($H$3,0,0,'Données projet'!$E$11+1,1))</f>
        <v>273.69926316253162</v>
      </c>
      <c r="BJ194" s="59">
        <f t="shared" si="146"/>
        <v>270.78513558650451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4.9702420517696391</v>
      </c>
      <c r="BQ194" s="21">
        <f>EXP(-LN(2)/25)*BQ193+(1-EXP(-LN(2)/25))/(LN(2)/25)*Calculateur!BL194*Calculateur!BN194*VLOOKUP('Données projet'!$B$11,Paramètres!$A$1:$I$89,3,0)*0.475*44/12</f>
        <v>0.34762369944749744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5.3178657512171368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-5.4001247917767614E-13</v>
      </c>
      <c r="BZ194" s="13">
        <f>BY194*VLOOKUP('Données projet'!$B$12,Paramètres!$A$1:$I$89,3,0)*VLOOKUP('Données projet'!$B$12,Paramètres!$A$1:$I$89,5,0)</f>
        <v>-4.8860329115996133E-13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302.4170391346459</v>
      </c>
      <c r="CE194" s="59">
        <f t="shared" si="148"/>
        <v>114.18498182856115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172.08399849368493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172.08399849368493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194.89717355535993</v>
      </c>
      <c r="T195" s="59">
        <f t="shared" si="142"/>
        <v>195.422737562245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9.4994967281225104</v>
      </c>
      <c r="AA195" s="21">
        <f>EXP(-LN(2)/25)*AA194+(1-EXP(-LN(2)/25))/(LN(2)/25)*Calculateur!V195*Calculateur!X195*VLOOKUP('Données projet'!$B$9,Paramètres!$A$1:$I$89,3,0)*0.475*44/12</f>
        <v>0.93920629610081718</v>
      </c>
      <c r="AB195" s="21">
        <f>EXP(-LN(2)/2)*AB194+(1-EXP(-LN(2)/2))/(LN(2)/2)*V195*Y195*VLOOKUP('Données projet'!$B$9,Paramètres!$A$1:$I$89,3,0)*0.475*44/12</f>
        <v>4.2661408842315733E-19</v>
      </c>
      <c r="AC195" s="22">
        <f t="shared" si="163"/>
        <v>10.438703024223328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253.79640000000001</v>
      </c>
      <c r="BF195" s="13">
        <f t="shared" si="167"/>
        <v>61.39816832228076</v>
      </c>
      <c r="BG195" s="20">
        <f t="shared" si="168"/>
        <v>548.96387316130563</v>
      </c>
      <c r="BH195" s="59">
        <f t="shared" si="116"/>
        <v>842.29720649463889</v>
      </c>
      <c r="BI195" s="59">
        <f ca="1">AVERAGE(OFFSET($BH$3,0,0,'Données projet'!$E$11+1,1))-AVERAGE(OFFSET($H$3,0,0,'Données projet'!$E$11+1,1))</f>
        <v>273.69926316253162</v>
      </c>
      <c r="BJ195" s="59">
        <f t="shared" si="146"/>
        <v>270.78513558650451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4.8727786366827477</v>
      </c>
      <c r="BQ195" s="21">
        <f>EXP(-LN(2)/25)*BQ194+(1-EXP(-LN(2)/25))/(LN(2)/25)*Calculateur!BL195*Calculateur!BN195*VLOOKUP('Données projet'!$B$11,Paramètres!$A$1:$I$89,3,0)*0.475*44/12</f>
        <v>0.33811791110536976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5.2108965477881171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-5.4001247917767614E-13</v>
      </c>
      <c r="BZ195" s="13">
        <f>BY195*VLOOKUP('Données projet'!$B$12,Paramètres!$A$1:$I$89,3,0)*VLOOKUP('Données projet'!$B$12,Paramètres!$A$1:$I$89,5,0)</f>
        <v>-4.8860329115996133E-13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302.4170391346459</v>
      </c>
      <c r="CE195" s="59">
        <f t="shared" si="148"/>
        <v>114.18498182856115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168.70953624409881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168.70953624409881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194.89717355535993</v>
      </c>
      <c r="T196" s="59">
        <f t="shared" si="142"/>
        <v>195.422737562245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9.3132173914049101</v>
      </c>
      <c r="AA196" s="21">
        <f>EXP(-LN(2)/25)*AA195+(1-EXP(-LN(2)/25))/(LN(2)/25)*Calculateur!V196*Calculateur!X196*VLOOKUP('Données projet'!$B$9,Paramètres!$A$1:$I$89,3,0)*0.475*44/12</f>
        <v>0.91352365054322782</v>
      </c>
      <c r="AB196" s="21">
        <f>EXP(-LN(2)/2)*AB195+(1-EXP(-LN(2)/2))/(LN(2)/2)*V196*Y196*VLOOKUP('Données projet'!$B$9,Paramètres!$A$1:$I$89,3,0)*0.475*44/12</f>
        <v>3.0166171487373199E-19</v>
      </c>
      <c r="AC196" s="22">
        <f t="shared" si="163"/>
        <v>10.226741041948138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253.79640000000001</v>
      </c>
      <c r="BF196" s="13">
        <f t="shared" si="167"/>
        <v>61.39816832228076</v>
      </c>
      <c r="BG196" s="20">
        <f t="shared" si="168"/>
        <v>548.96387316130563</v>
      </c>
      <c r="BH196" s="59">
        <f t="shared" ref="BH196:BH203" si="194">BG196+(AY196+AZ196)*44/12</f>
        <v>842.29720649463889</v>
      </c>
      <c r="BI196" s="59">
        <f ca="1">AVERAGE(OFFSET($BH$3,0,0,'Données projet'!$E$11+1,1))-AVERAGE(OFFSET($H$3,0,0,'Données projet'!$E$11+1,1))</f>
        <v>273.69926316253162</v>
      </c>
      <c r="BJ196" s="59">
        <f t="shared" si="146"/>
        <v>270.78513558650451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4.7772264197188967</v>
      </c>
      <c r="BQ196" s="21">
        <f>EXP(-LN(2)/25)*BQ195+(1-EXP(-LN(2)/25))/(LN(2)/25)*Calculateur!BL196*Calculateur!BN196*VLOOKUP('Données projet'!$B$11,Paramètres!$A$1:$I$89,3,0)*0.475*44/12</f>
        <v>0.32887205904534528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5.1060984787642418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-5.4001247917767614E-13</v>
      </c>
      <c r="BZ196" s="13">
        <f>BY196*VLOOKUP('Données projet'!$B$12,Paramètres!$A$1:$I$89,3,0)*VLOOKUP('Données projet'!$B$12,Paramètres!$A$1:$I$89,5,0)</f>
        <v>-4.8860329115996133E-13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302.4170391346459</v>
      </c>
      <c r="CE196" s="59">
        <f t="shared" si="148"/>
        <v>114.18498182856115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165.40124514100836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165.40124514100836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194.89717355535993</v>
      </c>
      <c r="T197" s="59">
        <f t="shared" ref="T197:T203" si="204">$T$3</f>
        <v>195.422737562245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9.1305908788611649</v>
      </c>
      <c r="AA197" s="21">
        <f>EXP(-LN(2)/25)*AA196+(1-EXP(-LN(2)/25))/(LN(2)/25)*Calculateur!V197*Calculateur!X197*VLOOKUP('Données projet'!$B$9,Paramètres!$A$1:$I$89,3,0)*0.475*44/12</f>
        <v>0.88854329827900236</v>
      </c>
      <c r="AB197" s="21">
        <f>EXP(-LN(2)/2)*AB196+(1-EXP(-LN(2)/2))/(LN(2)/2)*V197*Y197*VLOOKUP('Données projet'!$B$9,Paramètres!$A$1:$I$89,3,0)*0.475*44/12</f>
        <v>2.1330704421157872E-19</v>
      </c>
      <c r="AC197" s="22">
        <f t="shared" si="163"/>
        <v>10.019134177140167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253.79640000000001</v>
      </c>
      <c r="BF197" s="13">
        <f t="shared" si="167"/>
        <v>61.39816832228076</v>
      </c>
      <c r="BG197" s="20">
        <f t="shared" si="168"/>
        <v>548.96387316130563</v>
      </c>
      <c r="BH197" s="59">
        <f t="shared" si="194"/>
        <v>842.29720649463889</v>
      </c>
      <c r="BI197" s="59">
        <f ca="1">AVERAGE(OFFSET($BH$3,0,0,'Données projet'!$E$11+1,1))-AVERAGE(OFFSET($H$3,0,0,'Données projet'!$E$11+1,1))</f>
        <v>273.69926316253162</v>
      </c>
      <c r="BJ197" s="59">
        <f t="shared" ref="BJ197:BJ203" si="206">$BJ$3</f>
        <v>270.78513558650451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4.683547923448609</v>
      </c>
      <c r="BQ197" s="21">
        <f>EXP(-LN(2)/25)*BQ196+(1-EXP(-LN(2)/25))/(LN(2)/25)*Calculateur!BL197*Calculateur!BN197*VLOOKUP('Données projet'!$B$11,Paramètres!$A$1:$I$89,3,0)*0.475*44/12</f>
        <v>0.31987903529612038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5.0034269587447291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-5.4001247917767614E-13</v>
      </c>
      <c r="BZ197" s="13">
        <f>BY197*VLOOKUP('Données projet'!$B$12,Paramètres!$A$1:$I$89,3,0)*VLOOKUP('Données projet'!$B$12,Paramètres!$A$1:$I$89,5,0)</f>
        <v>-4.8860329115996133E-13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302.4170391346459</v>
      </c>
      <c r="CE197" s="59">
        <f t="shared" ref="CE197:CE203" si="207">$CE$3</f>
        <v>114.18498182856115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162.15782760859116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162.15782760859116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194.89717355535993</v>
      </c>
      <c r="T198" s="59">
        <f t="shared" si="204"/>
        <v>195.422737562245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8.9515455608372303</v>
      </c>
      <c r="AA198" s="21">
        <f>EXP(-LN(2)/25)*AA197+(1-EXP(-LN(2)/25))/(LN(2)/25)*Calculateur!V198*Calculateur!X198*VLOOKUP('Données projet'!$B$9,Paramètres!$A$1:$I$89,3,0)*0.475*44/12</f>
        <v>0.86424603506110176</v>
      </c>
      <c r="AB198" s="21">
        <f>EXP(-LN(2)/2)*AB197+(1-EXP(-LN(2)/2))/(LN(2)/2)*V198*Y198*VLOOKUP('Données projet'!$B$9,Paramètres!$A$1:$I$89,3,0)*0.475*44/12</f>
        <v>1.5083085743686602E-19</v>
      </c>
      <c r="AC198" s="22">
        <f t="shared" si="163"/>
        <v>9.8157915958983324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253.79640000000001</v>
      </c>
      <c r="BF198" s="13">
        <f t="shared" si="167"/>
        <v>61.39816832228076</v>
      </c>
      <c r="BG198" s="20">
        <f t="shared" si="168"/>
        <v>548.96387316130563</v>
      </c>
      <c r="BH198" s="59">
        <f t="shared" si="194"/>
        <v>842.29720649463889</v>
      </c>
      <c r="BI198" s="59">
        <f ca="1">AVERAGE(OFFSET($BH$3,0,0,'Données projet'!$E$11+1,1))-AVERAGE(OFFSET($H$3,0,0,'Données projet'!$E$11+1,1))</f>
        <v>273.69926316253162</v>
      </c>
      <c r="BJ198" s="59">
        <f t="shared" si="206"/>
        <v>270.78513558650451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4.5917064053519407</v>
      </c>
      <c r="BQ198" s="21">
        <f>EXP(-LN(2)/25)*BQ197+(1-EXP(-LN(2)/25))/(LN(2)/25)*Calculateur!BL198*Calculateur!BN198*VLOOKUP('Données projet'!$B$11,Paramètres!$A$1:$I$89,3,0)*0.475*44/12</f>
        <v>0.31113192625424058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4.9028383316061817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-5.4001247917767614E-13</v>
      </c>
      <c r="BZ198" s="13">
        <f>BY198*VLOOKUP('Données projet'!$B$12,Paramètres!$A$1:$I$89,3,0)*VLOOKUP('Données projet'!$B$12,Paramètres!$A$1:$I$89,5,0)</f>
        <v>-4.8860329115996133E-13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302.4170391346459</v>
      </c>
      <c r="CE198" s="59">
        <f t="shared" si="207"/>
        <v>114.18498182856115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158.97801151569533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158.97801151569533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194.89717355535993</v>
      </c>
      <c r="T199" s="59">
        <f t="shared" si="204"/>
        <v>195.422737562245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8.7760112122928842</v>
      </c>
      <c r="AA199" s="21">
        <f>EXP(-LN(2)/25)*AA198+(1-EXP(-LN(2)/25))/(LN(2)/25)*Calculateur!V199*Calculateur!X199*VLOOKUP('Données projet'!$B$9,Paramètres!$A$1:$I$89,3,0)*0.475*44/12</f>
        <v>0.8406131817836322</v>
      </c>
      <c r="AB199" s="21">
        <f>EXP(-LN(2)/2)*AB198+(1-EXP(-LN(2)/2))/(LN(2)/2)*V199*Y199*VLOOKUP('Données projet'!$B$9,Paramètres!$A$1:$I$89,3,0)*0.475*44/12</f>
        <v>1.0665352210578937E-19</v>
      </c>
      <c r="AC199" s="22">
        <f t="shared" si="163"/>
        <v>9.616624394076517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253.79640000000001</v>
      </c>
      <c r="BF199" s="13">
        <f t="shared" si="167"/>
        <v>61.39816832228076</v>
      </c>
      <c r="BG199" s="20">
        <f t="shared" si="168"/>
        <v>548.96387316130563</v>
      </c>
      <c r="BH199" s="59">
        <f t="shared" si="194"/>
        <v>842.29720649463889</v>
      </c>
      <c r="BI199" s="59">
        <f ca="1">AVERAGE(OFFSET($BH$3,0,0,'Données projet'!$E$11+1,1))-AVERAGE(OFFSET($H$3,0,0,'Données projet'!$E$11+1,1))</f>
        <v>273.69926316253162</v>
      </c>
      <c r="BJ199" s="59">
        <f t="shared" si="206"/>
        <v>270.78513558650451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4.5016658434073538</v>
      </c>
      <c r="BQ199" s="21">
        <f>EXP(-LN(2)/25)*BQ198+(1-EXP(-LN(2)/25))/(LN(2)/25)*Calculateur!BL199*Calculateur!BN199*VLOOKUP('Données projet'!$B$11,Paramètres!$A$1:$I$89,3,0)*0.475*44/12</f>
        <v>0.30262400736910144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4.8042898507764553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-5.4001247917767614E-13</v>
      </c>
      <c r="BZ199" s="13">
        <f>BY199*VLOOKUP('Données projet'!$B$12,Paramètres!$A$1:$I$89,3,0)*VLOOKUP('Données projet'!$B$12,Paramètres!$A$1:$I$89,5,0)</f>
        <v>-4.8860329115996133E-13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302.4170391346459</v>
      </c>
      <c r="CE199" s="59">
        <f t="shared" si="207"/>
        <v>114.18498182856115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155.86054967688486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155.86054967688486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194.89717355535993</v>
      </c>
      <c r="T200" s="59">
        <f t="shared" si="204"/>
        <v>195.422737562245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8.6039189852581117</v>
      </c>
      <c r="AA200" s="21">
        <f>EXP(-LN(2)/25)*AA199+(1-EXP(-LN(2)/25))/(LN(2)/25)*Calculateur!V200*Calculateur!X200*VLOOKUP('Données projet'!$B$9,Paramètres!$A$1:$I$89,3,0)*0.475*44/12</f>
        <v>0.81762657012183282</v>
      </c>
      <c r="AB200" s="21">
        <f>EXP(-LN(2)/2)*AB199+(1-EXP(-LN(2)/2))/(LN(2)/2)*V200*Y200*VLOOKUP('Données projet'!$B$9,Paramètres!$A$1:$I$89,3,0)*0.475*44/12</f>
        <v>7.5415428718433022E-20</v>
      </c>
      <c r="AC200" s="22">
        <f t="shared" si="163"/>
        <v>9.4215455553799448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253.79640000000001</v>
      </c>
      <c r="BF200" s="13">
        <f t="shared" si="167"/>
        <v>61.39816832228076</v>
      </c>
      <c r="BG200" s="20">
        <f t="shared" si="168"/>
        <v>548.96387316130563</v>
      </c>
      <c r="BH200" s="59">
        <f t="shared" si="194"/>
        <v>842.29720649463889</v>
      </c>
      <c r="BI200" s="59">
        <f ca="1">AVERAGE(OFFSET($BH$3,0,0,'Données projet'!$E$11+1,1))-AVERAGE(OFFSET($H$3,0,0,'Données projet'!$E$11+1,1))</f>
        <v>273.69926316253162</v>
      </c>
      <c r="BJ200" s="59">
        <f t="shared" si="206"/>
        <v>270.78513558650451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4.4133909219631802</v>
      </c>
      <c r="BQ200" s="21">
        <f>EXP(-LN(2)/25)*BQ199+(1-EXP(-LN(2)/25))/(LN(2)/25)*Calculateur!BL200*Calculateur!BN200*VLOOKUP('Données projet'!$B$11,Paramètres!$A$1:$I$89,3,0)*0.475*44/12</f>
        <v>0.29434873797328848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4.7077396599364683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-5.4001247917767614E-13</v>
      </c>
      <c r="BZ200" s="13">
        <f>BY200*VLOOKUP('Données projet'!$B$12,Paramètres!$A$1:$I$89,3,0)*VLOOKUP('Données projet'!$B$12,Paramètres!$A$1:$I$89,5,0)</f>
        <v>-4.8860329115996133E-13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302.4170391346459</v>
      </c>
      <c r="CE200" s="59">
        <f t="shared" si="207"/>
        <v>114.18498182856115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152.80421936326951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152.80421936326951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194.89717355535993</v>
      </c>
      <c r="T201" s="59">
        <f t="shared" si="204"/>
        <v>195.422737562245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8.4352013818295966</v>
      </c>
      <c r="AA201" s="21">
        <f>EXP(-LN(2)/25)*AA200+(1-EXP(-LN(2)/25))/(LN(2)/25)*Calculateur!V201*Calculateur!X201*VLOOKUP('Données projet'!$B$9,Paramètres!$A$1:$I$89,3,0)*0.475*44/12</f>
        <v>0.79526852856473873</v>
      </c>
      <c r="AB201" s="21">
        <f>EXP(-LN(2)/2)*AB200+(1-EXP(-LN(2)/2))/(LN(2)/2)*V201*Y201*VLOOKUP('Données projet'!$B$9,Paramètres!$A$1:$I$89,3,0)*0.475*44/12</f>
        <v>5.3326761052894697E-20</v>
      </c>
      <c r="AC201" s="22">
        <f t="shared" si="163"/>
        <v>9.2304699103943353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253.79640000000001</v>
      </c>
      <c r="BF201" s="13">
        <f t="shared" si="167"/>
        <v>61.39816832228076</v>
      </c>
      <c r="BG201" s="20">
        <f t="shared" si="168"/>
        <v>548.96387316130563</v>
      </c>
      <c r="BH201" s="59">
        <f t="shared" si="194"/>
        <v>842.29720649463889</v>
      </c>
      <c r="BI201" s="59">
        <f ca="1">AVERAGE(OFFSET($BH$3,0,0,'Données projet'!$E$11+1,1))-AVERAGE(OFFSET($H$3,0,0,'Données projet'!$E$11+1,1))</f>
        <v>273.69926316253162</v>
      </c>
      <c r="BJ201" s="59">
        <f t="shared" si="206"/>
        <v>270.78513558650451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4.3268470178861413</v>
      </c>
      <c r="BQ201" s="21">
        <f>EXP(-LN(2)/25)*BQ200+(1-EXP(-LN(2)/25))/(LN(2)/25)*Calculateur!BL201*Calculateur!BN201*VLOOKUP('Données projet'!$B$11,Paramètres!$A$1:$I$89,3,0)*0.475*44/12</f>
        <v>0.2862997562542815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4.6131467741404233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-5.4001247917767614E-13</v>
      </c>
      <c r="BZ201" s="13">
        <f>BY201*VLOOKUP('Données projet'!$B$12,Paramètres!$A$1:$I$89,3,0)*VLOOKUP('Données projet'!$B$12,Paramètres!$A$1:$I$89,5,0)</f>
        <v>-4.8860329115996133E-13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302.4170391346459</v>
      </c>
      <c r="CE201" s="59">
        <f t="shared" si="207"/>
        <v>114.18498182856115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149.80782182292674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149.80782182292674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194.89717355535993</v>
      </c>
      <c r="T202" s="59">
        <f t="shared" si="204"/>
        <v>195.422737562245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8.2697922276967386</v>
      </c>
      <c r="AA202" s="21">
        <f>EXP(-LN(2)/25)*AA201+(1-EXP(-LN(2)/25))/(LN(2)/25)*Calculateur!V202*Calculateur!X202*VLOOKUP('Données projet'!$B$9,Paramètres!$A$1:$I$89,3,0)*0.475*44/12</f>
        <v>0.77352186882978169</v>
      </c>
      <c r="AB202" s="21">
        <f>EXP(-LN(2)/2)*AB201+(1-EXP(-LN(2)/2))/(LN(2)/2)*V202*Y202*VLOOKUP('Données projet'!$B$9,Paramètres!$A$1:$I$89,3,0)*0.475*44/12</f>
        <v>3.7707714359216517E-20</v>
      </c>
      <c r="AC202" s="22">
        <f t="shared" si="163"/>
        <v>9.0433140965265206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253.79640000000001</v>
      </c>
      <c r="BF202" s="13">
        <f t="shared" si="167"/>
        <v>61.39816832228076</v>
      </c>
      <c r="BG202" s="20">
        <f t="shared" si="168"/>
        <v>548.96387316130563</v>
      </c>
      <c r="BH202" s="59">
        <f t="shared" si="194"/>
        <v>842.29720649463889</v>
      </c>
      <c r="BI202" s="59">
        <f ca="1">AVERAGE(OFFSET($BH$3,0,0,'Données projet'!$E$11+1,1))-AVERAGE(OFFSET($H$3,0,0,'Données projet'!$E$11+1,1))</f>
        <v>273.69926316253162</v>
      </c>
      <c r="BJ202" s="59">
        <f t="shared" si="206"/>
        <v>270.78513558650451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4.2420001869814836</v>
      </c>
      <c r="BQ202" s="21">
        <f>EXP(-LN(2)/25)*BQ201+(1-EXP(-LN(2)/25))/(LN(2)/25)*Calculateur!BL202*Calculateur!BN202*VLOOKUP('Données projet'!$B$11,Paramètres!$A$1:$I$89,3,0)*0.475*44/12</f>
        <v>0.27847087436365836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4.520471061345142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-5.4001247917767614E-13</v>
      </c>
      <c r="BZ202" s="13">
        <f>BY202*VLOOKUP('Données projet'!$B$12,Paramètres!$A$1:$I$89,3,0)*VLOOKUP('Données projet'!$B$12,Paramètres!$A$1:$I$89,5,0)</f>
        <v>-4.8860329115996133E-13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302.4170391346459</v>
      </c>
      <c r="CE202" s="59">
        <f t="shared" si="207"/>
        <v>114.18498182856115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146.87018181072804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146.87018181072804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194.89717355535993</v>
      </c>
      <c r="T203" s="59">
        <f t="shared" si="204"/>
        <v>195.422737562245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8.1076266461868034</v>
      </c>
      <c r="AA203" s="21">
        <f>EXP(-LN(2)/25)*AA202+(1-EXP(-LN(2)/25))/(LN(2)/25)*Calculateur!V203*Calculateur!X203*VLOOKUP('Données projet'!$B$9,Paramètres!$A$1:$I$89,3,0)*0.475*44/12</f>
        <v>0.75236987264888411</v>
      </c>
      <c r="AB203" s="21">
        <f>EXP(-LN(2)/2)*AB202+(1-EXP(-LN(2)/2))/(LN(2)/2)*V203*Y203*VLOOKUP('Données projet'!$B$9,Paramètres!$A$1:$I$89,3,0)*0.475*44/12</f>
        <v>2.6663380526447351E-20</v>
      </c>
      <c r="AC203" s="22">
        <f t="shared" si="163"/>
        <v>8.859996518835688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253.79640000000001</v>
      </c>
      <c r="BF203" s="13">
        <f t="shared" si="167"/>
        <v>61.39816832228076</v>
      </c>
      <c r="BG203" s="20">
        <f t="shared" si="168"/>
        <v>548.96387316130563</v>
      </c>
      <c r="BH203" s="59">
        <f t="shared" si="194"/>
        <v>842.29720649463889</v>
      </c>
      <c r="BI203" s="59">
        <f ca="1">AVERAGE(OFFSET($BH$3,0,0,'Données projet'!$E$11+1,1))-AVERAGE(OFFSET($H$3,0,0,'Données projet'!$E$11+1,1))</f>
        <v>273.69926316253162</v>
      </c>
      <c r="BJ203" s="59">
        <f t="shared" si="206"/>
        <v>270.78513558650451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4.1588171506794094</v>
      </c>
      <c r="BQ203" s="21">
        <f>EXP(-LN(2)/25)*BQ202+(1-EXP(-LN(2)/25))/(LN(2)/25)*Calculateur!BL203*Calculateur!BN203*VLOOKUP('Données projet'!$B$11,Paramètres!$A$1:$I$89,3,0)*0.475*44/12</f>
        <v>0.27085607366003728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4.4296732243394468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-5.4001247917767614E-13</v>
      </c>
      <c r="BZ203" s="13">
        <f>BY203*VLOOKUP('Données projet'!$B$12,Paramètres!$A$1:$I$89,3,0)*VLOOKUP('Données projet'!$B$12,Paramètres!$A$1:$I$89,5,0)</f>
        <v>-4.8860329115996133E-13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302.4170391346459</v>
      </c>
      <c r="CE203" s="59">
        <f t="shared" si="207"/>
        <v>114.18498182856115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143.99014712738509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143.99014712738509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1.3292852468445944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>
        <f>EXP(LN('Données projet'!B88)/'Données projet'!A88)</f>
        <v>1.2709816152101407</v>
      </c>
      <c r="BV205" s="82">
        <f>EXP(LN('Données projet'!B114)/'Données projet'!A114)</f>
        <v>1.1549646791274306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D17" sqref="D17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6.9459999999999997</v>
      </c>
      <c r="C6" s="147">
        <f ca="1">IF(OR('Données projet'!B9="",'Données projet'!C9="",'Données projet'!C9=0%),0,Calculateur!S3)</f>
        <v>194.89717355535993</v>
      </c>
      <c r="D6" s="147">
        <f>IF(OR('Données projet'!B9="",'Données projet'!C9="",'Données projet'!C9=0%),0,Calculateur!T3)</f>
        <v>195.422737562245</v>
      </c>
      <c r="E6" s="147">
        <f ca="1">MIN(C6,D6)</f>
        <v>194.89717355535993</v>
      </c>
      <c r="F6" s="147">
        <f ca="1">E6*B6</f>
        <v>1353.7557675155299</v>
      </c>
      <c r="G6" s="147">
        <f ca="1">F6*(100%-'Données projet'!$C$24)*(100%-'Données projet'!$C$25)*(100%-'Données projet'!$C$26)*(100%-'Données projet'!$C$27)</f>
        <v>1218.380190763977</v>
      </c>
      <c r="H6" s="148">
        <f>IF(OR('Données projet'!B9="",'Données projet'!C9="",'Données projet'!C9=0%),0,AVERAGE(Calculateur!$AC$3:$AC$33)*B6)</f>
        <v>68.886996826919471</v>
      </c>
      <c r="I6" s="149">
        <f>H6*(100%-'Données projet'!$C$24)*(100%-'Données projet'!$C$25)*(100%-'Données projet'!$C$26)*(100%-'Données projet'!$C$27)</f>
        <v>61.998297144227529</v>
      </c>
      <c r="J6" s="150">
        <f>IF(OR('Données projet'!B9="",'Données projet'!C9="",'Données projet'!C9=0%),0,SUM(Calculateur!$V$3:$V$33)*VLOOKUP('Données projet'!$B$9,Paramètres!$A$1:$I$89,9,0)*B6)</f>
        <v>589.50167689785758</v>
      </c>
      <c r="K6" s="151">
        <f>J6*(100%-'Données projet'!$C$24)*(100%-'Données projet'!$C$25)*(100%-'Données projet'!$C$26)*(100%-'Données projet'!$C$27)</f>
        <v>530.55150920807182</v>
      </c>
      <c r="L6" s="152">
        <f ca="1">G6+I6+K6</f>
        <v>1810.9299971162764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Erable plane</v>
      </c>
      <c r="B8" s="154">
        <f>'Données projet'!D11</f>
        <v>0.151</v>
      </c>
      <c r="C8" s="147">
        <f ca="1">IF(OR('Données projet'!B11="",'Données projet'!C11="",'Données projet'!C11=0%),0,Calculateur!BI3)</f>
        <v>273.69926316253162</v>
      </c>
      <c r="D8" s="147">
        <f>IF(OR('Données projet'!B11="",'Données projet'!C11="",'Données projet'!C11=0%),0,Calculateur!BJ3)</f>
        <v>270.78513558650451</v>
      </c>
      <c r="E8" s="147">
        <f t="shared" ca="1" si="0"/>
        <v>270.78513558650451</v>
      </c>
      <c r="F8" s="147">
        <f t="shared" ca="1" si="1"/>
        <v>40.888555473562178</v>
      </c>
      <c r="G8" s="147">
        <f ca="1">F8*(100%-'Données projet'!$C$24)*(100%-'Données projet'!$C$25)*(100%-'Données projet'!$C$26)*(100%-'Données projet'!$C$27)</f>
        <v>36.79969992620596</v>
      </c>
      <c r="H8" s="155">
        <f>IF(OR('Données projet'!B11="",'Données projet'!C11="",'Données projet'!C11=0%),0,AVERAGE(Calculateur!$BS$3:$BS$33)*B8)</f>
        <v>0.18841573811859011</v>
      </c>
      <c r="I8" s="149">
        <f>H8*(100%-'Données projet'!$C$24)*(100%-'Données projet'!$C$25)*(100%-'Données projet'!$C$26)*(100%-'Données projet'!$C$27)</f>
        <v>0.16957416430673111</v>
      </c>
      <c r="J8" s="150">
        <f>IF(OR('Données projet'!B11="",'Données projet'!C11="",'Données projet'!C11=0%),0,SUM(Calculateur!$BL$3:$BL$33)*VLOOKUP('Données projet'!$B$11,Paramètres!$A$1:$I$89,9,0)*B8)</f>
        <v>5.1717499999999994</v>
      </c>
      <c r="K8" s="151">
        <f>J8*(100%-'Données projet'!$C$24)*(100%-'Données projet'!$C$25)*(100%-'Données projet'!$C$26)*(100%-'Données projet'!$C$27)</f>
        <v>4.6545749999999995</v>
      </c>
      <c r="L8" s="152">
        <f t="shared" ca="1" si="2"/>
        <v>41.623849090512692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sessile</v>
      </c>
      <c r="B9" s="154">
        <f>'Données projet'!D12</f>
        <v>0.45299999999999996</v>
      </c>
      <c r="C9" s="147">
        <f ca="1">IF(OR('Données projet'!B12="",'Données projet'!C12="",'Données projet'!C12=0%),0,Calculateur!CD3)</f>
        <v>302.4170391346459</v>
      </c>
      <c r="D9" s="147">
        <f>IF(OR('Données projet'!B12="",'Données projet'!C12="",'Données projet'!C12=0%),0,Calculateur!CE3)</f>
        <v>114.18498182856115</v>
      </c>
      <c r="E9" s="147">
        <f t="shared" ca="1" si="0"/>
        <v>114.18498182856115</v>
      </c>
      <c r="F9" s="147">
        <f t="shared" ca="1" si="1"/>
        <v>51.725796768338199</v>
      </c>
      <c r="G9" s="147">
        <f ca="1">F9*(100%-'Données projet'!$C$24)*(100%-'Données projet'!$C$25)*(100%-'Données projet'!$C$26)*(100%-'Données projet'!$C$27)</f>
        <v>46.553217091504379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46.553217091504379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1446.3701197574301</v>
      </c>
      <c r="G16" s="166">
        <f t="shared" ca="1" si="3"/>
        <v>1301.7331077816873</v>
      </c>
      <c r="H16" s="167">
        <f t="shared" si="3"/>
        <v>69.075412565038064</v>
      </c>
      <c r="I16" s="167">
        <f t="shared" si="3"/>
        <v>62.167871308534259</v>
      </c>
      <c r="J16" s="168">
        <f t="shared" si="3"/>
        <v>594.67342689785755</v>
      </c>
      <c r="K16" s="168">
        <f t="shared" si="3"/>
        <v>535.20608420807184</v>
      </c>
      <c r="L16" s="169">
        <f t="shared" ca="1" si="3"/>
        <v>1899.1070632982935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Erable plane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0" zoomScaleNormal="80" workbookViewId="0">
      <selection activeCell="I20" sqref="I2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2397.3016066031842</v>
      </c>
      <c r="U10" s="178">
        <f>'Données projet'!D9</f>
        <v>6.9459999999999997</v>
      </c>
      <c r="V10" s="177">
        <f>U10*T10</f>
        <v>16651.656959465716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plane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1423.9033761971652</v>
      </c>
      <c r="U12" s="178">
        <f>'Données projet'!D11</f>
        <v>0.151</v>
      </c>
      <c r="V12" s="177">
        <f t="shared" ref="V12:V19" si="1">U12*T12</f>
        <v>215.00940980577195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755.12869153689758</v>
      </c>
      <c r="U13" s="178">
        <f>'Données projet'!D12</f>
        <v>0.45299999999999996</v>
      </c>
      <c r="V13" s="177">
        <f t="shared" si="1"/>
        <v>342.07329726621458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257">
        <v>5527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17</v>
      </c>
      <c r="B23" s="181">
        <f>'Données projet'!D36</f>
        <v>42.084615380000002</v>
      </c>
      <c r="C23" s="193">
        <v>10</v>
      </c>
      <c r="D23" s="182">
        <f>B23*C23</f>
        <v>420.84615380000002</v>
      </c>
      <c r="E23" s="193">
        <v>150</v>
      </c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-22723.174209060388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23</v>
      </c>
      <c r="B24" s="181">
        <f>'Données projet'!D37</f>
        <v>54.1</v>
      </c>
      <c r="C24" s="193">
        <v>18</v>
      </c>
      <c r="D24" s="182">
        <f t="shared" ref="D24:D42" si="2">B24*C24</f>
        <v>973.80000000000007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1814.2651053700849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29</v>
      </c>
      <c r="B25" s="181">
        <f>'Données projet'!D38</f>
        <v>47.661538460000003</v>
      </c>
      <c r="C25" s="193">
        <v>25</v>
      </c>
      <c r="D25" s="182">
        <f t="shared" si="2"/>
        <v>1191.5384615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-24537.439314430474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64.553846149999998</v>
      </c>
      <c r="C26" s="193">
        <v>25</v>
      </c>
      <c r="D26" s="182">
        <f t="shared" si="2"/>
        <v>1613.84615375</v>
      </c>
      <c r="E26" s="193">
        <v>150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44</v>
      </c>
      <c r="B27" s="181">
        <f>'Données projet'!D40</f>
        <v>64.476923080000006</v>
      </c>
      <c r="C27" s="193">
        <v>35</v>
      </c>
      <c r="D27" s="182">
        <f t="shared" si="2"/>
        <v>2256.6923078</v>
      </c>
      <c r="E27" s="193">
        <v>150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52</v>
      </c>
      <c r="B28" s="181">
        <f>'Données projet'!D41</f>
        <v>61.784615379999998</v>
      </c>
      <c r="C28" s="193">
        <v>35</v>
      </c>
      <c r="D28" s="182">
        <f t="shared" si="2"/>
        <v>2162.4615383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60</v>
      </c>
      <c r="B29" s="181">
        <f>'Données projet'!D42</f>
        <v>353.5</v>
      </c>
      <c r="C29" s="193">
        <v>35</v>
      </c>
      <c r="D29" s="182">
        <f t="shared" si="2"/>
        <v>12372.5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Erable plane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32</v>
      </c>
      <c r="C86" s="191">
        <v>10</v>
      </c>
      <c r="D86" s="179">
        <f t="shared" ref="D86:D104" si="6">B86*C86</f>
        <v>320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>
        <f>'Données projet'!D90</f>
        <v>35</v>
      </c>
      <c r="C87" s="191">
        <v>10</v>
      </c>
      <c r="D87" s="179">
        <f t="shared" si="6"/>
        <v>350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>
        <f>'Données projet'!D91</f>
        <v>35</v>
      </c>
      <c r="C88" s="191">
        <v>15</v>
      </c>
      <c r="D88" s="179">
        <f t="shared" si="6"/>
        <v>525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>
        <f>'Données projet'!D92</f>
        <v>35</v>
      </c>
      <c r="C89" s="191">
        <v>15</v>
      </c>
      <c r="D89" s="179">
        <f t="shared" si="6"/>
        <v>525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>
        <f>'Données projet'!D93</f>
        <v>35</v>
      </c>
      <c r="C90" s="191">
        <v>50</v>
      </c>
      <c r="D90" s="179">
        <f t="shared" si="6"/>
        <v>1750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>
        <f>'Données projet'!D94</f>
        <v>35</v>
      </c>
      <c r="C91" s="191">
        <v>50</v>
      </c>
      <c r="D91" s="179">
        <f t="shared" si="6"/>
        <v>1750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>
        <f>'Données projet'!D95</f>
        <v>24</v>
      </c>
      <c r="C92" s="191">
        <v>50</v>
      </c>
      <c r="D92" s="179">
        <f t="shared" si="6"/>
        <v>1200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>
        <f>'Données projet'!D96</f>
        <v>19</v>
      </c>
      <c r="C93" s="191">
        <v>50</v>
      </c>
      <c r="D93" s="179">
        <f t="shared" si="6"/>
        <v>950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>
        <f>'Données projet'!D97</f>
        <v>16</v>
      </c>
      <c r="C94" s="191">
        <v>50</v>
      </c>
      <c r="D94" s="179">
        <f t="shared" si="6"/>
        <v>800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>
        <f>'Données projet'!D98</f>
        <v>14</v>
      </c>
      <c r="C95" s="191">
        <v>50</v>
      </c>
      <c r="D95" s="179">
        <f t="shared" si="6"/>
        <v>700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>
        <f>'Données projet'!D99</f>
        <v>13</v>
      </c>
      <c r="C96" s="191">
        <v>50</v>
      </c>
      <c r="D96" s="179">
        <f t="shared" si="6"/>
        <v>650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>
        <f>'Données projet'!D100</f>
        <v>13</v>
      </c>
      <c r="C97" s="191">
        <v>50</v>
      </c>
      <c r="D97" s="179">
        <f t="shared" si="6"/>
        <v>650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>
        <f>'Données projet'!D101</f>
        <v>12</v>
      </c>
      <c r="C98" s="191">
        <v>50</v>
      </c>
      <c r="D98" s="179">
        <f t="shared" si="6"/>
        <v>600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>
        <f>'Données projet'!D102</f>
        <v>11</v>
      </c>
      <c r="C99" s="191">
        <v>50</v>
      </c>
      <c r="D99" s="179">
        <f t="shared" si="6"/>
        <v>550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42</v>
      </c>
      <c r="B117" s="181">
        <f>'Données projet'!D115</f>
        <v>38.685897435897438</v>
      </c>
      <c r="C117" s="191">
        <v>10</v>
      </c>
      <c r="D117" s="179">
        <f t="shared" ref="D117:D135" si="8">B117*C117</f>
        <v>386.85897435897436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50</v>
      </c>
      <c r="B118" s="181">
        <f>'Données projet'!D116</f>
        <v>29.416666666666664</v>
      </c>
      <c r="C118" s="191">
        <v>10</v>
      </c>
      <c r="D118" s="179">
        <f t="shared" si="8"/>
        <v>294.16666666666663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58</v>
      </c>
      <c r="B119" s="181">
        <f>'Données projet'!D117</f>
        <v>35.88461538461538</v>
      </c>
      <c r="C119" s="191">
        <v>50</v>
      </c>
      <c r="D119" s="179">
        <f t="shared" si="8"/>
        <v>1794.2307692307691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66</v>
      </c>
      <c r="B120" s="181">
        <f>'Données projet'!D118</f>
        <v>39.166666666666664</v>
      </c>
      <c r="C120" s="191">
        <v>50</v>
      </c>
      <c r="D120" s="179">
        <f t="shared" si="8"/>
        <v>1958.3333333333333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74</v>
      </c>
      <c r="B121" s="181">
        <f>'Données projet'!D119</f>
        <v>36.865384615384613</v>
      </c>
      <c r="C121" s="191">
        <v>50</v>
      </c>
      <c r="D121" s="179">
        <f t="shared" si="8"/>
        <v>1843.2692307692307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84</v>
      </c>
      <c r="B122" s="181">
        <f>'Données projet'!D120</f>
        <v>47.256410256410255</v>
      </c>
      <c r="C122" s="191">
        <v>100</v>
      </c>
      <c r="D122" s="179">
        <f t="shared" si="8"/>
        <v>4725.6410256410254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94</v>
      </c>
      <c r="B123" s="181">
        <f>'Données projet'!D121</f>
        <v>47.243589743589745</v>
      </c>
      <c r="C123" s="191">
        <v>100</v>
      </c>
      <c r="D123" s="179">
        <f t="shared" si="8"/>
        <v>4724.3589743589746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104</v>
      </c>
      <c r="B124" s="181">
        <f>'Données projet'!D122</f>
        <v>45.987179487179482</v>
      </c>
      <c r="C124" s="191">
        <v>150</v>
      </c>
      <c r="D124" s="179">
        <f t="shared" si="8"/>
        <v>6898.076923076922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114</v>
      </c>
      <c r="B125" s="181">
        <f>'Données projet'!D123</f>
        <v>42.78846153846154</v>
      </c>
      <c r="C125" s="191">
        <v>150</v>
      </c>
      <c r="D125" s="179">
        <f t="shared" si="8"/>
        <v>6418.2692307692314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124</v>
      </c>
      <c r="B126" s="181">
        <f>'Données projet'!D124</f>
        <v>39.820512820512818</v>
      </c>
      <c r="C126" s="191">
        <v>150</v>
      </c>
      <c r="D126" s="179">
        <f t="shared" si="8"/>
        <v>5973.0769230769229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134</v>
      </c>
      <c r="B127" s="181">
        <f>'Données projet'!D125</f>
        <v>41.666666666666664</v>
      </c>
      <c r="C127" s="191">
        <v>200</v>
      </c>
      <c r="D127" s="179">
        <f t="shared" si="8"/>
        <v>8333.3333333333321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144</v>
      </c>
      <c r="B128" s="181">
        <f>'Données projet'!D126</f>
        <v>42.224358974358978</v>
      </c>
      <c r="C128" s="191">
        <v>200</v>
      </c>
      <c r="D128" s="179">
        <f t="shared" si="8"/>
        <v>8444.8717948717949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154</v>
      </c>
      <c r="B129" s="181">
        <f>'Données projet'!D127</f>
        <v>41.557692307692307</v>
      </c>
      <c r="C129" s="191">
        <v>200</v>
      </c>
      <c r="D129" s="179">
        <f t="shared" si="8"/>
        <v>8311.538461538461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164</v>
      </c>
      <c r="B130" s="181">
        <f>'Données projet'!D128</f>
        <v>44.814102564102562</v>
      </c>
      <c r="C130" s="191">
        <v>200</v>
      </c>
      <c r="D130" s="179">
        <f t="shared" si="8"/>
        <v>8962.8205128205118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174</v>
      </c>
      <c r="B131" s="181">
        <f>'Données projet'!D129</f>
        <v>162.38461538461539</v>
      </c>
      <c r="C131" s="191">
        <v>200</v>
      </c>
      <c r="D131" s="179">
        <f t="shared" si="8"/>
        <v>32476.923076923078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177</v>
      </c>
      <c r="B132" s="181">
        <f>'Données projet'!D130</f>
        <v>87</v>
      </c>
      <c r="C132" s="191">
        <v>200</v>
      </c>
      <c r="D132" s="179">
        <f t="shared" si="8"/>
        <v>17400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180</v>
      </c>
      <c r="B133" s="181">
        <f>'Données projet'!D131</f>
        <v>58.794871794871796</v>
      </c>
      <c r="C133" s="191">
        <v>200</v>
      </c>
      <c r="D133" s="179">
        <f t="shared" si="8"/>
        <v>11758.974358974359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183</v>
      </c>
      <c r="B134" s="181">
        <f>'Données projet'!D132</f>
        <v>129.32692307692307</v>
      </c>
      <c r="C134" s="191">
        <v>200</v>
      </c>
      <c r="D134" s="179">
        <f t="shared" si="8"/>
        <v>25865.384615384613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2024-04-29T15:33:01Z</dcterms:modified>
</cp:coreProperties>
</file>