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FONTRIEU 4 (81) - SCI Rimalte\Dossier à déposer\"/>
    </mc:Choice>
  </mc:AlternateContent>
  <xr:revisionPtr revIDLastSave="0" documentId="13_ncr:1_{E9A2E46D-6DA4-4A2E-B624-778471F947B2}" xr6:coauthVersionLast="36" xr6:coauthVersionMax="36" xr10:uidLastSave="{00000000-0000-0000-0000-000000000000}"/>
  <bookViews>
    <workbookView xWindow="0" yWindow="0" windowWidth="28800" windowHeight="12612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<sst xmlns="http://schemas.openxmlformats.org/spreadsheetml/2006/main" count="1170" uniqueCount="324">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</sst>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2.1741481815660317</c:v>
                </c:pt>
                <c:pt idx="2">
                  <c:v>3.3279919278058419</c:v>
                </c:pt>
                <c:pt idx="3">
                  <c:v>5.0970686122234934</c:v>
                </c:pt>
                <c:pt idx="4">
                  <c:v>7.8108603439262572</c:v>
                </c:pt>
                <c:pt idx="5">
                  <c:v>11.976016001557646</c:v>
                </c:pt>
                <c:pt idx="6">
                  <c:v>18.371970801719861</c:v>
                </c:pt>
                <c:pt idx="7">
                  <c:v>28.198348261169219</c:v>
                </c:pt>
                <c:pt idx="8">
                  <c:v>43.302273190862593</c:v>
                </c:pt>
                <c:pt idx="9">
                  <c:v>66.529046266496863</c:v>
                </c:pt>
                <c:pt idx="10">
                  <c:v>102.26331921155065</c:v>
                </c:pt>
                <c:pt idx="11">
                  <c:v>99.383832042107713</c:v>
                </c:pt>
                <c:pt idx="12">
                  <c:v>127.61811425323567</c:v>
                </c:pt>
                <c:pt idx="13">
                  <c:v>155.70032484556364</c:v>
                </c:pt>
                <c:pt idx="14">
                  <c:v>183.66187873507451</c:v>
                </c:pt>
                <c:pt idx="15">
                  <c:v>211.5237693240953</c:v>
                </c:pt>
                <c:pt idx="16">
                  <c:v>177.273330248728</c:v>
                </c:pt>
                <c:pt idx="17">
                  <c:v>206.80772973999618</c:v>
                </c:pt>
                <c:pt idx="18">
                  <c:v>236.24455995422252</c:v>
                </c:pt>
                <c:pt idx="19">
                  <c:v>265.59769251928259</c:v>
                </c:pt>
                <c:pt idx="20">
                  <c:v>294.87767605242158</c:v>
                </c:pt>
                <c:pt idx="21">
                  <c:v>249.16956379358496</c:v>
                </c:pt>
                <c:pt idx="22">
                  <c:v>274.97481117699641</c:v>
                </c:pt>
                <c:pt idx="23">
                  <c:v>300.72565518272023</c:v>
                </c:pt>
                <c:pt idx="24">
                  <c:v>326.42740643086165</c:v>
                </c:pt>
                <c:pt idx="25">
                  <c:v>352.08447089489545</c:v>
                </c:pt>
                <c:pt idx="26">
                  <c:v>306.3373322127826</c:v>
                </c:pt>
                <c:pt idx="27">
                  <c:v>327.12771904371101</c:v>
                </c:pt>
                <c:pt idx="28">
                  <c:v>347.88893729723378</c:v>
                </c:pt>
                <c:pt idx="29">
                  <c:v>368.62297160187927</c:v>
                </c:pt>
                <c:pt idx="30">
                  <c:v>389.33156517747528</c:v>
                </c:pt>
                <c:pt idx="31">
                  <c:v>349.28757120195638</c:v>
                </c:pt>
                <c:pt idx="32">
                  <c:v>365.13029886543012</c:v>
                </c:pt>
                <c:pt idx="33">
                  <c:v>380.95801656536122</c:v>
                </c:pt>
                <c:pt idx="34">
                  <c:v>396.77143560147573</c:v>
                </c:pt>
                <c:pt idx="35">
                  <c:v>412.57120595911425</c:v>
                </c:pt>
                <c:pt idx="36">
                  <c:v>380.26004138661079</c:v>
                </c:pt>
                <c:pt idx="37">
                  <c:v>392.12187483767138</c:v>
                </c:pt>
                <c:pt idx="38">
                  <c:v>403.97592783450415</c:v>
                </c:pt>
                <c:pt idx="39">
                  <c:v>415.82246089092337</c:v>
                </c:pt>
                <c:pt idx="40">
                  <c:v>427.66171846396492</c:v>
                </c:pt>
                <c:pt idx="41">
                  <c:v>403.74356852619422</c:v>
                </c:pt>
                <c:pt idx="42">
                  <c:v>412.33895235831295</c:v>
                </c:pt>
                <c:pt idx="43">
                  <c:v>420.93047014195105</c:v>
                </c:pt>
                <c:pt idx="44">
                  <c:v>429.51821195249221</c:v>
                </c:pt>
                <c:pt idx="45">
                  <c:v>438.10226396786584</c:v>
                </c:pt>
                <c:pt idx="46">
                  <c:v>419.76967683146569</c:v>
                </c:pt>
                <c:pt idx="47">
                  <c:v>425.80505163704908</c:v>
                </c:pt>
                <c:pt idx="48">
                  <c:v>431.83858635941425</c:v>
                </c:pt>
                <c:pt idx="49">
                  <c:v>437.87031035511887</c:v>
                </c:pt>
                <c:pt idx="50">
                  <c:v>443.90025210533031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" zoomScale="90" zoomScaleNormal="90" workbookViewId="0">
      <selection activeCell="B25" sqref="B25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1.75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18</v>
      </c>
      <c r="C9" s="35">
        <v>0.71419999999999995</v>
      </c>
      <c r="D9" s="36">
        <f t="shared" ref="D9:D18" si="0">C9*$C$5</f>
        <v>1.2498499999999999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81</v>
      </c>
      <c r="C10" s="35">
        <v>0.28570000000000001</v>
      </c>
      <c r="D10" s="36">
        <f t="shared" si="0"/>
        <v>0.499975</v>
      </c>
      <c r="E10" s="37">
        <v>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0.99990000000000001</v>
      </c>
      <c r="D19" s="41">
        <f>SUM(D9:D18)</f>
        <v>1.749825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19</v>
      </c>
      <c r="B36" s="63">
        <v>162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8.526315789473685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335</v>
      </c>
      <c r="C37" s="63">
        <v>2</v>
      </c>
      <c r="D37" s="63">
        <v>54</v>
      </c>
      <c r="E37" s="54">
        <v>0.1</v>
      </c>
      <c r="F37" s="54">
        <v>0.4</v>
      </c>
      <c r="G37" s="54">
        <v>0.5</v>
      </c>
      <c r="H37" s="54">
        <v>0</v>
      </c>
      <c r="I37" s="56">
        <f t="shared" ref="I37:I55" si="1">IF(A37&lt;&gt;0,(B37-(B36-D36))/(A37-A36),"")</f>
        <v>28.833333333333332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421</v>
      </c>
      <c r="C38" s="63">
        <v>3</v>
      </c>
      <c r="D38" s="63">
        <v>54</v>
      </c>
      <c r="E38" s="54">
        <v>0.4</v>
      </c>
      <c r="F38" s="54">
        <v>0.3</v>
      </c>
      <c r="G38" s="54">
        <v>0.3</v>
      </c>
      <c r="H38" s="54">
        <v>0</v>
      </c>
      <c r="I38" s="56">
        <f t="shared" si="1"/>
        <v>28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v>505</v>
      </c>
      <c r="C39" s="63">
        <v>4</v>
      </c>
      <c r="D39" s="63">
        <v>69</v>
      </c>
      <c r="E39" s="54"/>
      <c r="F39" s="54"/>
      <c r="G39" s="54"/>
      <c r="H39" s="54"/>
      <c r="I39" s="52">
        <f t="shared" si="1"/>
        <v>27.6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v>564</v>
      </c>
      <c r="C40" s="63">
        <v>5</v>
      </c>
      <c r="D40" s="63">
        <v>72</v>
      </c>
      <c r="E40" s="54"/>
      <c r="F40" s="54"/>
      <c r="G40" s="54"/>
      <c r="H40" s="54"/>
      <c r="I40" s="52">
        <f t="shared" si="1"/>
        <v>25.6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v>606</v>
      </c>
      <c r="C41" s="63">
        <v>6</v>
      </c>
      <c r="D41" s="63">
        <v>66</v>
      </c>
      <c r="E41" s="54"/>
      <c r="F41" s="54"/>
      <c r="G41" s="54"/>
      <c r="H41" s="54"/>
      <c r="I41" s="56">
        <f t="shared" si="1"/>
        <v>22.8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v>629</v>
      </c>
      <c r="C42" s="63">
        <v>7</v>
      </c>
      <c r="D42" s="63">
        <v>48</v>
      </c>
      <c r="E42" s="54"/>
      <c r="F42" s="54"/>
      <c r="G42" s="54"/>
      <c r="H42" s="54"/>
      <c r="I42" s="56">
        <f t="shared" si="1"/>
        <v>17.8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55</v>
      </c>
      <c r="B43" s="63">
        <v>650</v>
      </c>
      <c r="C43" s="63">
        <v>8</v>
      </c>
      <c r="D43" s="63">
        <v>35</v>
      </c>
      <c r="E43" s="54"/>
      <c r="F43" s="54"/>
      <c r="G43" s="54"/>
      <c r="H43" s="54"/>
      <c r="I43" s="52">
        <f t="shared" si="1"/>
        <v>13.8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60</v>
      </c>
      <c r="B44" s="63">
        <v>666</v>
      </c>
      <c r="C44" s="63">
        <v>9</v>
      </c>
      <c r="D44" s="63">
        <v>666</v>
      </c>
      <c r="E44" s="54"/>
      <c r="F44" s="54"/>
      <c r="G44" s="54"/>
      <c r="H44" s="54"/>
      <c r="I44" s="52">
        <f t="shared" si="1"/>
        <v>10.199999999999999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Mélèze hybride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10</v>
      </c>
      <c r="B62" s="63">
        <v>83</v>
      </c>
      <c r="C62" s="63">
        <v>1</v>
      </c>
      <c r="D62" s="63">
        <v>26</v>
      </c>
      <c r="E62" s="54"/>
      <c r="F62" s="54"/>
      <c r="G62" s="54">
        <v>1</v>
      </c>
      <c r="H62" s="54"/>
      <c r="I62" s="56">
        <f>IFERROR(B62/A62,"")</f>
        <v>8.3000000000000007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15</v>
      </c>
      <c r="B63" s="63">
        <v>175</v>
      </c>
      <c r="C63" s="63">
        <v>2</v>
      </c>
      <c r="D63" s="63">
        <v>54</v>
      </c>
      <c r="E63" s="54"/>
      <c r="F63" s="54"/>
      <c r="G63" s="54">
        <v>1</v>
      </c>
      <c r="H63" s="54"/>
      <c r="I63" s="52">
        <f>IF(A63&lt;&gt;0,(B63-(B62-D62))/(A63-A62),"")</f>
        <v>23.6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20</v>
      </c>
      <c r="B64" s="63">
        <v>246</v>
      </c>
      <c r="C64" s="63">
        <v>3</v>
      </c>
      <c r="D64" s="63">
        <v>61</v>
      </c>
      <c r="E64" s="54"/>
      <c r="F64" s="54">
        <v>0.4</v>
      </c>
      <c r="G64" s="54">
        <v>0.6</v>
      </c>
      <c r="H64" s="54"/>
      <c r="I64" s="52">
        <f>IF(A64&lt;&gt;0,(B64-(B63-D63))/(A64-A63),"")</f>
        <v>25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25</v>
      </c>
      <c r="B65" s="63">
        <v>295</v>
      </c>
      <c r="C65" s="63">
        <v>4</v>
      </c>
      <c r="D65" s="63">
        <v>57</v>
      </c>
      <c r="E65" s="54"/>
      <c r="F65" s="54">
        <v>0.4</v>
      </c>
      <c r="G65" s="54">
        <v>0.6</v>
      </c>
      <c r="H65" s="54"/>
      <c r="I65" s="52">
        <f>IF(A65&lt;&gt;0,(B65-(B64-D64))/(A65-A64),"")</f>
        <v>22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30</v>
      </c>
      <c r="B66" s="63">
        <v>327</v>
      </c>
      <c r="C66" s="63">
        <v>5</v>
      </c>
      <c r="D66" s="63">
        <v>48</v>
      </c>
      <c r="E66" s="54">
        <v>0.2</v>
      </c>
      <c r="F66" s="54">
        <v>0.4</v>
      </c>
      <c r="G66" s="54">
        <v>0.4</v>
      </c>
      <c r="H66" s="54"/>
      <c r="I66" s="52">
        <f t="shared" ref="I66:I81" si="2">IF(A66&lt;&gt;0,(B66-(B65-D65))/(A66-A65),"")</f>
        <v>17.8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35</v>
      </c>
      <c r="B67" s="63">
        <v>347</v>
      </c>
      <c r="C67" s="63">
        <v>6</v>
      </c>
      <c r="D67" s="63">
        <v>38</v>
      </c>
      <c r="E67" s="54"/>
      <c r="F67" s="54"/>
      <c r="G67" s="54"/>
      <c r="H67" s="54"/>
      <c r="I67" s="52">
        <f t="shared" si="2"/>
        <v>13.6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40</v>
      </c>
      <c r="B68" s="63">
        <v>360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10.199999999999999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45</v>
      </c>
      <c r="B69" s="53">
        <v>369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50</v>
      </c>
      <c r="B70" s="53">
        <v>374</v>
      </c>
      <c r="C70" s="53">
        <v>9</v>
      </c>
      <c r="D70" s="53">
        <v>374</v>
      </c>
      <c r="E70" s="54"/>
      <c r="F70" s="54"/>
      <c r="G70" s="54"/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8" zoomScale="115" zoomScaleNormal="115" workbookViewId="0">
      <selection activeCell="F14" sqref="F1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Douglas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Mélèze hybride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382.55387448074327</v>
      </c>
      <c r="T3" s="62">
        <f>IF('Données projet'!E9&gt;30,$R$33-$H$33,LOOKUP('Données projet'!$E$9,$A$3:$A$203,R3:R203)-LOOKUP('Données projet'!$E$9,$A$3:$A$203,$H$3:$H$203))</f>
        <v>476.29465646955543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240.19940780300527</v>
      </c>
      <c r="AO3" s="62">
        <f>IF('Données projet'!E10&gt;30,$AM$33-$H$33,LOOKUP('Données projet'!$E$10,$A$3:$A$203,AM3:AM203)-LOOKUP('Données projet'!$E$10,$A$3:$A$203,$H$3:$H$203))</f>
        <v>355.71054384071715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8.526315789473685</v>
      </c>
      <c r="N4" s="14">
        <f>IF('Données projet'!$A$36&gt;35,N3+M4-V3,IF(A4&lt;'Données projet'!$A$36,$K$205^A4,IF(A4='Données projet'!$A$36,'Données projet'!$B$36,N3+M4-V3)))</f>
        <v>1.3070441688874561</v>
      </c>
      <c r="O4" s="14">
        <f>N4*VLOOKUP('Données projet'!$B$9,Paramètres!$A$1:$I$89,3,0)*VLOOKUP('Données projet'!$B$9,Paramètres!$A$1:$I$89,5,0)</f>
        <v>0.73063769040808801</v>
      </c>
      <c r="P4" s="14">
        <f>EXP(-1.0587+0.8836*LN(O4)+0.284)</f>
        <v>0.34923616900555043</v>
      </c>
      <c r="Q4" s="22">
        <f t="shared" ref="Q4:Q34" si="2">(O4+P4)*0.475*44/12</f>
        <v>1.8807803051454206</v>
      </c>
      <c r="R4" s="62">
        <f t="shared" si="0"/>
        <v>295.21411363847875</v>
      </c>
      <c r="S4" s="62">
        <f ca="1">AVERAGE(OFFSET($R$3,0,0,'Données projet'!$E$9+1,1))-AVERAGE(OFFSET($H$3,0,0,'Données projet'!$E$9+1,1))</f>
        <v>382.55387448074327</v>
      </c>
      <c r="T4" s="62">
        <f>$T$3</f>
        <v>476.29465646955543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8.3000000000000007</v>
      </c>
      <c r="AI4" s="14">
        <f>IF('Données projet'!$A$62&gt;35,AI3+AH4-AQ3,IF(A4&lt;'Données projet'!$A$62,$AF$205^A4,IF(A4='Données projet'!$A$62,'Données projet'!$B$62,AI3+AH4-AQ3)))</f>
        <v>1.5556353708263266</v>
      </c>
      <c r="AJ4" s="14">
        <f>AI4*VLOOKUP('Données projet'!$B$10,Paramètres!$A$1:$I$89,3,0)*VLOOKUP('Données projet'!$B$10,Paramètres!$A$1:$I$89,5,0)</f>
        <v>0.84937691247117442</v>
      </c>
      <c r="AK4" s="14">
        <f>EXP(-1.0587+0.8836*LN(AJ4)+0.284)</f>
        <v>0.39893783292559054</v>
      </c>
      <c r="AL4" s="22">
        <f t="shared" ref="AL4:AL67" si="4">(AJ4+AK4)*0.475*44/12</f>
        <v>2.1741481815660317</v>
      </c>
      <c r="AM4" s="62">
        <f t="shared" ref="AM4:AM67" si="5">AL4+(AD4+AE4)*44/12</f>
        <v>295.50748151489933</v>
      </c>
      <c r="AN4" s="62">
        <f ca="1">AVERAGE(OFFSET($AM$3,0,0,'Données projet'!$E$10+1,1))-AVERAGE(OFFSET($H$3,0,0,'Données projet'!$E$10+1,1))</f>
        <v>240.19940780300527</v>
      </c>
      <c r="AO4" s="62">
        <f>$AO$3</f>
        <v>355.71054384071715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8.526315789473685</v>
      </c>
      <c r="N5" s="14">
        <f>IF('Données projet'!$A$36&gt;35,N4+M5-V4,IF(A5&lt;'Données projet'!$A$36,$K$205^A5,IF(A5='Données projet'!$A$36,'Données projet'!$B$36,N4+M5-V4)))</f>
        <v>1.708364459422701</v>
      </c>
      <c r="O5" s="14">
        <f>N5*VLOOKUP('Données projet'!$B$9,Paramètres!$A$1:$I$89,3,0)*VLOOKUP('Données projet'!$B$9,Paramètres!$A$1:$I$89,5,0)</f>
        <v>0.95497573281728976</v>
      </c>
      <c r="P5" s="14">
        <f t="shared" ref="P5:P68" si="33">EXP(-1.0587+0.8836*LN(O5)+0.284)</f>
        <v>0.44245926414263009</v>
      </c>
      <c r="Q5" s="22">
        <f t="shared" si="2"/>
        <v>2.4338659530385267</v>
      </c>
      <c r="R5" s="62">
        <f t="shared" si="0"/>
        <v>295.76719928637186</v>
      </c>
      <c r="S5" s="62">
        <f ca="1">AVERAGE(OFFSET($R$3,0,0,'Données projet'!$E$9+1,1))-AVERAGE(OFFSET($H$3,0,0,'Données projet'!$E$9+1,1))</f>
        <v>382.55387448074327</v>
      </c>
      <c r="T5" s="62">
        <f t="shared" ref="T5:T68" si="34">$T$3</f>
        <v>476.29465646955543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8.3000000000000007</v>
      </c>
      <c r="AI5" s="14">
        <f>IF('Données projet'!$A$62&gt;35,AI4+AH5-AQ4,IF(A5&lt;'Données projet'!$A$62,$AF$205^A5,IF(A5='Données projet'!$A$62,'Données projet'!$B$62,AI4+AH5-AQ4)))</f>
        <v>2.4200014069659628</v>
      </c>
      <c r="AJ5" s="14">
        <f>AI5*VLOOKUP('Données projet'!$B$10,Paramètres!$A$1:$I$89,3,0)*VLOOKUP('Données projet'!$B$10,Paramètres!$A$1:$I$89,5,0)</f>
        <v>1.3213207682034156</v>
      </c>
      <c r="AK5" s="14">
        <f t="shared" ref="AK5:AK68" si="35">EXP(-1.0587+0.8836*LN(AJ5)+0.284)</f>
        <v>0.58948799417314446</v>
      </c>
      <c r="AL5" s="22">
        <f t="shared" si="4"/>
        <v>3.3279919278058419</v>
      </c>
      <c r="AM5" s="62">
        <f t="shared" si="5"/>
        <v>296.66132526113915</v>
      </c>
      <c r="AN5" s="62">
        <f ca="1">AVERAGE(OFFSET($AM$3,0,0,'Données projet'!$E$10+1,1))-AVERAGE(OFFSET($H$3,0,0,'Données projet'!$E$10+1,1))</f>
        <v>240.19940780300527</v>
      </c>
      <c r="AO5" s="62">
        <f t="shared" ref="AO5:AO68" si="36">$AO$3</f>
        <v>355.71054384071715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8.526315789473685</v>
      </c>
      <c r="N6" s="14">
        <f>IF('Données projet'!$A$36&gt;35,N5+M6-V5,IF(A6&lt;'Données projet'!$A$36,$K$205^A6,IF(A6='Données projet'!$A$36,'Données projet'!$B$36,N5+M6-V5)))</f>
        <v>2.2329078050230127</v>
      </c>
      <c r="O6" s="14">
        <f>N6*VLOOKUP('Données projet'!$B$9,Paramètres!$A$1:$I$89,3,0)*VLOOKUP('Données projet'!$B$9,Paramètres!$A$1:$I$89,5,0)</f>
        <v>1.248195463007864</v>
      </c>
      <c r="P6" s="14">
        <f t="shared" si="33"/>
        <v>0.56056679634040518</v>
      </c>
      <c r="Q6" s="22">
        <f t="shared" si="2"/>
        <v>3.1502609350315693</v>
      </c>
      <c r="R6" s="62">
        <f t="shared" si="0"/>
        <v>296.48359426836487</v>
      </c>
      <c r="S6" s="62">
        <f ca="1">AVERAGE(OFFSET($R$3,0,0,'Données projet'!$E$9+1,1))-AVERAGE(OFFSET($H$3,0,0,'Données projet'!$E$9+1,1))</f>
        <v>382.55387448074327</v>
      </c>
      <c r="T6" s="62">
        <f t="shared" si="34"/>
        <v>476.29465646955543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8.3000000000000007</v>
      </c>
      <c r="AI6" s="14">
        <f>IF('Données projet'!$A$62&gt;35,AI5+AH6-AQ5,IF(A6&lt;'Données projet'!$A$62,$AF$205^A6,IF(A6='Données projet'!$A$62,'Données projet'!$B$62,AI5+AH6-AQ5)))</f>
        <v>3.7646397861257279</v>
      </c>
      <c r="AJ6" s="14">
        <f>AI6*VLOOKUP('Données projet'!$B$10,Paramètres!$A$1:$I$89,3,0)*VLOOKUP('Données projet'!$B$10,Paramètres!$A$1:$I$89,5,0)</f>
        <v>2.0554933232246473</v>
      </c>
      <c r="AK6" s="14">
        <f t="shared" si="35"/>
        <v>0.8710532483869281</v>
      </c>
      <c r="AL6" s="22">
        <f t="shared" si="4"/>
        <v>5.0970686122234934</v>
      </c>
      <c r="AM6" s="62">
        <f t="shared" si="5"/>
        <v>298.43040194555681</v>
      </c>
      <c r="AN6" s="62">
        <f ca="1">AVERAGE(OFFSET($AM$3,0,0,'Données projet'!$E$10+1,1))-AVERAGE(OFFSET($H$3,0,0,'Données projet'!$E$10+1,1))</f>
        <v>240.19940780300527</v>
      </c>
      <c r="AO6" s="62">
        <f t="shared" si="36"/>
        <v>355.71054384071715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8.526315789473685</v>
      </c>
      <c r="N7" s="14">
        <f>IF('Données projet'!$A$36&gt;35,N6+M7-V6,IF(A7&lt;'Données projet'!$A$36,$K$205^A7,IF(A7='Données projet'!$A$36,'Données projet'!$B$36,N6+M7-V6)))</f>
        <v>2.9185091262186176</v>
      </c>
      <c r="O7" s="14">
        <f>N7*VLOOKUP('Données projet'!$B$9,Paramètres!$A$1:$I$89,3,0)*VLOOKUP('Données projet'!$B$9,Paramètres!$A$1:$I$89,5,0)</f>
        <v>1.6314466015562072</v>
      </c>
      <c r="P7" s="14">
        <f t="shared" si="33"/>
        <v>0.71020127416305878</v>
      </c>
      <c r="Q7" s="22">
        <f t="shared" si="2"/>
        <v>4.0783700502110554</v>
      </c>
      <c r="R7" s="62">
        <f t="shared" si="0"/>
        <v>297.41170338354436</v>
      </c>
      <c r="S7" s="62">
        <f ca="1">AVERAGE(OFFSET($R$3,0,0,'Données projet'!$E$9+1,1))-AVERAGE(OFFSET($H$3,0,0,'Données projet'!$E$9+1,1))</f>
        <v>382.55387448074327</v>
      </c>
      <c r="T7" s="62">
        <f t="shared" si="34"/>
        <v>476.29465646955543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8.3000000000000007</v>
      </c>
      <c r="AI7" s="14">
        <f>IF('Données projet'!$A$62&gt;35,AI6+AH7-AQ6,IF(A7&lt;'Données projet'!$A$62,$AF$205^A7,IF(A7='Données projet'!$A$62,'Données projet'!$B$62,AI6+AH7-AQ6)))</f>
        <v>5.8564068097172397</v>
      </c>
      <c r="AJ7" s="14">
        <f>AI7*VLOOKUP('Données projet'!$B$10,Paramètres!$A$1:$I$89,3,0)*VLOOKUP('Données projet'!$B$10,Paramètres!$A$1:$I$89,5,0)</f>
        <v>3.197598118105613</v>
      </c>
      <c r="AK7" s="14">
        <f t="shared" si="35"/>
        <v>1.2871063855841041</v>
      </c>
      <c r="AL7" s="22">
        <f t="shared" si="4"/>
        <v>7.8108603439262572</v>
      </c>
      <c r="AM7" s="62">
        <f t="shared" si="5"/>
        <v>301.14419367725958</v>
      </c>
      <c r="AN7" s="62">
        <f ca="1">AVERAGE(OFFSET($AM$3,0,0,'Données projet'!$E$10+1,1))-AVERAGE(OFFSET($H$3,0,0,'Données projet'!$E$10+1,1))</f>
        <v>240.19940780300527</v>
      </c>
      <c r="AO7" s="62">
        <f t="shared" si="36"/>
        <v>355.71054384071715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8.526315789473685</v>
      </c>
      <c r="N8" s="14">
        <f>IF('Données projet'!$A$36&gt;35,N7+M8-V7,IF(A8&lt;'Données projet'!$A$36,$K$205^A8,IF(A8='Données projet'!$A$36,'Données projet'!$B$36,N7+M8-V7)))</f>
        <v>3.8146203352688688</v>
      </c>
      <c r="O8" s="14">
        <f>N8*VLOOKUP('Données projet'!$B$9,Paramètres!$A$1:$I$89,3,0)*VLOOKUP('Données projet'!$B$9,Paramètres!$A$1:$I$89,5,0)</f>
        <v>2.1323727674152977</v>
      </c>
      <c r="P8" s="14">
        <f t="shared" si="33"/>
        <v>0.89977831922200224</v>
      </c>
      <c r="Q8" s="22">
        <f t="shared" si="2"/>
        <v>5.2809964758932972</v>
      </c>
      <c r="R8" s="62">
        <f t="shared" si="0"/>
        <v>298.6143298092266</v>
      </c>
      <c r="S8" s="62">
        <f ca="1">AVERAGE(OFFSET($R$3,0,0,'Données projet'!$E$9+1,1))-AVERAGE(OFFSET($H$3,0,0,'Données projet'!$E$9+1,1))</f>
        <v>382.55387448074327</v>
      </c>
      <c r="T8" s="62">
        <f t="shared" si="34"/>
        <v>476.29465646955543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8.3000000000000007</v>
      </c>
      <c r="AI8" s="14">
        <f>IF('Données projet'!$A$62&gt;35,AI7+AH8-AQ7,IF(A8&lt;'Données projet'!$A$62,$AF$205^A8,IF(A8='Données projet'!$A$62,'Données projet'!$B$62,AI7+AH8-AQ7)))</f>
        <v>9.1104335791443027</v>
      </c>
      <c r="AJ8" s="14">
        <f>AI8*VLOOKUP('Données projet'!$B$10,Paramètres!$A$1:$I$89,3,0)*VLOOKUP('Données projet'!$B$10,Paramètres!$A$1:$I$89,5,0)</f>
        <v>4.9742967342127891</v>
      </c>
      <c r="AK8" s="14">
        <f t="shared" si="35"/>
        <v>1.9018847020882517</v>
      </c>
      <c r="AL8" s="22">
        <f t="shared" si="4"/>
        <v>11.976016001557646</v>
      </c>
      <c r="AM8" s="62">
        <f t="shared" si="5"/>
        <v>305.30934933489095</v>
      </c>
      <c r="AN8" s="62">
        <f ca="1">AVERAGE(OFFSET($AM$3,0,0,'Données projet'!$E$10+1,1))-AVERAGE(OFFSET($H$3,0,0,'Données projet'!$E$10+1,1))</f>
        <v>240.19940780300527</v>
      </c>
      <c r="AO8" s="62">
        <f t="shared" si="36"/>
        <v>355.71054384071715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8.526315789473685</v>
      </c>
      <c r="N9" s="14">
        <f>IF('Données projet'!$A$36&gt;35,N8+M9-V8,IF(A9&lt;'Données projet'!$A$36,$K$205^A9,IF(A9='Données projet'!$A$36,'Données projet'!$B$36,N8+M9-V8)))</f>
        <v>4.9858772657326877</v>
      </c>
      <c r="O9" s="14">
        <f>N9*VLOOKUP('Données projet'!$B$9,Paramètres!$A$1:$I$89,3,0)*VLOOKUP('Données projet'!$B$9,Paramètres!$A$1:$I$89,5,0)</f>
        <v>2.7871053915445723</v>
      </c>
      <c r="P9" s="14">
        <f t="shared" si="33"/>
        <v>1.1399599707787778</v>
      </c>
      <c r="Q9" s="22">
        <f t="shared" si="2"/>
        <v>6.839638839379834</v>
      </c>
      <c r="R9" s="62">
        <f t="shared" si="0"/>
        <v>300.17297217271317</v>
      </c>
      <c r="S9" s="62">
        <f ca="1">AVERAGE(OFFSET($R$3,0,0,'Données projet'!$E$9+1,1))-AVERAGE(OFFSET($H$3,0,0,'Données projet'!$E$9+1,1))</f>
        <v>382.55387448074327</v>
      </c>
      <c r="T9" s="62">
        <f t="shared" si="34"/>
        <v>476.29465646955543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8.3000000000000007</v>
      </c>
      <c r="AI9" s="14">
        <f>IF('Données projet'!$A$62&gt;35,AI8+AH9-AQ8,IF(A9&lt;'Données projet'!$A$62,$AF$205^A9,IF(A9='Données projet'!$A$62,'Données projet'!$B$62,AI8+AH9-AQ8)))</f>
        <v>14.172512719280766</v>
      </c>
      <c r="AJ9" s="14">
        <f>AI9*VLOOKUP('Données projet'!$B$10,Paramètres!$A$1:$I$89,3,0)*VLOOKUP('Données projet'!$B$10,Paramètres!$A$1:$I$89,5,0)</f>
        <v>7.7381919447272978</v>
      </c>
      <c r="AK9" s="14">
        <f t="shared" si="35"/>
        <v>2.8103080371214273</v>
      </c>
      <c r="AL9" s="22">
        <f t="shared" si="4"/>
        <v>18.371970801719861</v>
      </c>
      <c r="AM9" s="62">
        <f t="shared" si="5"/>
        <v>311.70530413505315</v>
      </c>
      <c r="AN9" s="62">
        <f ca="1">AVERAGE(OFFSET($AM$3,0,0,'Données projet'!$E$10+1,1))-AVERAGE(OFFSET($H$3,0,0,'Données projet'!$E$10+1,1))</f>
        <v>240.19940780300527</v>
      </c>
      <c r="AO9" s="62">
        <f t="shared" si="36"/>
        <v>355.71054384071715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8.526315789473685</v>
      </c>
      <c r="N10" s="14">
        <f>IF('Données projet'!$A$36&gt;35,N9+M10-V9,IF(A10&lt;'Données projet'!$A$36,$K$205^A10,IF(A10='Données projet'!$A$36,'Données projet'!$B$36,N9+M10-V9)))</f>
        <v>6.5167618069644444</v>
      </c>
      <c r="O10" s="14">
        <f>N10*VLOOKUP('Données projet'!$B$9,Paramètres!$A$1:$I$89,3,0)*VLOOKUP('Données projet'!$B$9,Paramètres!$A$1:$I$89,5,0)</f>
        <v>3.6428698500931249</v>
      </c>
      <c r="P10" s="14">
        <f t="shared" si="33"/>
        <v>1.4442543315575544</v>
      </c>
      <c r="Q10" s="22">
        <f t="shared" si="2"/>
        <v>8.8600746163749324</v>
      </c>
      <c r="R10" s="62">
        <f t="shared" si="0"/>
        <v>302.19340794970827</v>
      </c>
      <c r="S10" s="62">
        <f ca="1">AVERAGE(OFFSET($R$3,0,0,'Données projet'!$E$9+1,1))-AVERAGE(OFFSET($H$3,0,0,'Données projet'!$E$9+1,1))</f>
        <v>382.55387448074327</v>
      </c>
      <c r="T10" s="62">
        <f t="shared" si="34"/>
        <v>476.29465646955543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8.3000000000000007</v>
      </c>
      <c r="AI10" s="14">
        <f>IF('Données projet'!$A$62&gt;35,AI9+AH10-AQ9,IF(A10&lt;'Données projet'!$A$62,$AF$205^A10,IF(A10='Données projet'!$A$62,'Données projet'!$B$62,AI9+AH10-AQ9)))</f>
        <v>22.047262079599165</v>
      </c>
      <c r="AJ10" s="14">
        <f>AI10*VLOOKUP('Données projet'!$B$10,Paramètres!$A$1:$I$89,3,0)*VLOOKUP('Données projet'!$B$10,Paramètres!$A$1:$I$89,5,0)</f>
        <v>12.037805095461144</v>
      </c>
      <c r="AK10" s="14">
        <f t="shared" si="35"/>
        <v>4.1526340975546745</v>
      </c>
      <c r="AL10" s="22">
        <f t="shared" si="4"/>
        <v>28.198348261169219</v>
      </c>
      <c r="AM10" s="62">
        <f t="shared" si="5"/>
        <v>321.53168159450252</v>
      </c>
      <c r="AN10" s="62">
        <f ca="1">AVERAGE(OFFSET($AM$3,0,0,'Données projet'!$E$10+1,1))-AVERAGE(OFFSET($H$3,0,0,'Données projet'!$E$10+1,1))</f>
        <v>240.19940780300527</v>
      </c>
      <c r="AO10" s="62">
        <f t="shared" si="36"/>
        <v>355.71054384071715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8.526315789473685</v>
      </c>
      <c r="N11" s="14">
        <f>IF('Données projet'!$A$36&gt;35,N10+M11-V10,IF(A11&lt;'Données projet'!$A$36,$K$205^A11,IF(A11='Données projet'!$A$36,'Données projet'!$B$36,N10+M11-V10)))</f>
        <v>8.5176955198213591</v>
      </c>
      <c r="O11" s="14">
        <f>N11*VLOOKUP('Données projet'!$B$9,Paramètres!$A$1:$I$89,3,0)*VLOOKUP('Données projet'!$B$9,Paramètres!$A$1:$I$89,5,0)</f>
        <v>4.7613917955801393</v>
      </c>
      <c r="P11" s="14">
        <f t="shared" si="33"/>
        <v>1.8297752795633417</v>
      </c>
      <c r="Q11" s="22">
        <f t="shared" si="2"/>
        <v>11.479615989208229</v>
      </c>
      <c r="R11" s="62">
        <f t="shared" si="0"/>
        <v>304.81294932254156</v>
      </c>
      <c r="S11" s="62">
        <f ca="1">AVERAGE(OFFSET($R$3,0,0,'Données projet'!$E$9+1,1))-AVERAGE(OFFSET($H$3,0,0,'Données projet'!$E$9+1,1))</f>
        <v>382.55387448074327</v>
      </c>
      <c r="T11" s="62">
        <f t="shared" si="34"/>
        <v>476.29465646955543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8.3000000000000007</v>
      </c>
      <c r="AI11" s="14">
        <f>IF('Données projet'!$A$62&gt;35,AI10+AH11-AQ10,IF(A11&lt;'Données projet'!$A$62,$AF$205^A11,IF(A11='Données projet'!$A$62,'Données projet'!$B$62,AI10+AH11-AQ10)))</f>
        <v>34.297500720902455</v>
      </c>
      <c r="AJ11" s="14">
        <f>AI11*VLOOKUP('Données projet'!$B$10,Paramètres!$A$1:$I$89,3,0)*VLOOKUP('Données projet'!$B$10,Paramètres!$A$1:$I$89,5,0)</f>
        <v>18.726435393612743</v>
      </c>
      <c r="AK11" s="14">
        <f t="shared" si="35"/>
        <v>6.1361138068825287</v>
      </c>
      <c r="AL11" s="22">
        <f t="shared" si="4"/>
        <v>43.302273190862593</v>
      </c>
      <c r="AM11" s="62">
        <f t="shared" si="5"/>
        <v>336.63560652419591</v>
      </c>
      <c r="AN11" s="62">
        <f ca="1">AVERAGE(OFFSET($AM$3,0,0,'Données projet'!$E$10+1,1))-AVERAGE(OFFSET($H$3,0,0,'Données projet'!$E$10+1,1))</f>
        <v>240.19940780300527</v>
      </c>
      <c r="AO11" s="62">
        <f t="shared" si="36"/>
        <v>355.71054384071715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8.526315789473685</v>
      </c>
      <c r="N12" s="14">
        <f>IF('Données projet'!$A$36&gt;35,N11+M12-V11,IF(A12&lt;'Données projet'!$A$36,$K$205^A12,IF(A12='Données projet'!$A$36,'Données projet'!$B$36,N11+M12-V11)))</f>
        <v>11.133004261541316</v>
      </c>
      <c r="O12" s="14">
        <f>N12*VLOOKUP('Données projet'!$B$9,Paramètres!$A$1:$I$89,3,0)*VLOOKUP('Données projet'!$B$9,Paramètres!$A$1:$I$89,5,0)</f>
        <v>6.2233493822015964</v>
      </c>
      <c r="P12" s="14">
        <f t="shared" si="33"/>
        <v>2.3182049730052579</v>
      </c>
      <c r="Q12" s="22">
        <f t="shared" si="2"/>
        <v>14.87654050198527</v>
      </c>
      <c r="R12" s="62">
        <f t="shared" si="0"/>
        <v>308.2098738353186</v>
      </c>
      <c r="S12" s="62">
        <f ca="1">AVERAGE(OFFSET($R$3,0,0,'Données projet'!$E$9+1,1))-AVERAGE(OFFSET($H$3,0,0,'Données projet'!$E$9+1,1))</f>
        <v>382.55387448074327</v>
      </c>
      <c r="T12" s="62">
        <f t="shared" si="34"/>
        <v>476.29465646955543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8.3000000000000007</v>
      </c>
      <c r="AI12" s="14">
        <f>IF('Données projet'!$A$62&gt;35,AI11+AH12-AQ11,IF(A12&lt;'Données projet'!$A$62,$AF$205^A12,IF(A12='Données projet'!$A$62,'Données projet'!$B$62,AI11+AH12-AQ11)))</f>
        <v>53.354405252377298</v>
      </c>
      <c r="AJ12" s="14">
        <f>AI12*VLOOKUP('Données projet'!$B$10,Paramètres!$A$1:$I$89,3,0)*VLOOKUP('Données projet'!$B$10,Paramètres!$A$1:$I$89,5,0)</f>
        <v>29.131505267798005</v>
      </c>
      <c r="AK12" s="14">
        <f t="shared" si="35"/>
        <v>9.0669901962193347</v>
      </c>
      <c r="AL12" s="22">
        <f t="shared" si="4"/>
        <v>66.529046266496863</v>
      </c>
      <c r="AM12" s="62">
        <f t="shared" si="5"/>
        <v>359.86237959983021</v>
      </c>
      <c r="AN12" s="62">
        <f ca="1">AVERAGE(OFFSET($AM$3,0,0,'Données projet'!$E$10+1,1))-AVERAGE(OFFSET($H$3,0,0,'Données projet'!$E$10+1,1))</f>
        <v>240.19940780300527</v>
      </c>
      <c r="AO12" s="62">
        <f t="shared" si="36"/>
        <v>355.71054384071715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8.526315789473685</v>
      </c>
      <c r="N13" s="14">
        <f>IF('Données projet'!$A$36&gt;35,N12+M13-V12,IF(A13&lt;'Données projet'!$A$36,$K$205^A13,IF(A13='Données projet'!$A$36,'Données projet'!$B$36,N12+M13-V12)))</f>
        <v>14.551328302246779</v>
      </c>
      <c r="O13" s="14">
        <f>N13*VLOOKUP('Données projet'!$B$9,Paramètres!$A$1:$I$89,3,0)*VLOOKUP('Données projet'!$B$9,Paramètres!$A$1:$I$89,5,0)</f>
        <v>8.1341925209559491</v>
      </c>
      <c r="P13" s="14">
        <f t="shared" si="33"/>
        <v>2.9370132807503975</v>
      </c>
      <c r="Q13" s="22">
        <f t="shared" si="2"/>
        <v>19.282350104638549</v>
      </c>
      <c r="R13" s="62">
        <f t="shared" si="0"/>
        <v>312.61568343797188</v>
      </c>
      <c r="S13" s="62">
        <f ca="1">AVERAGE(OFFSET($R$3,0,0,'Données projet'!$E$9+1,1))-AVERAGE(OFFSET($H$3,0,0,'Données projet'!$E$9+1,1))</f>
        <v>382.55387448074327</v>
      </c>
      <c r="T13" s="62">
        <f t="shared" si="34"/>
        <v>476.29465646955543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83</v>
      </c>
      <c r="AG13" s="13">
        <f>VLOOKUP(A13,'Données projet'!$A$61:$I$81,9,0)</f>
        <v>8.3000000000000007</v>
      </c>
      <c r="AH13" s="13">
        <f t="array" ref="AH13">INDEX(AG:AG,MIN(IF(ISNUMBER(AG13:AG209),ROW(AG13:AG209),"")))</f>
        <v>8.3000000000000007</v>
      </c>
      <c r="AI13" s="14">
        <f>IF('Données projet'!$A$62&gt;35,AI12+AH13-AQ12,IF(A13&lt;'Données projet'!$A$62,$AF$205^A13,IF(A13='Données projet'!$A$62,'Données projet'!$B$62,AI12+AH13-AQ12)))</f>
        <v>83</v>
      </c>
      <c r="AJ13" s="14">
        <f>AI13*VLOOKUP('Données projet'!$B$10,Paramètres!$A$1:$I$89,3,0)*VLOOKUP('Données projet'!$B$10,Paramètres!$A$1:$I$89,5,0)</f>
        <v>45.317999999999998</v>
      </c>
      <c r="AK13" s="14">
        <f t="shared" si="35"/>
        <v>13.397781365483629</v>
      </c>
      <c r="AL13" s="22">
        <f t="shared" si="4"/>
        <v>102.26331921155065</v>
      </c>
      <c r="AM13" s="62">
        <f t="shared" si="5"/>
        <v>395.59665254488397</v>
      </c>
      <c r="AN13" s="62">
        <f ca="1">AVERAGE(OFFSET($AM$3,0,0,'Données projet'!$E$10+1,1))-AVERAGE(OFFSET($H$3,0,0,'Données projet'!$E$10+1,1))</f>
        <v>240.19940780300527</v>
      </c>
      <c r="AO13" s="62">
        <f t="shared" si="36"/>
        <v>355.71054384071715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26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1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16.073169695685706</v>
      </c>
      <c r="AX13" s="23">
        <f t="shared" si="6"/>
        <v>16.073169695685706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8.526315789473685</v>
      </c>
      <c r="N14" s="14">
        <f>IF('Données projet'!$A$36&gt;35,N13+M14-V13,IF(A14&lt;'Données projet'!$A$36,$K$205^A14,IF(A14='Données projet'!$A$36,'Données projet'!$B$36,N13+M14-V13)))</f>
        <v>19.01922880701866</v>
      </c>
      <c r="O14" s="14">
        <f>N14*VLOOKUP('Données projet'!$B$9,Paramètres!$A$1:$I$89,3,0)*VLOOKUP('Données projet'!$B$9,Paramètres!$A$1:$I$89,5,0)</f>
        <v>10.631748903123432</v>
      </c>
      <c r="P14" s="14">
        <f t="shared" si="33"/>
        <v>3.7210027205323613</v>
      </c>
      <c r="Q14" s="22">
        <f t="shared" si="2"/>
        <v>24.997709077867171</v>
      </c>
      <c r="R14" s="62">
        <f t="shared" si="0"/>
        <v>318.33104241120049</v>
      </c>
      <c r="S14" s="62">
        <f ca="1">AVERAGE(OFFSET($R$3,0,0,'Données projet'!$E$9+1,1))-AVERAGE(OFFSET($H$3,0,0,'Données projet'!$E$9+1,1))</f>
        <v>382.55387448074327</v>
      </c>
      <c r="T14" s="62">
        <f t="shared" si="34"/>
        <v>476.29465646955543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23.6</v>
      </c>
      <c r="AI14" s="14">
        <f>IF('Données projet'!$A$62&gt;35,AI13+AH14-AQ13,IF(A14&lt;'Données projet'!$A$62,$AF$205^A14,IF(A14='Données projet'!$A$62,'Données projet'!$B$62,AI13+AH14-AQ13)))</f>
        <v>80.599999999999994</v>
      </c>
      <c r="AJ14" s="14">
        <f>AI14*VLOOKUP('Données projet'!$B$10,Paramètres!$A$1:$I$89,3,0)*VLOOKUP('Données projet'!$B$10,Paramètres!$A$1:$I$89,5,0)</f>
        <v>44.007599999999996</v>
      </c>
      <c r="AK14" s="14">
        <f t="shared" si="35"/>
        <v>13.054887296903958</v>
      </c>
      <c r="AL14" s="22">
        <f t="shared" si="4"/>
        <v>99.383832042107713</v>
      </c>
      <c r="AM14" s="62">
        <f t="shared" si="5"/>
        <v>392.71716537544103</v>
      </c>
      <c r="AN14" s="62">
        <f ca="1">AVERAGE(OFFSET($AM$3,0,0,'Données projet'!$E$10+1,1))-AVERAGE(OFFSET($H$3,0,0,'Données projet'!$E$10+1,1))</f>
        <v>240.19940780300527</v>
      </c>
      <c r="AO14" s="62">
        <f t="shared" si="36"/>
        <v>355.71054384071715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11.36544728698148</v>
      </c>
      <c r="AX14" s="23">
        <f t="shared" si="6"/>
        <v>11.36544728698148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8.526315789473685</v>
      </c>
      <c r="N15" s="14">
        <f>IF('Données projet'!$A$36&gt;35,N14+M15-V14,IF(A15&lt;'Données projet'!$A$36,$K$205^A15,IF(A15='Données projet'!$A$36,'Données projet'!$B$36,N14+M15-V14)))</f>
        <v>24.85897210895007</v>
      </c>
      <c r="O15" s="14">
        <f>N15*VLOOKUP('Données projet'!$B$9,Paramètres!$A$1:$I$89,3,0)*VLOOKUP('Données projet'!$B$9,Paramètres!$A$1:$I$89,5,0)</f>
        <v>13.896165408903089</v>
      </c>
      <c r="P15" s="14">
        <f t="shared" si="33"/>
        <v>4.7142657940830492</v>
      </c>
      <c r="Q15" s="22">
        <f t="shared" si="2"/>
        <v>32.413167678534187</v>
      </c>
      <c r="R15" s="62">
        <f t="shared" si="0"/>
        <v>325.74650101186751</v>
      </c>
      <c r="S15" s="62">
        <f ca="1">AVERAGE(OFFSET($R$3,0,0,'Données projet'!$E$9+1,1))-AVERAGE(OFFSET($H$3,0,0,'Données projet'!$E$9+1,1))</f>
        <v>382.55387448074327</v>
      </c>
      <c r="T15" s="62">
        <f t="shared" si="34"/>
        <v>476.29465646955543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23.6</v>
      </c>
      <c r="AI15" s="14">
        <f>IF('Données projet'!$A$62&gt;35,AI14+AH15-AQ14,IF(A15&lt;'Données projet'!$A$62,$AF$205^A15,IF(A15='Données projet'!$A$62,'Données projet'!$B$62,AI14+AH15-AQ14)))</f>
        <v>104.19999999999999</v>
      </c>
      <c r="AJ15" s="14">
        <f>AI15*VLOOKUP('Données projet'!$B$10,Paramètres!$A$1:$I$89,3,0)*VLOOKUP('Données projet'!$B$10,Paramètres!$A$1:$I$89,5,0)</f>
        <v>56.893199999999993</v>
      </c>
      <c r="AK15" s="14">
        <f t="shared" si="35"/>
        <v>16.380358422910444</v>
      </c>
      <c r="AL15" s="22">
        <f t="shared" si="4"/>
        <v>127.61811425323567</v>
      </c>
      <c r="AM15" s="62">
        <f t="shared" si="5"/>
        <v>420.95144758656897</v>
      </c>
      <c r="AN15" s="62">
        <f ca="1">AVERAGE(OFFSET($AM$3,0,0,'Données projet'!$E$10+1,1))-AVERAGE(OFFSET($H$3,0,0,'Données projet'!$E$10+1,1))</f>
        <v>240.19940780300527</v>
      </c>
      <c r="AO15" s="62">
        <f t="shared" si="36"/>
        <v>355.71054384071715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8.036584847842855</v>
      </c>
      <c r="AX15" s="23">
        <f t="shared" si="6"/>
        <v>8.036584847842855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8.526315789473685</v>
      </c>
      <c r="N16" s="14">
        <f>IF('Données projet'!$A$36&gt;35,N15+M16-V15,IF(A16&lt;'Données projet'!$A$36,$K$205^A16,IF(A16='Données projet'!$A$36,'Données projet'!$B$36,N15+M16-V15)))</f>
        <v>32.491774539539094</v>
      </c>
      <c r="O16" s="14">
        <f>N16*VLOOKUP('Données projet'!$B$9,Paramètres!$A$1:$I$89,3,0)*VLOOKUP('Données projet'!$B$9,Paramètres!$A$1:$I$89,5,0)</f>
        <v>18.162901967602355</v>
      </c>
      <c r="P16" s="14">
        <f t="shared" si="33"/>
        <v>5.9726648020514927</v>
      </c>
      <c r="Q16" s="22">
        <f t="shared" si="2"/>
        <v>42.036112123813787</v>
      </c>
      <c r="R16" s="62">
        <f t="shared" si="0"/>
        <v>335.36944545714709</v>
      </c>
      <c r="S16" s="62">
        <f ca="1">AVERAGE(OFFSET($R$3,0,0,'Données projet'!$E$9+1,1))-AVERAGE(OFFSET($H$3,0,0,'Données projet'!$E$9+1,1))</f>
        <v>382.55387448074327</v>
      </c>
      <c r="T16" s="62">
        <f t="shared" si="34"/>
        <v>476.29465646955543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23.6</v>
      </c>
      <c r="AI16" s="14">
        <f>IF('Données projet'!$A$62&gt;35,AI15+AH16-AQ15,IF(A16&lt;'Données projet'!$A$62,$AF$205^A16,IF(A16='Données projet'!$A$62,'Données projet'!$B$62,AI15+AH16-AQ15)))</f>
        <v>127.79999999999998</v>
      </c>
      <c r="AJ16" s="14">
        <f>AI16*VLOOKUP('Données projet'!$B$10,Paramètres!$A$1:$I$89,3,0)*VLOOKUP('Données projet'!$B$10,Paramètres!$A$1:$I$89,5,0)</f>
        <v>69.77879999999999</v>
      </c>
      <c r="AK16" s="14">
        <f t="shared" si="35"/>
        <v>19.618515700802106</v>
      </c>
      <c r="AL16" s="22">
        <f t="shared" si="4"/>
        <v>155.70032484556364</v>
      </c>
      <c r="AM16" s="62">
        <f t="shared" si="5"/>
        <v>449.03365817889699</v>
      </c>
      <c r="AN16" s="62">
        <f ca="1">AVERAGE(OFFSET($AM$3,0,0,'Données projet'!$E$10+1,1))-AVERAGE(OFFSET($H$3,0,0,'Données projet'!$E$10+1,1))</f>
        <v>240.19940780300527</v>
      </c>
      <c r="AO16" s="62">
        <f t="shared" si="36"/>
        <v>355.71054384071715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5.6827236434907418</v>
      </c>
      <c r="AX16" s="23">
        <f t="shared" si="6"/>
        <v>5.6827236434907418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8.526315789473685</v>
      </c>
      <c r="N17" s="14">
        <f>IF('Données projet'!$A$36&gt;35,N16+M17-V16,IF(A17&lt;'Données projet'!$A$36,$K$205^A17,IF(A17='Données projet'!$A$36,'Données projet'!$B$36,N16+M17-V16)))</f>
        <v>42.468184448710481</v>
      </c>
      <c r="O17" s="14">
        <f>N17*VLOOKUP('Données projet'!$B$9,Paramètres!$A$1:$I$89,3,0)*VLOOKUP('Données projet'!$B$9,Paramètres!$A$1:$I$89,5,0)</f>
        <v>23.739715106829159</v>
      </c>
      <c r="P17" s="14">
        <f t="shared" si="33"/>
        <v>7.5669736064602473</v>
      </c>
      <c r="Q17" s="22">
        <f t="shared" si="2"/>
        <v>54.525816175645708</v>
      </c>
      <c r="R17" s="62">
        <f t="shared" si="0"/>
        <v>347.85914950897904</v>
      </c>
      <c r="S17" s="62">
        <f ca="1">AVERAGE(OFFSET($R$3,0,0,'Données projet'!$E$9+1,1))-AVERAGE(OFFSET($H$3,0,0,'Données projet'!$E$9+1,1))</f>
        <v>382.55387448074327</v>
      </c>
      <c r="T17" s="62">
        <f t="shared" si="34"/>
        <v>476.29465646955543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23.6</v>
      </c>
      <c r="AI17" s="14">
        <f>IF('Données projet'!$A$62&gt;35,AI16+AH17-AQ16,IF(A17&lt;'Données projet'!$A$62,$AF$205^A17,IF(A17='Données projet'!$A$62,'Données projet'!$B$62,AI16+AH17-AQ16)))</f>
        <v>151.39999999999998</v>
      </c>
      <c r="AJ17" s="14">
        <f>AI17*VLOOKUP('Données projet'!$B$10,Paramètres!$A$1:$I$89,3,0)*VLOOKUP('Données projet'!$B$10,Paramètres!$A$1:$I$89,5,0)</f>
        <v>82.664399999999986</v>
      </c>
      <c r="AK17" s="14">
        <f t="shared" si="35"/>
        <v>22.787396402913611</v>
      </c>
      <c r="AL17" s="22">
        <f t="shared" si="4"/>
        <v>183.66187873507451</v>
      </c>
      <c r="AM17" s="62">
        <f t="shared" si="5"/>
        <v>476.9952120684078</v>
      </c>
      <c r="AN17" s="62">
        <f ca="1">AVERAGE(OFFSET($AM$3,0,0,'Données projet'!$E$10+1,1))-AVERAGE(OFFSET($H$3,0,0,'Données projet'!$E$10+1,1))</f>
        <v>240.19940780300527</v>
      </c>
      <c r="AO17" s="62">
        <f t="shared" si="36"/>
        <v>355.71054384071715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4.0182924239214284</v>
      </c>
      <c r="AX17" s="23">
        <f t="shared" si="6"/>
        <v>4.0182924239214284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8.526315789473685</v>
      </c>
      <c r="N18" s="14">
        <f>IF('Données projet'!$A$36&gt;35,N17+M18-V17,IF(A18&lt;'Données projet'!$A$36,$K$205^A18,IF(A18='Données projet'!$A$36,'Données projet'!$B$36,N17+M18-V17)))</f>
        <v>55.507792846923991</v>
      </c>
      <c r="O18" s="14">
        <f>N18*VLOOKUP('Données projet'!$B$9,Paramètres!$A$1:$I$89,3,0)*VLOOKUP('Données projet'!$B$9,Paramètres!$A$1:$I$89,5,0)</f>
        <v>31.028856201430514</v>
      </c>
      <c r="P18" s="14">
        <f t="shared" si="33"/>
        <v>9.5868580371693835</v>
      </c>
      <c r="Q18" s="22">
        <f t="shared" si="2"/>
        <v>70.739035632228152</v>
      </c>
      <c r="R18" s="62">
        <f t="shared" si="0"/>
        <v>364.07236896556145</v>
      </c>
      <c r="S18" s="62">
        <f ca="1">AVERAGE(OFFSET($R$3,0,0,'Données projet'!$E$9+1,1))-AVERAGE(OFFSET($H$3,0,0,'Données projet'!$E$9+1,1))</f>
        <v>382.55387448074327</v>
      </c>
      <c r="T18" s="62">
        <f t="shared" si="34"/>
        <v>476.29465646955543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175</v>
      </c>
      <c r="AG18" s="13">
        <f>VLOOKUP(A18,'Données projet'!$A$61:$I$81,9,0)</f>
        <v>23.6</v>
      </c>
      <c r="AH18" s="13">
        <f t="array" ref="AH18">INDEX(AG:AG,MIN(IF(ISNUMBER(AG18:AG214),ROW(AG18:AG214),"")))</f>
        <v>23.6</v>
      </c>
      <c r="AI18" s="14">
        <f>IF('Données projet'!$A$62&gt;35,AI17+AH18-AQ17,IF(A18&lt;'Données projet'!$A$62,$AF$205^A18,IF(A18='Données projet'!$A$62,'Données projet'!$B$62,AI17+AH18-AQ17)))</f>
        <v>174.99999999999997</v>
      </c>
      <c r="AJ18" s="14">
        <f>AI18*VLOOKUP('Données projet'!$B$10,Paramètres!$A$1:$I$89,3,0)*VLOOKUP('Données projet'!$B$10,Paramètres!$A$1:$I$89,5,0)</f>
        <v>95.549999999999983</v>
      </c>
      <c r="AK18" s="14">
        <f t="shared" si="35"/>
        <v>25.899054157375318</v>
      </c>
      <c r="AL18" s="22">
        <f t="shared" si="4"/>
        <v>211.5237693240953</v>
      </c>
      <c r="AM18" s="62">
        <f t="shared" si="5"/>
        <v>504.85710265742864</v>
      </c>
      <c r="AN18" s="62">
        <f ca="1">AVERAGE(OFFSET($AM$3,0,0,'Données projet'!$E$10+1,1))-AVERAGE(OFFSET($H$3,0,0,'Données projet'!$E$10+1,1))</f>
        <v>240.19940780300527</v>
      </c>
      <c r="AO18" s="62">
        <f t="shared" si="36"/>
        <v>355.71054384071715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54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1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36.224098882015696</v>
      </c>
      <c r="AX18" s="23">
        <f t="shared" si="6"/>
        <v>36.224098882015696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8.526315789473685</v>
      </c>
      <c r="N19" s="14">
        <f>IF('Données projet'!$A$36&gt;35,N18+M19-V18,IF(A19&lt;'Données projet'!$A$36,$K$205^A19,IF(A19='Données projet'!$A$36,'Données projet'!$B$36,N18+M19-V18)))</f>
        <v>72.551136968384853</v>
      </c>
      <c r="O19" s="14">
        <f>N19*VLOOKUP('Données projet'!$B$9,Paramètres!$A$1:$I$89,3,0)*VLOOKUP('Données projet'!$B$9,Paramètres!$A$1:$I$89,5,0)</f>
        <v>40.55608556532713</v>
      </c>
      <c r="P19" s="14">
        <f t="shared" si="33"/>
        <v>12.145918805157919</v>
      </c>
      <c r="Q19" s="22">
        <f t="shared" si="2"/>
        <v>91.78932427859479</v>
      </c>
      <c r="R19" s="62">
        <f t="shared" si="0"/>
        <v>385.1226576119281</v>
      </c>
      <c r="S19" s="62">
        <f ca="1">AVERAGE(OFFSET($R$3,0,0,'Données projet'!$E$9+1,1))-AVERAGE(OFFSET($H$3,0,0,'Données projet'!$E$9+1,1))</f>
        <v>382.55387448074327</v>
      </c>
      <c r="T19" s="62">
        <f t="shared" si="34"/>
        <v>476.29465646955543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25</v>
      </c>
      <c r="AI19" s="14">
        <f>IF('Données projet'!$A$62&gt;35,AI18+AH19-AQ18,IF(A19&lt;'Données projet'!$A$62,$AF$205^A19,IF(A19='Données projet'!$A$62,'Données projet'!$B$62,AI18+AH19-AQ18)))</f>
        <v>145.99999999999997</v>
      </c>
      <c r="AJ19" s="14">
        <f>AI19*VLOOKUP('Données projet'!$B$10,Paramètres!$A$1:$I$89,3,0)*VLOOKUP('Données projet'!$B$10,Paramètres!$A$1:$I$89,5,0)</f>
        <v>79.71599999999998</v>
      </c>
      <c r="AK19" s="14">
        <f t="shared" si="35"/>
        <v>22.067730286351033</v>
      </c>
      <c r="AL19" s="22">
        <f t="shared" si="4"/>
        <v>177.273330248728</v>
      </c>
      <c r="AM19" s="62">
        <f t="shared" si="5"/>
        <v>470.60666358206129</v>
      </c>
      <c r="AN19" s="62">
        <f ca="1">AVERAGE(OFFSET($AM$3,0,0,'Données projet'!$E$10+1,1))-AVERAGE(OFFSET($H$3,0,0,'Données projet'!$E$10+1,1))</f>
        <v>240.19940780300527</v>
      </c>
      <c r="AO19" s="62">
        <f t="shared" si="36"/>
        <v>355.71054384071715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25.614305961845336</v>
      </c>
      <c r="AX19" s="23">
        <f t="shared" si="6"/>
        <v>25.614305961845336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8.526315789473685</v>
      </c>
      <c r="N20" s="14">
        <f>IF('Données projet'!$A$36&gt;35,N19+M20-V19,IF(A20&lt;'Données projet'!$A$36,$K$205^A20,IF(A20='Données projet'!$A$36,'Données projet'!$B$36,N19+M20-V19)))</f>
        <v>94.827540520682575</v>
      </c>
      <c r="O20" s="14">
        <f>N20*VLOOKUP('Données projet'!$B$9,Paramètres!$A$1:$I$89,3,0)*VLOOKUP('Données projet'!$B$9,Paramètres!$A$1:$I$89,5,0)</f>
        <v>53.008595151061563</v>
      </c>
      <c r="P20" s="14">
        <f t="shared" si="33"/>
        <v>15.388080542084102</v>
      </c>
      <c r="Q20" s="22">
        <f t="shared" si="2"/>
        <v>119.12421016556203</v>
      </c>
      <c r="R20" s="62">
        <f t="shared" si="0"/>
        <v>412.45754349889535</v>
      </c>
      <c r="S20" s="62">
        <f ca="1">AVERAGE(OFFSET($R$3,0,0,'Données projet'!$E$9+1,1))-AVERAGE(OFFSET($H$3,0,0,'Données projet'!$E$9+1,1))</f>
        <v>382.55387448074327</v>
      </c>
      <c r="T20" s="62">
        <f t="shared" si="34"/>
        <v>476.29465646955543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25</v>
      </c>
      <c r="AI20" s="14">
        <f>IF('Données projet'!$A$62&gt;35,AI19+AH20-AQ19,IF(A20&lt;'Données projet'!$A$62,$AF$205^A20,IF(A20='Données projet'!$A$62,'Données projet'!$B$62,AI19+AH20-AQ19)))</f>
        <v>170.99999999999997</v>
      </c>
      <c r="AJ20" s="14">
        <f>AI20*VLOOKUP('Données projet'!$B$10,Paramètres!$A$1:$I$89,3,0)*VLOOKUP('Données projet'!$B$10,Paramètres!$A$1:$I$89,5,0)</f>
        <v>93.365999999999971</v>
      </c>
      <c r="AK20" s="14">
        <f t="shared" si="35"/>
        <v>25.375280233490678</v>
      </c>
      <c r="AL20" s="22">
        <f t="shared" si="4"/>
        <v>206.80772973999618</v>
      </c>
      <c r="AM20" s="62">
        <f t="shared" si="5"/>
        <v>500.14106307332952</v>
      </c>
      <c r="AN20" s="62">
        <f ca="1">AVERAGE(OFFSET($AM$3,0,0,'Données projet'!$E$10+1,1))-AVERAGE(OFFSET($H$3,0,0,'Données projet'!$E$10+1,1))</f>
        <v>240.19940780300527</v>
      </c>
      <c r="AO20" s="62">
        <f t="shared" si="36"/>
        <v>355.71054384071715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18.112049441007851</v>
      </c>
      <c r="AX20" s="23">
        <f t="shared" si="6"/>
        <v>18.112049441007851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8.526315789473685</v>
      </c>
      <c r="N21" s="14">
        <f>IF('Données projet'!$A$36&gt;35,N20+M21-V20,IF(A21&lt;'Données projet'!$A$36,$K$205^A21,IF(A21='Données projet'!$A$36,'Données projet'!$B$36,N20+M21-V20)))</f>
        <v>123.94378388749713</v>
      </c>
      <c r="O21" s="14">
        <f>N21*VLOOKUP('Données projet'!$B$9,Paramètres!$A$1:$I$89,3,0)*VLOOKUP('Données projet'!$B$9,Paramètres!$A$1:$I$89,5,0)</f>
        <v>69.284575193110896</v>
      </c>
      <c r="P21" s="14">
        <f t="shared" si="33"/>
        <v>19.495686293334202</v>
      </c>
      <c r="Q21" s="22">
        <f t="shared" si="2"/>
        <v>154.62562208889187</v>
      </c>
      <c r="R21" s="62">
        <f t="shared" si="0"/>
        <v>447.95895542222519</v>
      </c>
      <c r="S21" s="62">
        <f ca="1">AVERAGE(OFFSET($R$3,0,0,'Données projet'!$E$9+1,1))-AVERAGE(OFFSET($H$3,0,0,'Données projet'!$E$9+1,1))</f>
        <v>382.55387448074327</v>
      </c>
      <c r="T21" s="62">
        <f t="shared" si="34"/>
        <v>476.29465646955543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25</v>
      </c>
      <c r="AI21" s="14">
        <f>IF('Données projet'!$A$62&gt;35,AI20+AH21-AQ20,IF(A21&lt;'Données projet'!$A$62,$AF$205^A21,IF(A21='Données projet'!$A$62,'Données projet'!$B$62,AI20+AH21-AQ20)))</f>
        <v>195.99999999999997</v>
      </c>
      <c r="AJ21" s="14">
        <f>AI21*VLOOKUP('Données projet'!$B$10,Paramètres!$A$1:$I$89,3,0)*VLOOKUP('Données projet'!$B$10,Paramètres!$A$1:$I$89,5,0)</f>
        <v>107.01599999999998</v>
      </c>
      <c r="AK21" s="14">
        <f t="shared" si="35"/>
        <v>28.626809543094307</v>
      </c>
      <c r="AL21" s="22">
        <f t="shared" si="4"/>
        <v>236.24455995422252</v>
      </c>
      <c r="AM21" s="62">
        <f t="shared" si="5"/>
        <v>529.57789328755587</v>
      </c>
      <c r="AN21" s="62">
        <f ca="1">AVERAGE(OFFSET($AM$3,0,0,'Données projet'!$E$10+1,1))-AVERAGE(OFFSET($H$3,0,0,'Données projet'!$E$10+1,1))</f>
        <v>240.19940780300527</v>
      </c>
      <c r="AO21" s="62">
        <f t="shared" si="36"/>
        <v>355.71054384071715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12.80715298092267</v>
      </c>
      <c r="AX21" s="23">
        <f t="shared" si="6"/>
        <v>12.80715298092267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162</v>
      </c>
      <c r="L22" s="13">
        <f>VLOOKUP(A22,'Données projet'!$A$35:$I$55,9,0)</f>
        <v>8.526315789473685</v>
      </c>
      <c r="M22" s="13">
        <f t="array" ref="M22">INDEX(L:L,MIN(IF(ISNUMBER(L22:L218),ROW(L22:L218),"")))</f>
        <v>8.526315789473685</v>
      </c>
      <c r="N22" s="14">
        <f>IF('Données projet'!$A$36&gt;35,N21+M22-V21,IF(A22&lt;'Données projet'!$A$36,$K$205^A22,IF(A22='Données projet'!$A$36,'Données projet'!$B$36,N21+M22-V21)))</f>
        <v>162</v>
      </c>
      <c r="O22" s="14">
        <f>N22*VLOOKUP('Données projet'!$B$9,Paramètres!$A$1:$I$89,3,0)*VLOOKUP('Données projet'!$B$9,Paramètres!$A$1:$I$89,5,0)</f>
        <v>90.557999999999993</v>
      </c>
      <c r="P22" s="14">
        <f t="shared" si="33"/>
        <v>24.699752708509138</v>
      </c>
      <c r="Q22" s="22">
        <f t="shared" si="2"/>
        <v>200.74058596732007</v>
      </c>
      <c r="R22" s="62">
        <f t="shared" si="0"/>
        <v>494.07391930065342</v>
      </c>
      <c r="S22" s="62">
        <f ca="1">AVERAGE(OFFSET($R$3,0,0,'Données projet'!$E$9+1,1))-AVERAGE(OFFSET($H$3,0,0,'Données projet'!$E$9+1,1))</f>
        <v>382.55387448074327</v>
      </c>
      <c r="T22" s="62">
        <f t="shared" si="34"/>
        <v>476.29465646955543</v>
      </c>
      <c r="U22" s="16">
        <f>IF(ISNA(VLOOKUP(A22,'Données projet'!$A$35:$I$55,3,0)),0,VLOOKUP(A22,'Données projet'!$A$35:$I$55,3,0))</f>
        <v>1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25</v>
      </c>
      <c r="AI22" s="14">
        <f>IF('Données projet'!$A$62&gt;35,AI21+AH22-AQ21,IF(A22&lt;'Données projet'!$A$62,$AF$205^A22,IF(A22='Données projet'!$A$62,'Données projet'!$B$62,AI21+AH22-AQ21)))</f>
        <v>220.99999999999997</v>
      </c>
      <c r="AJ22" s="14">
        <f>AI22*VLOOKUP('Données projet'!$B$10,Paramètres!$A$1:$I$89,3,0)*VLOOKUP('Données projet'!$B$10,Paramètres!$A$1:$I$89,5,0)</f>
        <v>120.66599999999998</v>
      </c>
      <c r="AK22" s="14">
        <f t="shared" si="35"/>
        <v>31.830282786190971</v>
      </c>
      <c r="AL22" s="22">
        <f t="shared" si="4"/>
        <v>265.59769251928259</v>
      </c>
      <c r="AM22" s="62">
        <f t="shared" si="5"/>
        <v>558.9310258526159</v>
      </c>
      <c r="AN22" s="62">
        <f ca="1">AVERAGE(OFFSET($AM$3,0,0,'Données projet'!$E$10+1,1))-AVERAGE(OFFSET($H$3,0,0,'Données projet'!$E$10+1,1))</f>
        <v>240.19940780300527</v>
      </c>
      <c r="AO22" s="62">
        <f t="shared" si="36"/>
        <v>355.71054384071715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9.0560247205039275</v>
      </c>
      <c r="AX22" s="23">
        <f t="shared" si="6"/>
        <v>9.0560247205039275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28.833333333333332</v>
      </c>
      <c r="N23" s="14">
        <f>IF('Données projet'!$A$36&gt;35,N22+M23-V22,IF(A23&lt;'Données projet'!$A$36,$K$205^A23,IF(A23='Données projet'!$A$36,'Données projet'!$B$36,N22+M23-V22)))</f>
        <v>190.83333333333334</v>
      </c>
      <c r="O23" s="14">
        <f>N23*VLOOKUP('Données projet'!$B$9,Paramètres!$A$1:$I$89,3,0)*VLOOKUP('Données projet'!$B$9,Paramètres!$A$1:$I$89,5,0)</f>
        <v>106.67583333333334</v>
      </c>
      <c r="P23" s="14">
        <f t="shared" si="33"/>
        <v>28.546391754319739</v>
      </c>
      <c r="Q23" s="22">
        <f t="shared" si="2"/>
        <v>235.51204202766243</v>
      </c>
      <c r="R23" s="62">
        <f t="shared" si="0"/>
        <v>528.84537536099572</v>
      </c>
      <c r="S23" s="62">
        <f ca="1">AVERAGE(OFFSET($R$3,0,0,'Données projet'!$E$9+1,1))-AVERAGE(OFFSET($H$3,0,0,'Données projet'!$E$9+1,1))</f>
        <v>382.55387448074327</v>
      </c>
      <c r="T23" s="62">
        <f t="shared" si="34"/>
        <v>476.29465646955543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246</v>
      </c>
      <c r="AG23" s="13">
        <f>VLOOKUP(A23,'Données projet'!$A$61:$I$81,9,0)</f>
        <v>25</v>
      </c>
      <c r="AH23" s="13">
        <f t="array" ref="AH23">INDEX(AG:AG,MIN(IF(ISNUMBER(AG23:AG219),ROW(AG23:AG219),"")))</f>
        <v>25</v>
      </c>
      <c r="AI23" s="14">
        <f>IF('Données projet'!$A$62&gt;35,AI22+AH23-AQ22,IF(A23&lt;'Données projet'!$A$62,$AF$205^A23,IF(A23='Données projet'!$A$62,'Données projet'!$B$62,AI22+AH23-AQ22)))</f>
        <v>245.99999999999997</v>
      </c>
      <c r="AJ23" s="14">
        <f>AI23*VLOOKUP('Données projet'!$B$10,Paramètres!$A$1:$I$89,3,0)*VLOOKUP('Données projet'!$B$10,Paramètres!$A$1:$I$89,5,0)</f>
        <v>134.31599999999997</v>
      </c>
      <c r="AK23" s="14">
        <f t="shared" si="35"/>
        <v>34.991756585122445</v>
      </c>
      <c r="AL23" s="22">
        <f t="shared" si="4"/>
        <v>294.87767605242158</v>
      </c>
      <c r="AM23" s="62">
        <f t="shared" si="5"/>
        <v>588.21100938575489</v>
      </c>
      <c r="AN23" s="62">
        <f ca="1">AVERAGE(OFFSET($AM$3,0,0,'Données projet'!$E$10+1,1))-AVERAGE(OFFSET($H$3,0,0,'Données projet'!$E$10+1,1))</f>
        <v>240.19940780300527</v>
      </c>
      <c r="AO23" s="62">
        <f t="shared" si="36"/>
        <v>355.71054384071715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61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0.24</v>
      </c>
      <c r="AT23" s="17">
        <f>IF(ISNA(VLOOKUP(A23,'Données projet'!$A$61:$I$81,7,0)),0%,VLOOKUP(A23,'Données projet'!$A$61:$I$81,7,0))</f>
        <v>0.6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10.56206212703921</v>
      </c>
      <c r="AW23" s="23">
        <f>EXP(-LN(2)/2)*AW22+(1-EXP(-LN(2)/2))/(LN(2)/2)*AQ23*AT23*VLOOKUP('Données projet'!$B$10,Paramètres!$A$1:$I$89,3,0)*0.475*44/12</f>
        <v>29.029653831311222</v>
      </c>
      <c r="AX23" s="23">
        <f t="shared" si="6"/>
        <v>39.591715958350434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28.833333333333332</v>
      </c>
      <c r="N24" s="14">
        <f>IF('Données projet'!$A$36&gt;35,N23+M24-V23,IF(A24&lt;'Données projet'!$A$36,$K$205^A24,IF(A24='Données projet'!$A$36,'Données projet'!$B$36,N23+M24-V23)))</f>
        <v>219.66666666666669</v>
      </c>
      <c r="O24" s="14">
        <f>N24*VLOOKUP('Données projet'!$B$9,Paramètres!$A$1:$I$89,3,0)*VLOOKUP('Données projet'!$B$9,Paramètres!$A$1:$I$89,5,0)</f>
        <v>122.79366666666668</v>
      </c>
      <c r="P24" s="14">
        <f t="shared" si="33"/>
        <v>32.32570088253398</v>
      </c>
      <c r="Q24" s="22">
        <f t="shared" si="2"/>
        <v>270.16623181485778</v>
      </c>
      <c r="R24" s="62">
        <f t="shared" si="0"/>
        <v>563.4995651481911</v>
      </c>
      <c r="S24" s="62">
        <f ca="1">AVERAGE(OFFSET($R$3,0,0,'Données projet'!$E$9+1,1))-AVERAGE(OFFSET($H$3,0,0,'Données projet'!$E$9+1,1))</f>
        <v>382.55387448074327</v>
      </c>
      <c r="T24" s="62">
        <f t="shared" si="34"/>
        <v>476.29465646955543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22</v>
      </c>
      <c r="AI24" s="14">
        <f>IF('Données projet'!$A$62&gt;35,AI23+AH24-AQ23,IF(A24&lt;'Données projet'!$A$62,$AF$205^A24,IF(A24='Données projet'!$A$62,'Données projet'!$B$62,AI23+AH24-AQ23)))</f>
        <v>207</v>
      </c>
      <c r="AJ24" s="14">
        <f>AI24*VLOOKUP('Données projet'!$B$10,Paramètres!$A$1:$I$89,3,0)*VLOOKUP('Données projet'!$B$10,Paramètres!$A$1:$I$89,5,0)</f>
        <v>113.02200000000001</v>
      </c>
      <c r="AK24" s="14">
        <f t="shared" si="35"/>
        <v>30.041864379091852</v>
      </c>
      <c r="AL24" s="22">
        <f t="shared" si="4"/>
        <v>249.16956379358496</v>
      </c>
      <c r="AM24" s="62">
        <f t="shared" si="5"/>
        <v>542.50289712691824</v>
      </c>
      <c r="AN24" s="62">
        <f ca="1">AVERAGE(OFFSET($AM$3,0,0,'Données projet'!$E$10+1,1))-AVERAGE(OFFSET($H$3,0,0,'Données projet'!$E$10+1,1))</f>
        <v>240.19940780300527</v>
      </c>
      <c r="AO24" s="62">
        <f t="shared" si="36"/>
        <v>355.71054384071715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10.273241982740617</v>
      </c>
      <c r="AW24" s="23">
        <f>EXP(-LN(2)/2)*AW23+(1-EXP(-LN(2)/2))/(LN(2)/2)*AQ24*AT24*VLOOKUP('Données projet'!$B$10,Paramètres!$A$1:$I$89,3,0)*0.475*44/12</f>
        <v>20.527065079618207</v>
      </c>
      <c r="AX24" s="23">
        <f t="shared" si="6"/>
        <v>30.800307062358826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28.833333333333332</v>
      </c>
      <c r="N25" s="14">
        <f>IF('Données projet'!$A$36&gt;35,N24+M25-V24,IF(A25&lt;'Données projet'!$A$36,$K$205^A25,IF(A25='Données projet'!$A$36,'Données projet'!$B$36,N24+M25-V24)))</f>
        <v>248.50000000000003</v>
      </c>
      <c r="O25" s="14">
        <f>N25*VLOOKUP('Données projet'!$B$9,Paramètres!$A$1:$I$89,3,0)*VLOOKUP('Données projet'!$B$9,Paramètres!$A$1:$I$89,5,0)</f>
        <v>138.91150000000002</v>
      </c>
      <c r="P25" s="14">
        <f t="shared" si="33"/>
        <v>36.047532265727178</v>
      </c>
      <c r="Q25" s="22">
        <f t="shared" si="2"/>
        <v>304.72031452947482</v>
      </c>
      <c r="R25" s="62">
        <f t="shared" si="0"/>
        <v>598.05364786280813</v>
      </c>
      <c r="S25" s="62">
        <f ca="1">AVERAGE(OFFSET($R$3,0,0,'Données projet'!$E$9+1,1))-AVERAGE(OFFSET($H$3,0,0,'Données projet'!$E$9+1,1))</f>
        <v>382.55387448074327</v>
      </c>
      <c r="T25" s="62">
        <f t="shared" si="34"/>
        <v>476.29465646955543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22</v>
      </c>
      <c r="AI25" s="14">
        <f>IF('Données projet'!$A$62&gt;35,AI24+AH25-AQ24,IF(A25&lt;'Données projet'!$A$62,$AF$205^A25,IF(A25='Données projet'!$A$62,'Données projet'!$B$62,AI24+AH25-AQ24)))</f>
        <v>229</v>
      </c>
      <c r="AJ25" s="14">
        <f>AI25*VLOOKUP('Données projet'!$B$10,Paramètres!$A$1:$I$89,3,0)*VLOOKUP('Données projet'!$B$10,Paramètres!$A$1:$I$89,5,0)</f>
        <v>125.03399999999999</v>
      </c>
      <c r="AK25" s="14">
        <f t="shared" si="35"/>
        <v>32.846274359997985</v>
      </c>
      <c r="AL25" s="22">
        <f t="shared" si="4"/>
        <v>274.97481117699641</v>
      </c>
      <c r="AM25" s="62">
        <f t="shared" si="5"/>
        <v>568.30814451032973</v>
      </c>
      <c r="AN25" s="62">
        <f ca="1">AVERAGE(OFFSET($AM$3,0,0,'Données projet'!$E$10+1,1))-AVERAGE(OFFSET($H$3,0,0,'Données projet'!$E$10+1,1))</f>
        <v>240.19940780300527</v>
      </c>
      <c r="AO25" s="62">
        <f t="shared" si="36"/>
        <v>355.71054384071715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9.9923196404762589</v>
      </c>
      <c r="AW25" s="23">
        <f>EXP(-LN(2)/2)*AW24+(1-EXP(-LN(2)/2))/(LN(2)/2)*AQ25*AT25*VLOOKUP('Données projet'!$B$10,Paramètres!$A$1:$I$89,3,0)*0.475*44/12</f>
        <v>14.514826915655613</v>
      </c>
      <c r="AX25" s="23">
        <f t="shared" si="6"/>
        <v>24.507146556131872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28.833333333333332</v>
      </c>
      <c r="N26" s="14">
        <f>IF('Données projet'!$A$36&gt;35,N25+M26-V25,IF(A26&lt;'Données projet'!$A$36,$K$205^A26,IF(A26='Données projet'!$A$36,'Données projet'!$B$36,N25+M26-V25)))</f>
        <v>277.33333333333337</v>
      </c>
      <c r="O26" s="14">
        <f>N26*VLOOKUP('Données projet'!$B$9,Paramètres!$A$1:$I$89,3,0)*VLOOKUP('Données projet'!$B$9,Paramètres!$A$1:$I$89,5,0)</f>
        <v>155.02933333333334</v>
      </c>
      <c r="P26" s="14">
        <f t="shared" si="33"/>
        <v>39.719316712120367</v>
      </c>
      <c r="Q26" s="22">
        <f t="shared" si="2"/>
        <v>339.1872321624985</v>
      </c>
      <c r="R26" s="62">
        <f t="shared" si="0"/>
        <v>632.52056549583176</v>
      </c>
      <c r="S26" s="62">
        <f ca="1">AVERAGE(OFFSET($R$3,0,0,'Données projet'!$E$9+1,1))-AVERAGE(OFFSET($H$3,0,0,'Données projet'!$E$9+1,1))</f>
        <v>382.55387448074327</v>
      </c>
      <c r="T26" s="62">
        <f t="shared" si="34"/>
        <v>476.29465646955543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22</v>
      </c>
      <c r="AI26" s="14">
        <f>IF('Données projet'!$A$62&gt;35,AI25+AH26-AQ25,IF(A26&lt;'Données projet'!$A$62,$AF$205^A26,IF(A26='Données projet'!$A$62,'Données projet'!$B$62,AI25+AH26-AQ25)))</f>
        <v>251</v>
      </c>
      <c r="AJ26" s="14">
        <f>AI26*VLOOKUP('Données projet'!$B$10,Paramètres!$A$1:$I$89,3,0)*VLOOKUP('Données projet'!$B$10,Paramètres!$A$1:$I$89,5,0)</f>
        <v>137.04600000000002</v>
      </c>
      <c r="AK26" s="14">
        <f t="shared" si="35"/>
        <v>35.619447951801043</v>
      </c>
      <c r="AL26" s="22">
        <f t="shared" si="4"/>
        <v>300.72565518272023</v>
      </c>
      <c r="AM26" s="62">
        <f t="shared" si="5"/>
        <v>594.05898851605355</v>
      </c>
      <c r="AN26" s="62">
        <f ca="1">AVERAGE(OFFSET($AM$3,0,0,'Données projet'!$E$10+1,1))-AVERAGE(OFFSET($H$3,0,0,'Données projet'!$E$10+1,1))</f>
        <v>240.19940780300527</v>
      </c>
      <c r="AO26" s="62">
        <f t="shared" si="36"/>
        <v>355.71054384071715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9.7190791344341836</v>
      </c>
      <c r="AW26" s="23">
        <f>EXP(-LN(2)/2)*AW25+(1-EXP(-LN(2)/2))/(LN(2)/2)*AQ26*AT26*VLOOKUP('Données projet'!$B$10,Paramètres!$A$1:$I$89,3,0)*0.475*44/12</f>
        <v>10.263532539809106</v>
      </c>
      <c r="AX26" s="23">
        <f t="shared" si="6"/>
        <v>19.982611674243287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28.833333333333332</v>
      </c>
      <c r="N27" s="14">
        <f>IF('Données projet'!$A$36&gt;35,N26+M27-V26,IF(A27&lt;'Données projet'!$A$36,$K$205^A27,IF(A27='Données projet'!$A$36,'Données projet'!$B$36,N26+M27-V26)))</f>
        <v>306.16666666666669</v>
      </c>
      <c r="O27" s="14">
        <f>N27*VLOOKUP('Données projet'!$B$9,Paramètres!$A$1:$I$89,3,0)*VLOOKUP('Données projet'!$B$9,Paramètres!$A$1:$I$89,5,0)</f>
        <v>171.14716666666669</v>
      </c>
      <c r="P27" s="14">
        <f t="shared" si="33"/>
        <v>43.346850105371793</v>
      </c>
      <c r="Q27" s="22">
        <f t="shared" si="2"/>
        <v>373.57707921130037</v>
      </c>
      <c r="R27" s="62">
        <f t="shared" si="0"/>
        <v>666.91041254463369</v>
      </c>
      <c r="S27" s="62">
        <f ca="1">AVERAGE(OFFSET($R$3,0,0,'Données projet'!$E$9+1,1))-AVERAGE(OFFSET($H$3,0,0,'Données projet'!$E$9+1,1))</f>
        <v>382.55387448074327</v>
      </c>
      <c r="T27" s="62">
        <f t="shared" si="34"/>
        <v>476.29465646955543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22</v>
      </c>
      <c r="AI27" s="14">
        <f>IF('Données projet'!$A$62&gt;35,AI26+AH27-AQ26,IF(A27&lt;'Données projet'!$A$62,$AF$205^A27,IF(A27='Données projet'!$A$62,'Données projet'!$B$62,AI26+AH27-AQ26)))</f>
        <v>273</v>
      </c>
      <c r="AJ27" s="14">
        <f>AI27*VLOOKUP('Données projet'!$B$10,Paramètres!$A$1:$I$89,3,0)*VLOOKUP('Données projet'!$B$10,Paramètres!$A$1:$I$89,5,0)</f>
        <v>149.05799999999999</v>
      </c>
      <c r="AK27" s="14">
        <f t="shared" si="35"/>
        <v>38.364434314370335</v>
      </c>
      <c r="AL27" s="22">
        <f t="shared" si="4"/>
        <v>326.42740643086165</v>
      </c>
      <c r="AM27" s="62">
        <f t="shared" si="5"/>
        <v>619.76073976419502</v>
      </c>
      <c r="AN27" s="62">
        <f ca="1">AVERAGE(OFFSET($AM$3,0,0,'Données projet'!$E$10+1,1))-AVERAGE(OFFSET($H$3,0,0,'Données projet'!$E$10+1,1))</f>
        <v>240.19940780300527</v>
      </c>
      <c r="AO27" s="62">
        <f t="shared" si="36"/>
        <v>355.71054384071715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9.4533104043989216</v>
      </c>
      <c r="AW27" s="23">
        <f>EXP(-LN(2)/2)*AW26+(1-EXP(-LN(2)/2))/(LN(2)/2)*AQ27*AT27*VLOOKUP('Données projet'!$B$10,Paramètres!$A$1:$I$89,3,0)*0.475*44/12</f>
        <v>7.2574134578278082</v>
      </c>
      <c r="AX27" s="23">
        <f t="shared" si="6"/>
        <v>16.710723862226729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335</v>
      </c>
      <c r="L28" s="13">
        <f>VLOOKUP(A28,'Données projet'!$A$35:$I$55,9,0)</f>
        <v>28.833333333333332</v>
      </c>
      <c r="M28" s="13">
        <f t="array" ref="M28">INDEX(L:L,MIN(IF(ISNUMBER(L28:L224),ROW(L28:L224),"")))</f>
        <v>28.833333333333332</v>
      </c>
      <c r="N28" s="14">
        <f>IF('Données projet'!$A$36&gt;35,N27+M28-V27,IF(A28&lt;'Données projet'!$A$36,$K$205^A28,IF(A28='Données projet'!$A$36,'Données projet'!$B$36,N27+M28-V27)))</f>
        <v>335</v>
      </c>
      <c r="O28" s="14">
        <f>N28*VLOOKUP('Données projet'!$B$9,Paramètres!$A$1:$I$89,3,0)*VLOOKUP('Données projet'!$B$9,Paramètres!$A$1:$I$89,5,0)</f>
        <v>187.26500000000001</v>
      </c>
      <c r="P28" s="14">
        <f t="shared" si="33"/>
        <v>46.934773872544483</v>
      </c>
      <c r="Q28" s="22">
        <f t="shared" si="2"/>
        <v>407.89793949468162</v>
      </c>
      <c r="R28" s="62">
        <f t="shared" si="0"/>
        <v>701.23127282801488</v>
      </c>
      <c r="S28" s="62">
        <f ca="1">AVERAGE(OFFSET($R$3,0,0,'Données projet'!$E$9+1,1))-AVERAGE(OFFSET($H$3,0,0,'Données projet'!$E$9+1,1))</f>
        <v>382.55387448074327</v>
      </c>
      <c r="T28" s="62">
        <f t="shared" si="34"/>
        <v>476.29465646955543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5.5000000000000007E-2</v>
      </c>
      <c r="X28" s="17">
        <f>IF(ISNA(VLOOKUP(A28,'Données projet'!$A$35:$I$55,6,0)),0%,VLOOKUP(A28,'Données projet'!$A$35:$I$55,6,0)*VLOOKUP('Données projet'!$B$9,Paramètres!$A$1:$I$89,7,0))</f>
        <v>0.22000000000000003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2.2024021058543881</v>
      </c>
      <c r="AA28" s="23">
        <f>EXP(-LN(2)/25)*AA27+(1-EXP(-LN(2)/25))/(LN(2)/25)*Calculateur!V28*Calculateur!X28*VLOOKUP('Données projet'!$B$9,Paramètres!$A$1:$I$89,3,0)*0.475*44/12</f>
        <v>8.7749216383305857</v>
      </c>
      <c r="AB28" s="23">
        <f>EXP(-LN(2)/2)*AB27+(1-EXP(-LN(2)/2))/(LN(2)/2)*V28*Y28*VLOOKUP('Données projet'!$B$9,Paramètres!$A$1:$I$89,3,0)*0.475*44/12</f>
        <v>17.088782066566949</v>
      </c>
      <c r="AC28" s="24">
        <f t="shared" si="3"/>
        <v>28.066105810751921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295</v>
      </c>
      <c r="AG28" s="13">
        <f>VLOOKUP(A28,'Données projet'!$A$61:$I$81,9,0)</f>
        <v>22</v>
      </c>
      <c r="AH28" s="13">
        <f t="array" ref="AH28">INDEX(AG:AG,MIN(IF(ISNUMBER(AG28:AG224),ROW(AG28:AG224),"")))</f>
        <v>22</v>
      </c>
      <c r="AI28" s="14">
        <f>IF('Données projet'!$A$62&gt;35,AI27+AH28-AQ27,IF(A28&lt;'Données projet'!$A$62,$AF$205^A28,IF(A28='Données projet'!$A$62,'Données projet'!$B$62,AI27+AH28-AQ27)))</f>
        <v>295</v>
      </c>
      <c r="AJ28" s="14">
        <f>AI28*VLOOKUP('Données projet'!$B$10,Paramètres!$A$1:$I$89,3,0)*VLOOKUP('Données projet'!$B$10,Paramètres!$A$1:$I$89,5,0)</f>
        <v>161.07</v>
      </c>
      <c r="AK28" s="14">
        <f t="shared" si="35"/>
        <v>41.083763193241431</v>
      </c>
      <c r="AL28" s="22">
        <f t="shared" si="4"/>
        <v>352.08447089489545</v>
      </c>
      <c r="AM28" s="62">
        <f t="shared" si="5"/>
        <v>645.41780422822876</v>
      </c>
      <c r="AN28" s="62">
        <f ca="1">AVERAGE(OFFSET($AM$3,0,0,'Données projet'!$E$10+1,1))-AVERAGE(OFFSET($H$3,0,0,'Données projet'!$E$10+1,1))</f>
        <v>240.19940780300527</v>
      </c>
      <c r="AO28" s="62">
        <f t="shared" si="36"/>
        <v>355.71054384071715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57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0.24</v>
      </c>
      <c r="AT28" s="17">
        <f>IF(ISNA(VLOOKUP(A28,'Données projet'!$A$61:$I$81,7,0)),0%,VLOOKUP(A28,'Données projet'!$A$61:$I$81,7,0))</f>
        <v>0.6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19.064277023463216</v>
      </c>
      <c r="AW28" s="23">
        <f>EXP(-LN(2)/2)*AW27+(1-EXP(-LN(2)/2))/(LN(2)/2)*AQ28*AT28*VLOOKUP('Données projet'!$B$10,Paramètres!$A$1:$I$89,3,0)*0.475*44/12</f>
        <v>26.274166408075754</v>
      </c>
      <c r="AX28" s="23">
        <f t="shared" si="6"/>
        <v>45.33844343153897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28</v>
      </c>
      <c r="N29" s="14">
        <f>IF('Données projet'!$A$36&gt;35,N28+M29-V28,IF(A29&lt;'Données projet'!$A$36,$K$205^A29,IF(A29='Données projet'!$A$36,'Données projet'!$B$36,N28+M29-V28)))</f>
        <v>309</v>
      </c>
      <c r="O29" s="14">
        <f>N29*VLOOKUP('Données projet'!$B$9,Paramètres!$A$1:$I$89,3,0)*VLOOKUP('Données projet'!$B$9,Paramètres!$A$1:$I$89,5,0)</f>
        <v>172.73100000000002</v>
      </c>
      <c r="P29" s="14">
        <f t="shared" si="33"/>
        <v>43.701108252019125</v>
      </c>
      <c r="Q29" s="22">
        <f t="shared" si="2"/>
        <v>376.9525885389333</v>
      </c>
      <c r="R29" s="62">
        <f t="shared" si="0"/>
        <v>670.28592187226661</v>
      </c>
      <c r="S29" s="62">
        <f ca="1">AVERAGE(OFFSET($R$3,0,0,'Données projet'!$E$9+1,1))-AVERAGE(OFFSET($H$3,0,0,'Données projet'!$E$9+1,1))</f>
        <v>382.55387448074327</v>
      </c>
      <c r="T29" s="62">
        <f t="shared" si="34"/>
        <v>476.29465646955543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2.1592143438912252</v>
      </c>
      <c r="AA29" s="23">
        <f>EXP(-LN(2)/25)*AA28+(1-EXP(-LN(2)/25))/(LN(2)/25)*Calculateur!V29*Calculateur!X29*VLOOKUP('Données projet'!$B$9,Paramètres!$A$1:$I$89,3,0)*0.475*44/12</f>
        <v>8.5349709446773616</v>
      </c>
      <c r="AB29" s="23">
        <f>EXP(-LN(2)/2)*AB28+(1-EXP(-LN(2)/2))/(LN(2)/2)*V29*Y29*VLOOKUP('Données projet'!$B$9,Paramètres!$A$1:$I$89,3,0)*0.475*44/12</f>
        <v>12.083593681488555</v>
      </c>
      <c r="AC29" s="24">
        <f t="shared" si="3"/>
        <v>22.777778970057142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17.8</v>
      </c>
      <c r="AI29" s="14">
        <f>IF('Données projet'!$A$62&gt;35,AI28+AH29-AQ28,IF(A29&lt;'Données projet'!$A$62,$AF$205^A29,IF(A29='Données projet'!$A$62,'Données projet'!$B$62,AI28+AH29-AQ28)))</f>
        <v>255.8</v>
      </c>
      <c r="AJ29" s="14">
        <f>AI29*VLOOKUP('Données projet'!$B$10,Paramètres!$A$1:$I$89,3,0)*VLOOKUP('Données projet'!$B$10,Paramètres!$A$1:$I$89,5,0)</f>
        <v>139.66680000000002</v>
      </c>
      <c r="AK29" s="14">
        <f t="shared" si="35"/>
        <v>36.22066347145411</v>
      </c>
      <c r="AL29" s="22">
        <f t="shared" si="4"/>
        <v>306.3373322127826</v>
      </c>
      <c r="AM29" s="62">
        <f t="shared" si="5"/>
        <v>599.67066554611597</v>
      </c>
      <c r="AN29" s="62">
        <f ca="1">AVERAGE(OFFSET($AM$3,0,0,'Données projet'!$E$10+1,1))-AVERAGE(OFFSET($H$3,0,0,'Données projet'!$E$10+1,1))</f>
        <v>240.19940780300527</v>
      </c>
      <c r="AO29" s="62">
        <f t="shared" si="36"/>
        <v>355.71054384071715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18.542963365709859</v>
      </c>
      <c r="AW29" s="23">
        <f>EXP(-LN(2)/2)*AW28+(1-EXP(-LN(2)/2))/(LN(2)/2)*AQ29*AT29*VLOOKUP('Données projet'!$B$10,Paramètres!$A$1:$I$89,3,0)*0.475*44/12</f>
        <v>18.57864123717416</v>
      </c>
      <c r="AX29" s="23">
        <f t="shared" si="6"/>
        <v>37.12160460288402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28</v>
      </c>
      <c r="N30" s="14">
        <f>IF('Données projet'!$A$36&gt;35,N29+M30-V29,IF(A30&lt;'Données projet'!$A$36,$K$205^A30,IF(A30='Données projet'!$A$36,'Données projet'!$B$36,N29+M30-V29)))</f>
        <v>337</v>
      </c>
      <c r="O30" s="14">
        <f>N30*VLOOKUP('Données projet'!$B$9,Paramètres!$A$1:$I$89,3,0)*VLOOKUP('Données projet'!$B$9,Paramètres!$A$1:$I$89,5,0)</f>
        <v>188.38300000000001</v>
      </c>
      <c r="P30" s="14">
        <f t="shared" si="33"/>
        <v>47.182279474248382</v>
      </c>
      <c r="Q30" s="22">
        <f t="shared" si="2"/>
        <v>410.27619508431599</v>
      </c>
      <c r="R30" s="62">
        <f t="shared" si="0"/>
        <v>703.60952841764924</v>
      </c>
      <c r="S30" s="62">
        <f ca="1">AVERAGE(OFFSET($R$3,0,0,'Données projet'!$E$9+1,1))-AVERAGE(OFFSET($H$3,0,0,'Données projet'!$E$9+1,1))</f>
        <v>382.55387448074327</v>
      </c>
      <c r="T30" s="62">
        <f t="shared" si="34"/>
        <v>476.29465646955543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2.1168734675982259</v>
      </c>
      <c r="AA30" s="23">
        <f>EXP(-LN(2)/25)*AA29+(1-EXP(-LN(2)/25))/(LN(2)/25)*Calculateur!V30*Calculateur!X30*VLOOKUP('Données projet'!$B$9,Paramètres!$A$1:$I$89,3,0)*0.475*44/12</f>
        <v>8.3015817153605447</v>
      </c>
      <c r="AB30" s="23">
        <f>EXP(-LN(2)/2)*AB29+(1-EXP(-LN(2)/2))/(LN(2)/2)*V30*Y30*VLOOKUP('Données projet'!$B$9,Paramètres!$A$1:$I$89,3,0)*0.475*44/12</f>
        <v>8.5443910332834765</v>
      </c>
      <c r="AC30" s="24">
        <f t="shared" si="3"/>
        <v>18.962846216242248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17.8</v>
      </c>
      <c r="AI30" s="14">
        <f>IF('Données projet'!$A$62&gt;35,AI29+AH30-AQ29,IF(A30&lt;'Données projet'!$A$62,$AF$205^A30,IF(A30='Données projet'!$A$62,'Données projet'!$B$62,AI29+AH30-AQ29)))</f>
        <v>273.60000000000002</v>
      </c>
      <c r="AJ30" s="14">
        <f>AI30*VLOOKUP('Données projet'!$B$10,Paramètres!$A$1:$I$89,3,0)*VLOOKUP('Données projet'!$B$10,Paramètres!$A$1:$I$89,5,0)</f>
        <v>149.38560000000001</v>
      </c>
      <c r="AK30" s="14">
        <f t="shared" si="35"/>
        <v>38.438927680599591</v>
      </c>
      <c r="AL30" s="22">
        <f t="shared" si="4"/>
        <v>327.12771904371101</v>
      </c>
      <c r="AM30" s="62">
        <f t="shared" si="5"/>
        <v>620.46105237704433</v>
      </c>
      <c r="AN30" s="62">
        <f ca="1">AVERAGE(OFFSET($AM$3,0,0,'Données projet'!$E$10+1,1))-AVERAGE(OFFSET($H$3,0,0,'Données projet'!$E$10+1,1))</f>
        <v>240.19940780300527</v>
      </c>
      <c r="AO30" s="62">
        <f t="shared" si="36"/>
        <v>355.71054384071715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18.035905057342461</v>
      </c>
      <c r="AW30" s="23">
        <f>EXP(-LN(2)/2)*AW29+(1-EXP(-LN(2)/2))/(LN(2)/2)*AQ30*AT30*VLOOKUP('Données projet'!$B$10,Paramètres!$A$1:$I$89,3,0)*0.475*44/12</f>
        <v>13.137083204037879</v>
      </c>
      <c r="AX30" s="23">
        <f t="shared" si="6"/>
        <v>31.17298826138034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28</v>
      </c>
      <c r="N31" s="14">
        <f>IF('Données projet'!$A$36&gt;35,N30+M31-V30,IF(A31&lt;'Données projet'!$A$36,$K$205^A31,IF(A31='Données projet'!$A$36,'Données projet'!$B$36,N30+M31-V30)))</f>
        <v>365</v>
      </c>
      <c r="O31" s="14">
        <f>N31*VLOOKUP('Données projet'!$B$9,Paramètres!$A$1:$I$89,3,0)*VLOOKUP('Données projet'!$B$9,Paramètres!$A$1:$I$89,5,0)</f>
        <v>204.035</v>
      </c>
      <c r="P31" s="14">
        <f t="shared" si="33"/>
        <v>50.629905099971396</v>
      </c>
      <c r="Q31" s="22">
        <f t="shared" si="2"/>
        <v>443.54137638245015</v>
      </c>
      <c r="R31" s="62">
        <f t="shared" si="0"/>
        <v>736.87470971578341</v>
      </c>
      <c r="S31" s="62">
        <f ca="1">AVERAGE(OFFSET($R$3,0,0,'Données projet'!$E$9+1,1))-AVERAGE(OFFSET($H$3,0,0,'Données projet'!$E$9+1,1))</f>
        <v>382.55387448074327</v>
      </c>
      <c r="T31" s="62">
        <f t="shared" si="34"/>
        <v>476.29465646955543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2.0753628700639482</v>
      </c>
      <c r="AA31" s="23">
        <f>EXP(-LN(2)/25)*AA30+(1-EXP(-LN(2)/25))/(LN(2)/25)*Calculateur!V31*Calculateur!X31*VLOOKUP('Données projet'!$B$9,Paramètres!$A$1:$I$89,3,0)*0.475*44/12</f>
        <v>8.0745745267928015</v>
      </c>
      <c r="AB31" s="23">
        <f>EXP(-LN(2)/2)*AB30+(1-EXP(-LN(2)/2))/(LN(2)/2)*V31*Y31*VLOOKUP('Données projet'!$B$9,Paramètres!$A$1:$I$89,3,0)*0.475*44/12</f>
        <v>6.0417968407442784</v>
      </c>
      <c r="AC31" s="24">
        <f t="shared" si="3"/>
        <v>16.191734237601029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17.8</v>
      </c>
      <c r="AI31" s="14">
        <f>IF('Données projet'!$A$62&gt;35,AI30+AH31-AQ30,IF(A31&lt;'Données projet'!$A$62,$AF$205^A31,IF(A31='Données projet'!$A$62,'Données projet'!$B$62,AI30+AH31-AQ30)))</f>
        <v>291.40000000000003</v>
      </c>
      <c r="AJ31" s="14">
        <f>AI31*VLOOKUP('Données projet'!$B$10,Paramètres!$A$1:$I$89,3,0)*VLOOKUP('Données projet'!$B$10,Paramètres!$A$1:$I$89,5,0)</f>
        <v>159.1044</v>
      </c>
      <c r="AK31" s="14">
        <f t="shared" si="35"/>
        <v>40.640444381186896</v>
      </c>
      <c r="AL31" s="22">
        <f t="shared" si="4"/>
        <v>347.88893729723378</v>
      </c>
      <c r="AM31" s="62">
        <f t="shared" si="5"/>
        <v>641.2222706305671</v>
      </c>
      <c r="AN31" s="62">
        <f ca="1">AVERAGE(OFFSET($AM$3,0,0,'Données projet'!$E$10+1,1))-AVERAGE(OFFSET($H$3,0,0,'Données projet'!$E$10+1,1))</f>
        <v>240.19940780300527</v>
      </c>
      <c r="AO31" s="62">
        <f t="shared" si="36"/>
        <v>355.71054384071715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17.542712285082406</v>
      </c>
      <c r="AW31" s="23">
        <f>EXP(-LN(2)/2)*AW30+(1-EXP(-LN(2)/2))/(LN(2)/2)*AQ31*AT31*VLOOKUP('Données projet'!$B$10,Paramètres!$A$1:$I$89,3,0)*0.475*44/12</f>
        <v>9.289320618587082</v>
      </c>
      <c r="AX31" s="23">
        <f t="shared" si="6"/>
        <v>26.832032903669486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28</v>
      </c>
      <c r="N32" s="14">
        <f>IF('Données projet'!$A$36&gt;35,N31+M32-V31,IF(A32&lt;'Données projet'!$A$36,$K$205^A32,IF(A32='Données projet'!$A$36,'Données projet'!$B$36,N31+M32-V31)))</f>
        <v>393</v>
      </c>
      <c r="O32" s="14">
        <f>N32*VLOOKUP('Données projet'!$B$9,Paramètres!$A$1:$I$89,3,0)*VLOOKUP('Données projet'!$B$9,Paramètres!$A$1:$I$89,5,0)</f>
        <v>219.68700000000001</v>
      </c>
      <c r="P32" s="14">
        <f t="shared" si="33"/>
        <v>54.046851081096591</v>
      </c>
      <c r="Q32" s="22">
        <f t="shared" si="2"/>
        <v>476.75312396624321</v>
      </c>
      <c r="R32" s="62">
        <f t="shared" si="0"/>
        <v>770.08645729957652</v>
      </c>
      <c r="S32" s="62">
        <f ca="1">AVERAGE(OFFSET($R$3,0,0,'Données projet'!$E$9+1,1))-AVERAGE(OFFSET($H$3,0,0,'Données projet'!$E$9+1,1))</f>
        <v>382.55387448074327</v>
      </c>
      <c r="T32" s="62">
        <f t="shared" si="34"/>
        <v>476.29465646955543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2.0346662700283531</v>
      </c>
      <c r="AA32" s="23">
        <f>EXP(-LN(2)/25)*AA31+(1-EXP(-LN(2)/25))/(LN(2)/25)*Calculateur!V32*Calculateur!X32*VLOOKUP('Données projet'!$B$9,Paramètres!$A$1:$I$89,3,0)*0.475*44/12</f>
        <v>7.8537748617342329</v>
      </c>
      <c r="AB32" s="23">
        <f>EXP(-LN(2)/2)*AB31+(1-EXP(-LN(2)/2))/(LN(2)/2)*V32*Y32*VLOOKUP('Données projet'!$B$9,Paramètres!$A$1:$I$89,3,0)*0.475*44/12</f>
        <v>4.2721955166417391</v>
      </c>
      <c r="AC32" s="24">
        <f t="shared" si="3"/>
        <v>14.160636648404326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17.8</v>
      </c>
      <c r="AI32" s="14">
        <f>IF('Données projet'!$A$62&gt;35,AI31+AH32-AQ31,IF(A32&lt;'Données projet'!$A$62,$AF$205^A32,IF(A32='Données projet'!$A$62,'Données projet'!$B$62,AI31+AH32-AQ31)))</f>
        <v>309.20000000000005</v>
      </c>
      <c r="AJ32" s="14">
        <f>AI32*VLOOKUP('Données projet'!$B$10,Paramètres!$A$1:$I$89,3,0)*VLOOKUP('Données projet'!$B$10,Paramètres!$A$1:$I$89,5,0)</f>
        <v>168.82320000000001</v>
      </c>
      <c r="AK32" s="14">
        <f t="shared" si="35"/>
        <v>42.826353072849329</v>
      </c>
      <c r="AL32" s="22">
        <f t="shared" si="4"/>
        <v>368.62297160187927</v>
      </c>
      <c r="AM32" s="62">
        <f t="shared" si="5"/>
        <v>661.95630493521253</v>
      </c>
      <c r="AN32" s="62">
        <f ca="1">AVERAGE(OFFSET($AM$3,0,0,'Données projet'!$E$10+1,1))-AVERAGE(OFFSET($H$3,0,0,'Données projet'!$E$10+1,1))</f>
        <v>240.19940780300527</v>
      </c>
      <c r="AO32" s="62">
        <f t="shared" si="36"/>
        <v>355.71054384071715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17.063005895115683</v>
      </c>
      <c r="AW32" s="23">
        <f>EXP(-LN(2)/2)*AW31+(1-EXP(-LN(2)/2))/(LN(2)/2)*AQ32*AT32*VLOOKUP('Données projet'!$B$10,Paramètres!$A$1:$I$89,3,0)*0.475*44/12</f>
        <v>6.5685416020189402</v>
      </c>
      <c r="AX32" s="23">
        <f t="shared" si="6"/>
        <v>23.631547497134623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421</v>
      </c>
      <c r="L33" s="13">
        <f>VLOOKUP(A33,'Données projet'!$A$35:$I$55,9,0)</f>
        <v>28</v>
      </c>
      <c r="M33" s="13">
        <f t="array" ref="M33">INDEX(L:L,MIN(IF(ISNUMBER(L33:L229),ROW(L33:L229),"")))</f>
        <v>28</v>
      </c>
      <c r="N33" s="14">
        <f>IF('Données projet'!$A$36&gt;35,N32+M33-V32,IF(A33&lt;'Données projet'!$A$36,$K$205^A33,IF(A33='Données projet'!$A$36,'Données projet'!$B$36,N32+M33-V32)))</f>
        <v>421</v>
      </c>
      <c r="O33" s="14">
        <f>N33*VLOOKUP('Données projet'!$B$9,Paramètres!$A$1:$I$89,3,0)*VLOOKUP('Données projet'!$B$9,Paramètres!$A$1:$I$89,5,0)</f>
        <v>235.339</v>
      </c>
      <c r="P33" s="14">
        <f t="shared" si="33"/>
        <v>57.43555185051494</v>
      </c>
      <c r="Q33" s="22">
        <f t="shared" si="2"/>
        <v>509.91567780631357</v>
      </c>
      <c r="R33" s="62">
        <f t="shared" si="0"/>
        <v>803.24901113964688</v>
      </c>
      <c r="S33" s="62">
        <f ca="1">AVERAGE(OFFSET($R$3,0,0,'Données projet'!$E$9+1,1))-AVERAGE(OFFSET($H$3,0,0,'Données projet'!$E$9+1,1))</f>
        <v>382.55387448074327</v>
      </c>
      <c r="T33" s="62">
        <f t="shared" si="34"/>
        <v>476.29465646955543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projet'!$B$9,Paramètres!$A$1:$I$89,7,0))</f>
        <v>0.22000000000000003</v>
      </c>
      <c r="X33" s="17">
        <f>IF(ISNA(VLOOKUP(A33,'Données projet'!$A$35:$I$55,6,0)),0%,VLOOKUP(A33,'Données projet'!$A$35:$I$55,6,0)*VLOOKUP('Données projet'!$B$9,Paramètres!$A$1:$I$89,7,0))</f>
        <v>0.16500000000000001</v>
      </c>
      <c r="Y33" s="17">
        <f>IF(ISNA(VLOOKUP(A33,'Données projet'!$A$35:$I$55,7,0)),0%,VLOOKUP(A33,'Données projet'!$A$35:$I$55,7,0))</f>
        <v>0.3</v>
      </c>
      <c r="Z33" s="23">
        <f>EXP(-LN(2)/35)*Z32+(1-EXP(-LN(2)/35))/(LN(2)/35)*V33*W33*VLOOKUP('Données projet'!$B$9,Paramètres!$A$1:$I$89,3,0)*0.475*44/12</f>
        <v>10.804376128914534</v>
      </c>
      <c r="AA33" s="23">
        <f>EXP(-LN(2)/25)*AA32+(1-EXP(-LN(2)/25))/(LN(2)/25)*Calculateur!V33*Calculateur!X33*VLOOKUP('Données projet'!$B$9,Paramètres!$A$1:$I$89,3,0)*0.475*44/12</f>
        <v>14.220204203875978</v>
      </c>
      <c r="AB33" s="23">
        <f>EXP(-LN(2)/2)*AB32+(1-EXP(-LN(2)/2))/(LN(2)/2)*V33*Y33*VLOOKUP('Données projet'!$B$9,Paramètres!$A$1:$I$89,3,0)*0.475*44/12</f>
        <v>13.274167660312308</v>
      </c>
      <c r="AC33" s="24">
        <f t="shared" si="3"/>
        <v>38.298747993102822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327</v>
      </c>
      <c r="AG33" s="13">
        <f>VLOOKUP(A33,'Données projet'!$A$61:$I$81,9,0)</f>
        <v>17.8</v>
      </c>
      <c r="AH33" s="13">
        <f t="array" ref="AH33">INDEX(AG:AG,MIN(IF(ISNUMBER(AG33:AG229),ROW(AG33:AG229),"")))</f>
        <v>17.8</v>
      </c>
      <c r="AI33" s="14">
        <f>IF('Données projet'!$A$62&gt;35,AI32+AH33-AQ32,IF(A33&lt;'Données projet'!$A$62,$AF$205^A33,IF(A33='Données projet'!$A$62,'Données projet'!$B$62,AI32+AH33-AQ32)))</f>
        <v>327.00000000000006</v>
      </c>
      <c r="AJ33" s="14">
        <f>AI33*VLOOKUP('Données projet'!$B$10,Paramètres!$A$1:$I$89,3,0)*VLOOKUP('Données projet'!$B$10,Paramètres!$A$1:$I$89,5,0)</f>
        <v>178.54200000000006</v>
      </c>
      <c r="AK33" s="14">
        <f t="shared" si="35"/>
        <v>44.997654647354175</v>
      </c>
      <c r="AL33" s="22">
        <f t="shared" si="4"/>
        <v>389.33156517747528</v>
      </c>
      <c r="AM33" s="62">
        <f t="shared" si="5"/>
        <v>682.6648985108086</v>
      </c>
      <c r="AN33" s="62">
        <f ca="1">AVERAGE(OFFSET($AM$3,0,0,'Données projet'!$E$10+1,1))-AVERAGE(OFFSET($H$3,0,0,'Données projet'!$E$10+1,1))</f>
        <v>240.19940780300527</v>
      </c>
      <c r="AO33" s="62">
        <f t="shared" si="36"/>
        <v>355.71054384071715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48</v>
      </c>
      <c r="AR33" s="17">
        <f>IF(ISNA(VLOOKUP(A33,'Données projet'!$A$61:$I$81,5,0)),0%,VLOOKUP(A33,'Données projet'!$A$61:$I$81,5,0)*VLOOKUP('Données projet'!$B$10,Paramètres!$A$1:$I$89,7,0))</f>
        <v>0.12</v>
      </c>
      <c r="AS33" s="17">
        <f>IF(ISNA(VLOOKUP(A33,'Données projet'!$A$61:$I$81,6,0)),0%,VLOOKUP(A33,'Données projet'!$A$61:$I$81,6,0)*VLOOKUP('Données projet'!$B$10,Paramètres!$A$1:$I$89,7,0))</f>
        <v>0.24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projet'!$B$10,Paramètres!$A$1:$I$89,3,0)*0.475*44/12</f>
        <v>4.1719921497791361</v>
      </c>
      <c r="AV33" s="23">
        <f>EXP(-LN(2)/25)*AV32+(1-EXP(-LN(2)/25))/(LN(2)/25)*Calculateur!AQ33*Calculateur!AS33*VLOOKUP('Données projet'!$B$10,Paramètres!$A$1:$I$89,3,0)*0.475*44/12</f>
        <v>24.907547955672904</v>
      </c>
      <c r="AW33" s="23">
        <f>EXP(-LN(2)/2)*AW32+(1-EXP(-LN(2)/2))/(LN(2)/2)*AQ33*AT33*VLOOKUP('Données projet'!$B$10,Paramètres!$A$1:$I$89,3,0)*0.475*44/12</f>
        <v>16.514077930722987</v>
      </c>
      <c r="AX33" s="23">
        <f t="shared" si="6"/>
        <v>45.59361803617503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27.6</v>
      </c>
      <c r="N34" s="14">
        <f>IF('Données projet'!$A$36&gt;35,N33+M34-V33,IF(A34&lt;'Données projet'!$A$36,$K$205^A34,IF(A34='Données projet'!$A$36,'Données projet'!$B$36,N33+M34-V33)))</f>
        <v>394.6</v>
      </c>
      <c r="O34" s="14">
        <f>N34*VLOOKUP('Données projet'!$B$9,Paramètres!$A$1:$I$89,3,0)*VLOOKUP('Données projet'!$B$9,Paramètres!$A$1:$I$89,5,0)</f>
        <v>220.5814</v>
      </c>
      <c r="P34" s="14">
        <f t="shared" si="33"/>
        <v>54.241230721401301</v>
      </c>
      <c r="Q34" s="22">
        <f t="shared" si="2"/>
        <v>478.64941517310723</v>
      </c>
      <c r="R34" s="62">
        <f t="shared" si="0"/>
        <v>771.98274850644054</v>
      </c>
      <c r="S34" s="62">
        <f ca="1">AVERAGE(OFFSET($R$3,0,0,'Données projet'!$E$9+1,1))-AVERAGE(OFFSET($H$3,0,0,'Données projet'!$E$9+1,1))</f>
        <v>382.55387448074327</v>
      </c>
      <c r="T34" s="62">
        <f t="shared" si="34"/>
        <v>476.29465646955543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10.592508903045248</v>
      </c>
      <c r="AA34" s="23">
        <f>EXP(-LN(2)/25)*AA33+(1-EXP(-LN(2)/25))/(LN(2)/25)*Calculateur!V34*Calculateur!X34*VLOOKUP('Données projet'!$B$9,Paramètres!$A$1:$I$89,3,0)*0.475*44/12</f>
        <v>13.831351972112952</v>
      </c>
      <c r="AB34" s="23">
        <f>EXP(-LN(2)/2)*AB33+(1-EXP(-LN(2)/2))/(LN(2)/2)*V34*Y34*VLOOKUP('Données projet'!$B$9,Paramètres!$A$1:$I$89,3,0)*0.475*44/12</f>
        <v>9.3862539672140013</v>
      </c>
      <c r="AC34" s="24">
        <f t="shared" si="3"/>
        <v>33.810114842372201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13.6</v>
      </c>
      <c r="AI34" s="14">
        <f>IF('Données projet'!$A$62&gt;35,AI33+AH34-AQ33,IF(A34&lt;'Données projet'!$A$62,$AF$205^A34,IF(A34='Données projet'!$A$62,'Données projet'!$B$62,AI33+AH34-AQ33)))</f>
        <v>292.60000000000008</v>
      </c>
      <c r="AJ34" s="14">
        <f>AI34*VLOOKUP('Données projet'!$B$10,Paramètres!$A$1:$I$89,3,0)*VLOOKUP('Données projet'!$B$10,Paramètres!$A$1:$I$89,5,0)</f>
        <v>159.75960000000003</v>
      </c>
      <c r="AK34" s="14">
        <f t="shared" si="35"/>
        <v>40.788287771458215</v>
      </c>
      <c r="AL34" s="22">
        <f t="shared" si="4"/>
        <v>349.28757120195638</v>
      </c>
      <c r="AM34" s="62">
        <f t="shared" si="5"/>
        <v>642.6209045352897</v>
      </c>
      <c r="AN34" s="62">
        <f ca="1">AVERAGE(OFFSET($AM$3,0,0,'Données projet'!$E$10+1,1))-AVERAGE(OFFSET($H$3,0,0,'Données projet'!$E$10+1,1))</f>
        <v>240.19940780300527</v>
      </c>
      <c r="AO34" s="62">
        <f t="shared" si="36"/>
        <v>355.71054384071715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4.0901819283859142</v>
      </c>
      <c r="AV34" s="23">
        <f>EXP(-LN(2)/25)*AV33+(1-EXP(-LN(2)/25))/(LN(2)/25)*Calculateur!AQ34*Calculateur!AS34*VLOOKUP('Données projet'!$B$10,Paramètres!$A$1:$I$89,3,0)*0.475*44/12</f>
        <v>24.226449746994007</v>
      </c>
      <c r="AW34" s="23">
        <f>EXP(-LN(2)/2)*AW33+(1-EXP(-LN(2)/2))/(LN(2)/2)*AQ34*AT34*VLOOKUP('Données projet'!$B$10,Paramètres!$A$1:$I$89,3,0)*0.475*44/12</f>
        <v>11.677216489857333</v>
      </c>
      <c r="AX34" s="23">
        <f t="shared" si="6"/>
        <v>39.993848165237253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27.6</v>
      </c>
      <c r="N35" s="14">
        <f>IF('Données projet'!$A$36&gt;35,N34+M35-V34,IF(A35&lt;'Données projet'!$A$36,$K$205^A35,IF(A35='Données projet'!$A$36,'Données projet'!$B$36,N34+M35-V34)))</f>
        <v>422.20000000000005</v>
      </c>
      <c r="O35" s="14">
        <f>N35*VLOOKUP('Données projet'!$B$9,Paramètres!$A$1:$I$89,3,0)*VLOOKUP('Données projet'!$B$9,Paramètres!$A$1:$I$89,5,0)</f>
        <v>236.00980000000004</v>
      </c>
      <c r="P35" s="14">
        <f t="shared" si="33"/>
        <v>57.580183613654185</v>
      </c>
      <c r="Q35" s="22">
        <f t="shared" ref="Q35:Q66" si="53">(O35+P35)*0.475*44/12</f>
        <v>511.3358881271144</v>
      </c>
      <c r="R35" s="62">
        <f t="shared" si="0"/>
        <v>804.66922146044772</v>
      </c>
      <c r="S35" s="62">
        <f ca="1">AVERAGE(OFFSET($R$3,0,0,'Données projet'!$E$9+1,1))-AVERAGE(OFFSET($H$3,0,0,'Données projet'!$E$9+1,1))</f>
        <v>382.55387448074327</v>
      </c>
      <c r="T35" s="62">
        <f t="shared" si="34"/>
        <v>476.29465646955543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10.384796264249012</v>
      </c>
      <c r="AA35" s="23">
        <f>EXP(-LN(2)/25)*AA34+(1-EXP(-LN(2)/25))/(LN(2)/25)*Calculateur!V35*Calculateur!X35*VLOOKUP('Données projet'!$B$9,Paramètres!$A$1:$I$89,3,0)*0.475*44/12</f>
        <v>13.453132925076336</v>
      </c>
      <c r="AB35" s="23">
        <f>EXP(-LN(2)/2)*AB34+(1-EXP(-LN(2)/2))/(LN(2)/2)*V35*Y35*VLOOKUP('Données projet'!$B$9,Paramètres!$A$1:$I$89,3,0)*0.475*44/12</f>
        <v>6.637083830156155</v>
      </c>
      <c r="AC35" s="24">
        <f t="shared" si="3"/>
        <v>30.475013019481501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13.6</v>
      </c>
      <c r="AI35" s="14">
        <f>IF('Données projet'!$A$62&gt;35,AI34+AH35-AQ34,IF(A35&lt;'Données projet'!$A$62,$AF$205^A35,IF(A35='Données projet'!$A$62,'Données projet'!$B$62,AI34+AH35-AQ34)))</f>
        <v>306.2000000000001</v>
      </c>
      <c r="AJ35" s="14">
        <f>AI35*VLOOKUP('Données projet'!$B$10,Paramètres!$A$1:$I$89,3,0)*VLOOKUP('Données projet'!$B$10,Paramètres!$A$1:$I$89,5,0)</f>
        <v>167.18520000000007</v>
      </c>
      <c r="AK35" s="14">
        <f t="shared" si="35"/>
        <v>42.458990736132044</v>
      </c>
      <c r="AL35" s="22">
        <f t="shared" si="4"/>
        <v>365.13029886543012</v>
      </c>
      <c r="AM35" s="62">
        <f t="shared" si="5"/>
        <v>658.46363219876343</v>
      </c>
      <c r="AN35" s="62">
        <f ca="1">AVERAGE(OFFSET($AM$3,0,0,'Données projet'!$E$10+1,1))-AVERAGE(OFFSET($H$3,0,0,'Données projet'!$E$10+1,1))</f>
        <v>240.19940780300527</v>
      </c>
      <c r="AO35" s="62">
        <f t="shared" si="36"/>
        <v>355.71054384071715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4.0099759555349053</v>
      </c>
      <c r="AV35" s="23">
        <f>EXP(-LN(2)/25)*AV34+(1-EXP(-LN(2)/25))/(LN(2)/25)*Calculateur!AQ35*Calculateur!AS35*VLOOKUP('Données projet'!$B$10,Paramètres!$A$1:$I$89,3,0)*0.475*44/12</f>
        <v>23.563976204648835</v>
      </c>
      <c r="AW35" s="23">
        <f>EXP(-LN(2)/2)*AW34+(1-EXP(-LN(2)/2))/(LN(2)/2)*AQ35*AT35*VLOOKUP('Données projet'!$B$10,Paramètres!$A$1:$I$89,3,0)*0.475*44/12</f>
        <v>8.2570389653614935</v>
      </c>
      <c r="AX35" s="23">
        <f t="shared" si="6"/>
        <v>35.830991125545232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27.6</v>
      </c>
      <c r="N36" s="14">
        <f>IF('Données projet'!$A$36&gt;35,N35+M36-V35,IF(A36&lt;'Données projet'!$A$36,$K$205^A36,IF(A36='Données projet'!$A$36,'Données projet'!$B$36,N35+M36-V35)))</f>
        <v>449.80000000000007</v>
      </c>
      <c r="O36" s="14">
        <f>N36*VLOOKUP('Données projet'!$B$9,Paramètres!$A$1:$I$89,3,0)*VLOOKUP('Données projet'!$B$9,Paramètres!$A$1:$I$89,5,0)</f>
        <v>251.43820000000002</v>
      </c>
      <c r="P36" s="14">
        <f t="shared" si="33"/>
        <v>60.893806844597648</v>
      </c>
      <c r="Q36" s="22">
        <f t="shared" si="53"/>
        <v>543.978245254341</v>
      </c>
      <c r="R36" s="62">
        <f t="shared" si="0"/>
        <v>837.31157858767438</v>
      </c>
      <c r="S36" s="62">
        <f ca="1">AVERAGE(OFFSET($R$3,0,0,'Données projet'!$E$9+1,1))-AVERAGE(OFFSET($H$3,0,0,'Données projet'!$E$9+1,1))</f>
        <v>382.55387448074327</v>
      </c>
      <c r="T36" s="62">
        <f t="shared" si="34"/>
        <v>476.29465646955543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10.181156743607369</v>
      </c>
      <c r="AA36" s="23">
        <f>EXP(-LN(2)/25)*AA35+(1-EXP(-LN(2)/25))/(LN(2)/25)*Calculateur!V36*Calculateur!X36*VLOOKUP('Données projet'!$B$9,Paramètres!$A$1:$I$89,3,0)*0.475*44/12</f>
        <v>13.085256297770611</v>
      </c>
      <c r="AB36" s="23">
        <f>EXP(-LN(2)/2)*AB35+(1-EXP(-LN(2)/2))/(LN(2)/2)*V36*Y36*VLOOKUP('Données projet'!$B$9,Paramètres!$A$1:$I$89,3,0)*0.475*44/12</f>
        <v>4.6931269836070015</v>
      </c>
      <c r="AC36" s="24">
        <f t="shared" si="3"/>
        <v>27.959540024984982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13.6</v>
      </c>
      <c r="AI36" s="14">
        <f>IF('Données projet'!$A$62&gt;35,AI35+AH36-AQ35,IF(A36&lt;'Données projet'!$A$62,$AF$205^A36,IF(A36='Données projet'!$A$62,'Données projet'!$B$62,AI35+AH36-AQ35)))</f>
        <v>319.80000000000013</v>
      </c>
      <c r="AJ36" s="14">
        <f>AI36*VLOOKUP('Données projet'!$B$10,Paramètres!$A$1:$I$89,3,0)*VLOOKUP('Données projet'!$B$10,Paramètres!$A$1:$I$89,5,0)</f>
        <v>174.6108000000001</v>
      </c>
      <c r="AK36" s="14">
        <f t="shared" si="35"/>
        <v>44.121075539920255</v>
      </c>
      <c r="AL36" s="22">
        <f t="shared" si="4"/>
        <v>380.95801656536122</v>
      </c>
      <c r="AM36" s="62">
        <f t="shared" si="5"/>
        <v>674.29134989869453</v>
      </c>
      <c r="AN36" s="62">
        <f ca="1">AVERAGE(OFFSET($AM$3,0,0,'Données projet'!$E$10+1,1))-AVERAGE(OFFSET($H$3,0,0,'Données projet'!$E$10+1,1))</f>
        <v>240.19940780300527</v>
      </c>
      <c r="AO36" s="62">
        <f t="shared" si="36"/>
        <v>355.71054384071715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3.9313427728906918</v>
      </c>
      <c r="AV36" s="23">
        <f>EXP(-LN(2)/25)*AV35+(1-EXP(-LN(2)/25))/(LN(2)/25)*Calculateur!AQ36*Calculateur!AS36*VLOOKUP('Données projet'!$B$10,Paramètres!$A$1:$I$89,3,0)*0.475*44/12</f>
        <v>22.919618036157061</v>
      </c>
      <c r="AW36" s="23">
        <f>EXP(-LN(2)/2)*AW35+(1-EXP(-LN(2)/2))/(LN(2)/2)*AQ36*AT36*VLOOKUP('Données projet'!$B$10,Paramètres!$A$1:$I$89,3,0)*0.475*44/12</f>
        <v>5.8386082449286665</v>
      </c>
      <c r="AX36" s="23">
        <f t="shared" si="6"/>
        <v>32.68956905397642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27.6</v>
      </c>
      <c r="N37" s="14">
        <f>IF('Données projet'!$A$36&gt;35,N36+M37-V36,IF(A37&lt;'Données projet'!$A$36,$K$205^A37,IF(A37='Données projet'!$A$36,'Données projet'!$B$36,N36+M37-V36)))</f>
        <v>477.40000000000009</v>
      </c>
      <c r="O37" s="14">
        <f>N37*VLOOKUP('Données projet'!$B$9,Paramètres!$A$1:$I$89,3,0)*VLOOKUP('Données projet'!$B$9,Paramètres!$A$1:$I$89,5,0)</f>
        <v>266.86660000000006</v>
      </c>
      <c r="P37" s="14">
        <f t="shared" si="33"/>
        <v>64.183831628008477</v>
      </c>
      <c r="Q37" s="22">
        <f t="shared" si="53"/>
        <v>576.57950175211477</v>
      </c>
      <c r="R37" s="62">
        <f t="shared" si="0"/>
        <v>869.91283508544802</v>
      </c>
      <c r="S37" s="62">
        <f ca="1">AVERAGE(OFFSET($R$3,0,0,'Données projet'!$E$9+1,1))-AVERAGE(OFFSET($H$3,0,0,'Données projet'!$E$9+1,1))</f>
        <v>382.55387448074327</v>
      </c>
      <c r="T37" s="62">
        <f t="shared" si="34"/>
        <v>476.29465646955543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9.9815104697576658</v>
      </c>
      <c r="AA37" s="23">
        <f>EXP(-LN(2)/25)*AA36+(1-EXP(-LN(2)/25))/(LN(2)/25)*Calculateur!V37*Calculateur!X37*VLOOKUP('Données projet'!$B$9,Paramètres!$A$1:$I$89,3,0)*0.475*44/12</f>
        <v>12.727439276184352</v>
      </c>
      <c r="AB37" s="23">
        <f>EXP(-LN(2)/2)*AB36+(1-EXP(-LN(2)/2))/(LN(2)/2)*V37*Y37*VLOOKUP('Données projet'!$B$9,Paramètres!$A$1:$I$89,3,0)*0.475*44/12</f>
        <v>3.3185419150780779</v>
      </c>
      <c r="AC37" s="24">
        <f t="shared" si="3"/>
        <v>26.027491661020097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13.6</v>
      </c>
      <c r="AI37" s="14">
        <f>IF('Données projet'!$A$62&gt;35,AI36+AH37-AQ36,IF(A37&lt;'Données projet'!$A$62,$AF$205^A37,IF(A37='Données projet'!$A$62,'Données projet'!$B$62,AI36+AH37-AQ36)))</f>
        <v>333.40000000000015</v>
      </c>
      <c r="AJ37" s="14">
        <f>AI37*VLOOKUP('Données projet'!$B$10,Paramètres!$A$1:$I$89,3,0)*VLOOKUP('Données projet'!$B$10,Paramètres!$A$1:$I$89,5,0)</f>
        <v>182.03640000000007</v>
      </c>
      <c r="AK37" s="14">
        <f t="shared" si="35"/>
        <v>45.774950584579294</v>
      </c>
      <c r="AL37" s="22">
        <f t="shared" si="4"/>
        <v>396.77143560147573</v>
      </c>
      <c r="AM37" s="62">
        <f t="shared" si="5"/>
        <v>690.10476893480904</v>
      </c>
      <c r="AN37" s="62">
        <f ca="1">AVERAGE(OFFSET($AM$3,0,0,'Données projet'!$E$10+1,1))-AVERAGE(OFFSET($H$3,0,0,'Données projet'!$E$10+1,1))</f>
        <v>240.19940780300527</v>
      </c>
      <c r="AO37" s="62">
        <f t="shared" si="36"/>
        <v>355.71054384071715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3.8542515389966256</v>
      </c>
      <c r="AV37" s="23">
        <f>EXP(-LN(2)/25)*AV36+(1-EXP(-LN(2)/25))/(LN(2)/25)*Calculateur!AQ37*Calculateur!AS37*VLOOKUP('Données projet'!$B$10,Paramètres!$A$1:$I$89,3,0)*0.475*44/12</f>
        <v>22.292879875668017</v>
      </c>
      <c r="AW37" s="23">
        <f>EXP(-LN(2)/2)*AW36+(1-EXP(-LN(2)/2))/(LN(2)/2)*AQ37*AT37*VLOOKUP('Données projet'!$B$10,Paramètres!$A$1:$I$89,3,0)*0.475*44/12</f>
        <v>4.1285194826807468</v>
      </c>
      <c r="AX37" s="23">
        <f t="shared" si="6"/>
        <v>30.27565089734539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505</v>
      </c>
      <c r="L38" s="13">
        <f>VLOOKUP(A38,'Données projet'!$A$35:$I$55,9,0)</f>
        <v>27.6</v>
      </c>
      <c r="M38" s="13">
        <f t="array" ref="M38">INDEX(L:L,MIN(IF(ISNUMBER(L38:L234),ROW(L38:L234),"")))</f>
        <v>27.6</v>
      </c>
      <c r="N38" s="14">
        <f>IF('Données projet'!$A$36&gt;35,N37+M38-V37,IF(A38&lt;'Données projet'!$A$36,$K$205^A38,IF(A38='Données projet'!$A$36,'Données projet'!$B$36,N37+M38-V37)))</f>
        <v>505.00000000000011</v>
      </c>
      <c r="O38" s="14">
        <f>N38*VLOOKUP('Données projet'!$B$9,Paramètres!$A$1:$I$89,3,0)*VLOOKUP('Données projet'!$B$9,Paramètres!$A$1:$I$89,5,0)</f>
        <v>282.29500000000007</v>
      </c>
      <c r="P38" s="14">
        <f t="shared" si="33"/>
        <v>67.451777696853824</v>
      </c>
      <c r="Q38" s="22">
        <f t="shared" si="53"/>
        <v>609.14230448868716</v>
      </c>
      <c r="R38" s="62">
        <f t="shared" si="0"/>
        <v>902.47563782202042</v>
      </c>
      <c r="S38" s="62">
        <f ca="1">AVERAGE(OFFSET($R$3,0,0,'Données projet'!$E$9+1,1))-AVERAGE(OFFSET($H$3,0,0,'Données projet'!$E$9+1,1))</f>
        <v>382.55387448074327</v>
      </c>
      <c r="T38" s="62">
        <f t="shared" si="34"/>
        <v>476.29465646955543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69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9.7857791375659531</v>
      </c>
      <c r="AA38" s="23">
        <f>EXP(-LN(2)/25)*AA37+(1-EXP(-LN(2)/25))/(LN(2)/25)*Calculateur!V38*Calculateur!X38*VLOOKUP('Données projet'!$B$9,Paramètres!$A$1:$I$89,3,0)*0.475*44/12</f>
        <v>12.379406779870148</v>
      </c>
      <c r="AB38" s="23">
        <f>EXP(-LN(2)/2)*AB37+(1-EXP(-LN(2)/2))/(LN(2)/2)*V38*Y38*VLOOKUP('Données projet'!$B$9,Paramètres!$A$1:$I$89,3,0)*0.475*44/12</f>
        <v>2.3465634918035012</v>
      </c>
      <c r="AC38" s="24">
        <f t="shared" si="3"/>
        <v>24.511749409239602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347</v>
      </c>
      <c r="AG38" s="13">
        <f>VLOOKUP(A38,'Données projet'!$A$61:$I$81,9,0)</f>
        <v>13.6</v>
      </c>
      <c r="AH38" s="13">
        <f t="array" ref="AH38">INDEX(AG:AG,MIN(IF(ISNUMBER(AG38:AG234),ROW(AG38:AG234),"")))</f>
        <v>13.6</v>
      </c>
      <c r="AI38" s="14">
        <f>IF('Données projet'!$A$62&gt;35,AI37+AH38-AQ37,IF(A38&lt;'Données projet'!$A$62,$AF$205^A38,IF(A38='Données projet'!$A$62,'Données projet'!$B$62,AI37+AH38-AQ37)))</f>
        <v>347.00000000000017</v>
      </c>
      <c r="AJ38" s="14">
        <f>AI38*VLOOKUP('Données projet'!$B$10,Paramètres!$A$1:$I$89,3,0)*VLOOKUP('Données projet'!$B$10,Paramètres!$A$1:$I$89,5,0)</f>
        <v>189.4620000000001</v>
      </c>
      <c r="AK38" s="14">
        <f t="shared" si="35"/>
        <v>47.420989067433958</v>
      </c>
      <c r="AL38" s="22">
        <f t="shared" si="4"/>
        <v>412.57120595911425</v>
      </c>
      <c r="AM38" s="62">
        <f t="shared" si="5"/>
        <v>705.90453929244757</v>
      </c>
      <c r="AN38" s="62">
        <f ca="1">AVERAGE(OFFSET($AM$3,0,0,'Données projet'!$E$10+1,1))-AVERAGE(OFFSET($H$3,0,0,'Données projet'!$E$10+1,1))</f>
        <v>240.19940780300527</v>
      </c>
      <c r="AO38" s="62">
        <f t="shared" si="36"/>
        <v>355.71054384071715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38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3.7786720171782124</v>
      </c>
      <c r="AV38" s="23">
        <f>EXP(-LN(2)/25)*AV37+(1-EXP(-LN(2)/25))/(LN(2)/25)*Calculateur!AQ38*Calculateur!AS38*VLOOKUP('Données projet'!$B$10,Paramètres!$A$1:$I$89,3,0)*0.475*44/12</f>
        <v>21.683279903136274</v>
      </c>
      <c r="AW38" s="23">
        <f>EXP(-LN(2)/2)*AW37+(1-EXP(-LN(2)/2))/(LN(2)/2)*AQ38*AT38*VLOOKUP('Données projet'!$B$10,Paramètres!$A$1:$I$89,3,0)*0.475*44/12</f>
        <v>2.9193041224643332</v>
      </c>
      <c r="AX38" s="23">
        <f t="shared" si="6"/>
        <v>28.381256042778819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25.6</v>
      </c>
      <c r="N39" s="14">
        <f>IF('Données projet'!$A$36&gt;35,N38+M39-V38,IF(A39&lt;'Données projet'!$A$36,$K$205^A39,IF(A39='Données projet'!$A$36,'Données projet'!$B$36,N38+M39-V38)))</f>
        <v>461.60000000000014</v>
      </c>
      <c r="O39" s="14">
        <f>N39*VLOOKUP('Données projet'!$B$9,Paramètres!$A$1:$I$89,3,0)*VLOOKUP('Données projet'!$B$9,Paramètres!$A$1:$I$89,5,0)</f>
        <v>258.03440000000006</v>
      </c>
      <c r="P39" s="14">
        <f t="shared" si="33"/>
        <v>62.303206596431174</v>
      </c>
      <c r="Q39" s="22">
        <f t="shared" si="53"/>
        <v>557.9213314887844</v>
      </c>
      <c r="R39" s="62">
        <f t="shared" si="0"/>
        <v>851.25466482211777</v>
      </c>
      <c r="S39" s="62">
        <f ca="1">AVERAGE(OFFSET($R$3,0,0,'Données projet'!$E$9+1,1))-AVERAGE(OFFSET($H$3,0,0,'Données projet'!$E$9+1,1))</f>
        <v>382.55387448074327</v>
      </c>
      <c r="T39" s="62">
        <f t="shared" si="34"/>
        <v>476.29465646955543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9.5938859774141942</v>
      </c>
      <c r="AA39" s="23">
        <f>EXP(-LN(2)/25)*AA38+(1-EXP(-LN(2)/25))/(LN(2)/25)*Calculateur!V39*Calculateur!X39*VLOOKUP('Données projet'!$B$9,Paramètres!$A$1:$I$89,3,0)*0.475*44/12</f>
        <v>12.04089125046989</v>
      </c>
      <c r="AB39" s="23">
        <f>EXP(-LN(2)/2)*AB38+(1-EXP(-LN(2)/2))/(LN(2)/2)*V39*Y39*VLOOKUP('Données projet'!$B$9,Paramètres!$A$1:$I$89,3,0)*0.475*44/12</f>
        <v>1.6592709575390394</v>
      </c>
      <c r="AC39" s="24">
        <f t="shared" si="3"/>
        <v>23.294048185423126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10.199999999999999</v>
      </c>
      <c r="AI39" s="14">
        <f>IF('Données projet'!$A$62&gt;35,AI38+AH39-AQ38,IF(A39&lt;'Données projet'!$A$62,$AF$205^A39,IF(A39='Données projet'!$A$62,'Données projet'!$B$62,AI38+AH39-AQ38)))</f>
        <v>319.20000000000016</v>
      </c>
      <c r="AJ39" s="14">
        <f>AI39*VLOOKUP('Données projet'!$B$10,Paramètres!$A$1:$I$89,3,0)*VLOOKUP('Données projet'!$B$10,Paramètres!$A$1:$I$89,5,0)</f>
        <v>174.28320000000008</v>
      </c>
      <c r="AK39" s="14">
        <f t="shared" si="35"/>
        <v>44.047924241116156</v>
      </c>
      <c r="AL39" s="22">
        <f t="shared" si="4"/>
        <v>380.26004138661079</v>
      </c>
      <c r="AM39" s="62">
        <f t="shared" si="5"/>
        <v>673.59337471994411</v>
      </c>
      <c r="AN39" s="62">
        <f ca="1">AVERAGE(OFFSET($AM$3,0,0,'Données projet'!$E$10+1,1))-AVERAGE(OFFSET($H$3,0,0,'Données projet'!$E$10+1,1))</f>
        <v>240.19940780300527</v>
      </c>
      <c r="AO39" s="62">
        <f t="shared" si="36"/>
        <v>355.71054384071715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3.704574563683702</v>
      </c>
      <c r="AV39" s="23">
        <f>EXP(-LN(2)/25)*AV38+(1-EXP(-LN(2)/25))/(LN(2)/25)*Calculateur!AQ39*Calculateur!AS39*VLOOKUP('Données projet'!$B$10,Paramètres!$A$1:$I$89,3,0)*0.475*44/12</f>
        <v>21.09034947391088</v>
      </c>
      <c r="AW39" s="23">
        <f>EXP(-LN(2)/2)*AW38+(1-EXP(-LN(2)/2))/(LN(2)/2)*AQ39*AT39*VLOOKUP('Données projet'!$B$10,Paramètres!$A$1:$I$89,3,0)*0.475*44/12</f>
        <v>2.0642597413403734</v>
      </c>
      <c r="AX39" s="23">
        <f t="shared" si="6"/>
        <v>26.859183778934955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25.6</v>
      </c>
      <c r="N40" s="14">
        <f>IF('Données projet'!$A$36&gt;35,N39+M40-V39,IF(A40&lt;'Données projet'!$A$36,$K$205^A40,IF(A40='Données projet'!$A$36,'Données projet'!$B$36,N39+M40-V39)))</f>
        <v>487.20000000000016</v>
      </c>
      <c r="O40" s="14">
        <f>N40*VLOOKUP('Données projet'!$B$9,Paramètres!$A$1:$I$89,3,0)*VLOOKUP('Données projet'!$B$9,Paramètres!$A$1:$I$89,5,0)</f>
        <v>272.34480000000008</v>
      </c>
      <c r="P40" s="14">
        <f t="shared" si="33"/>
        <v>65.346644318451709</v>
      </c>
      <c r="Q40" s="22">
        <f t="shared" si="53"/>
        <v>588.14593218797006</v>
      </c>
      <c r="R40" s="62">
        <f t="shared" si="0"/>
        <v>881.47926552130343</v>
      </c>
      <c r="S40" s="62">
        <f ca="1">AVERAGE(OFFSET($R$3,0,0,'Données projet'!$E$9+1,1))-AVERAGE(OFFSET($H$3,0,0,'Données projet'!$E$9+1,1))</f>
        <v>382.55387448074327</v>
      </c>
      <c r="T40" s="62">
        <f t="shared" si="34"/>
        <v>476.29465646955543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9.4057557250897421</v>
      </c>
      <c r="AA40" s="23">
        <f>EXP(-LN(2)/25)*AA39+(1-EXP(-LN(2)/25))/(LN(2)/25)*Calculateur!V40*Calculateur!X40*VLOOKUP('Données projet'!$B$9,Paramètres!$A$1:$I$89,3,0)*0.475*44/12</f>
        <v>11.71163244602284</v>
      </c>
      <c r="AB40" s="23">
        <f>EXP(-LN(2)/2)*AB39+(1-EXP(-LN(2)/2))/(LN(2)/2)*V40*Y40*VLOOKUP('Données projet'!$B$9,Paramètres!$A$1:$I$89,3,0)*0.475*44/12</f>
        <v>1.1732817459017508</v>
      </c>
      <c r="AC40" s="24">
        <f t="shared" si="3"/>
        <v>22.290669917014331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10.199999999999999</v>
      </c>
      <c r="AI40" s="14">
        <f>IF('Données projet'!$A$62&gt;35,AI39+AH40-AQ39,IF(A40&lt;'Données projet'!$A$62,$AF$205^A40,IF(A40='Données projet'!$A$62,'Données projet'!$B$62,AI39+AH40-AQ39)))</f>
        <v>329.40000000000015</v>
      </c>
      <c r="AJ40" s="14">
        <f>AI40*VLOOKUP('Données projet'!$B$10,Paramètres!$A$1:$I$89,3,0)*VLOOKUP('Données projet'!$B$10,Paramètres!$A$1:$I$89,5,0)</f>
        <v>179.8524000000001</v>
      </c>
      <c r="AK40" s="14">
        <f t="shared" si="35"/>
        <v>45.289346318280131</v>
      </c>
      <c r="AL40" s="22">
        <f t="shared" si="4"/>
        <v>392.12187483767138</v>
      </c>
      <c r="AM40" s="62">
        <f t="shared" si="5"/>
        <v>685.45520817100464</v>
      </c>
      <c r="AN40" s="62">
        <f ca="1">AVERAGE(OFFSET($AM$3,0,0,'Données projet'!$E$10+1,1))-AVERAGE(OFFSET($H$3,0,0,'Données projet'!$E$10+1,1))</f>
        <v>240.19940780300527</v>
      </c>
      <c r="AO40" s="62">
        <f t="shared" si="36"/>
        <v>355.71054384071715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3.6319301160572346</v>
      </c>
      <c r="AV40" s="23">
        <f>EXP(-LN(2)/25)*AV39+(1-EXP(-LN(2)/25))/(LN(2)/25)*Calculateur!AQ40*Calculateur!AS40*VLOOKUP('Données projet'!$B$10,Paramètres!$A$1:$I$89,3,0)*0.475*44/12</f>
        <v>20.513632758453511</v>
      </c>
      <c r="AW40" s="23">
        <f>EXP(-LN(2)/2)*AW39+(1-EXP(-LN(2)/2))/(LN(2)/2)*AQ40*AT40*VLOOKUP('Données projet'!$B$10,Paramètres!$A$1:$I$89,3,0)*0.475*44/12</f>
        <v>1.4596520612321666</v>
      </c>
      <c r="AX40" s="23">
        <f t="shared" si="6"/>
        <v>25.605214935742911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25.6</v>
      </c>
      <c r="N41" s="14">
        <f>IF('Données projet'!$A$36&gt;35,N40+M41-V40,IF(A41&lt;'Données projet'!$A$36,$K$205^A41,IF(A41='Données projet'!$A$36,'Données projet'!$B$36,N40+M41-V40)))</f>
        <v>512.80000000000018</v>
      </c>
      <c r="O41" s="14">
        <f>N41*VLOOKUP('Données projet'!$B$9,Paramètres!$A$1:$I$89,3,0)*VLOOKUP('Données projet'!$B$9,Paramètres!$A$1:$I$89,5,0)</f>
        <v>286.65520000000009</v>
      </c>
      <c r="P41" s="14">
        <f t="shared" si="33"/>
        <v>68.37151538584105</v>
      </c>
      <c r="Q41" s="22">
        <f t="shared" si="53"/>
        <v>618.33819596367323</v>
      </c>
      <c r="R41" s="62">
        <f t="shared" si="0"/>
        <v>911.6715292970066</v>
      </c>
      <c r="S41" s="62">
        <f ca="1">AVERAGE(OFFSET($R$3,0,0,'Données projet'!$E$9+1,1))-AVERAGE(OFFSET($H$3,0,0,'Données projet'!$E$9+1,1))</f>
        <v>382.55387448074327</v>
      </c>
      <c r="T41" s="62">
        <f t="shared" si="34"/>
        <v>476.29465646955543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9.221314592265248</v>
      </c>
      <c r="AA41" s="23">
        <f>EXP(-LN(2)/25)*AA40+(1-EXP(-LN(2)/25))/(LN(2)/25)*Calculateur!V41*Calculateur!X41*VLOOKUP('Données projet'!$B$9,Paramètres!$A$1:$I$89,3,0)*0.475*44/12</f>
        <v>11.391377240898363</v>
      </c>
      <c r="AB41" s="23">
        <f>EXP(-LN(2)/2)*AB40+(1-EXP(-LN(2)/2))/(LN(2)/2)*V41*Y41*VLOOKUP('Données projet'!$B$9,Paramètres!$A$1:$I$89,3,0)*0.475*44/12</f>
        <v>0.82963547876951982</v>
      </c>
      <c r="AC41" s="24">
        <f t="shared" si="3"/>
        <v>21.442327311933131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10.199999999999999</v>
      </c>
      <c r="AI41" s="14">
        <f>IF('Données projet'!$A$62&gt;35,AI40+AH41-AQ40,IF(A41&lt;'Données projet'!$A$62,$AF$205^A41,IF(A41='Données projet'!$A$62,'Données projet'!$B$62,AI40+AH41-AQ40)))</f>
        <v>339.60000000000014</v>
      </c>
      <c r="AJ41" s="14">
        <f>AI41*VLOOKUP('Données projet'!$B$10,Paramètres!$A$1:$I$89,3,0)*VLOOKUP('Données projet'!$B$10,Paramètres!$A$1:$I$89,5,0)</f>
        <v>185.4216000000001</v>
      </c>
      <c r="AK41" s="14">
        <f t="shared" si="35"/>
        <v>46.526301148997497</v>
      </c>
      <c r="AL41" s="22">
        <f t="shared" si="4"/>
        <v>403.97592783450415</v>
      </c>
      <c r="AM41" s="62">
        <f t="shared" si="5"/>
        <v>697.30926116783746</v>
      </c>
      <c r="AN41" s="62">
        <f ca="1">AVERAGE(OFFSET($AM$3,0,0,'Données projet'!$E$10+1,1))-AVERAGE(OFFSET($H$3,0,0,'Données projet'!$E$10+1,1))</f>
        <v>240.19940780300527</v>
      </c>
      <c r="AO41" s="62">
        <f t="shared" si="36"/>
        <v>355.71054384071715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3.5607101817399842</v>
      </c>
      <c r="AV41" s="23">
        <f>EXP(-LN(2)/25)*AV40+(1-EXP(-LN(2)/25))/(LN(2)/25)*Calculateur!AQ41*Calculateur!AS41*VLOOKUP('Données projet'!$B$10,Paramètres!$A$1:$I$89,3,0)*0.475*44/12</f>
        <v>19.952686391908536</v>
      </c>
      <c r="AW41" s="23">
        <f>EXP(-LN(2)/2)*AW40+(1-EXP(-LN(2)/2))/(LN(2)/2)*AQ41*AT41*VLOOKUP('Données projet'!$B$10,Paramètres!$A$1:$I$89,3,0)*0.475*44/12</f>
        <v>1.0321298706701867</v>
      </c>
      <c r="AX41" s="23">
        <f t="shared" si="6"/>
        <v>24.545526444318707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25.6</v>
      </c>
      <c r="N42" s="14">
        <f>IF('Données projet'!$A$36&gt;35,N41+M42-V41,IF(A42&lt;'Données projet'!$A$36,$K$205^A42,IF(A42='Données projet'!$A$36,'Données projet'!$B$36,N41+M42-V41)))</f>
        <v>538.4000000000002</v>
      </c>
      <c r="O42" s="14">
        <f>N42*VLOOKUP('Données projet'!$B$9,Paramètres!$A$1:$I$89,3,0)*VLOOKUP('Données projet'!$B$9,Paramètres!$A$1:$I$89,5,0)</f>
        <v>300.96560000000011</v>
      </c>
      <c r="P42" s="14">
        <f t="shared" si="33"/>
        <v>71.378852450242803</v>
      </c>
      <c r="Q42" s="22">
        <f t="shared" si="53"/>
        <v>648.49992135083971</v>
      </c>
      <c r="R42" s="62">
        <f t="shared" si="0"/>
        <v>941.83325468417297</v>
      </c>
      <c r="S42" s="62">
        <f ca="1">AVERAGE(OFFSET($R$3,0,0,'Données projet'!$E$9+1,1))-AVERAGE(OFFSET($H$3,0,0,'Données projet'!$E$9+1,1))</f>
        <v>382.55387448074327</v>
      </c>
      <c r="T42" s="62">
        <f t="shared" si="34"/>
        <v>476.29465646955543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9.0404902375574601</v>
      </c>
      <c r="AA42" s="23">
        <f>EXP(-LN(2)/25)*AA41+(1-EXP(-LN(2)/25))/(LN(2)/25)*Calculateur!V42*Calculateur!X42*VLOOKUP('Données projet'!$B$9,Paramètres!$A$1:$I$89,3,0)*0.475*44/12</f>
        <v>11.079879431199503</v>
      </c>
      <c r="AB42" s="23">
        <f>EXP(-LN(2)/2)*AB41+(1-EXP(-LN(2)/2))/(LN(2)/2)*V42*Y42*VLOOKUP('Données projet'!$B$9,Paramètres!$A$1:$I$89,3,0)*0.475*44/12</f>
        <v>0.58664087295087552</v>
      </c>
      <c r="AC42" s="24">
        <f t="shared" si="3"/>
        <v>20.707010541707842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10.199999999999999</v>
      </c>
      <c r="AI42" s="14">
        <f>IF('Données projet'!$A$62&gt;35,AI41+AH42-AQ41,IF(A42&lt;'Données projet'!$A$62,$AF$205^A42,IF(A42='Données projet'!$A$62,'Données projet'!$B$62,AI41+AH42-AQ41)))</f>
        <v>349.80000000000013</v>
      </c>
      <c r="AJ42" s="14">
        <f>AI42*VLOOKUP('Données projet'!$B$10,Paramètres!$A$1:$I$89,3,0)*VLOOKUP('Données projet'!$B$10,Paramètres!$A$1:$I$89,5,0)</f>
        <v>190.99080000000006</v>
      </c>
      <c r="AK42" s="14">
        <f t="shared" si="35"/>
        <v>47.75893831057796</v>
      </c>
      <c r="AL42" s="22">
        <f t="shared" si="4"/>
        <v>415.82246089092337</v>
      </c>
      <c r="AM42" s="62">
        <f t="shared" si="5"/>
        <v>709.15579422425662</v>
      </c>
      <c r="AN42" s="62">
        <f ca="1">AVERAGE(OFFSET($AM$3,0,0,'Données projet'!$E$10+1,1))-AVERAGE(OFFSET($H$3,0,0,'Données projet'!$E$10+1,1))</f>
        <v>240.19940780300527</v>
      </c>
      <c r="AO42" s="62">
        <f t="shared" si="36"/>
        <v>355.71054384071715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3.4908868268948248</v>
      </c>
      <c r="AV42" s="23">
        <f>EXP(-LN(2)/25)*AV41+(1-EXP(-LN(2)/25))/(LN(2)/25)*Calculateur!AQ42*Calculateur!AS42*VLOOKUP('Données projet'!$B$10,Paramètres!$A$1:$I$89,3,0)*0.475*44/12</f>
        <v>19.407079133255621</v>
      </c>
      <c r="AW42" s="23">
        <f>EXP(-LN(2)/2)*AW41+(1-EXP(-LN(2)/2))/(LN(2)/2)*AQ42*AT42*VLOOKUP('Données projet'!$B$10,Paramètres!$A$1:$I$89,3,0)*0.475*44/12</f>
        <v>0.72982603061608331</v>
      </c>
      <c r="AX42" s="23">
        <f t="shared" si="6"/>
        <v>23.627791990766532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564</v>
      </c>
      <c r="L43" s="13">
        <f>VLOOKUP(A43,'Données projet'!$A$35:$I$55,9,0)</f>
        <v>25.6</v>
      </c>
      <c r="M43" s="13">
        <f t="array" ref="M43">INDEX(L:L,MIN(IF(ISNUMBER(L43:L239),ROW(L43:L239),"")))</f>
        <v>25.6</v>
      </c>
      <c r="N43" s="14">
        <f>IF('Données projet'!$A$36&gt;35,N42+M43-V42,IF(A43&lt;'Données projet'!$A$36,$K$205^A43,IF(A43='Données projet'!$A$36,'Données projet'!$B$36,N42+M43-V42)))</f>
        <v>564.00000000000023</v>
      </c>
      <c r="O43" s="14">
        <f>N43*VLOOKUP('Données projet'!$B$9,Paramètres!$A$1:$I$89,3,0)*VLOOKUP('Données projet'!$B$9,Paramètres!$A$1:$I$89,5,0)</f>
        <v>315.27600000000012</v>
      </c>
      <c r="P43" s="14">
        <f t="shared" si="33"/>
        <v>74.36958441265493</v>
      </c>
      <c r="Q43" s="22">
        <f t="shared" si="53"/>
        <v>678.63272618537417</v>
      </c>
      <c r="R43" s="62">
        <f t="shared" si="0"/>
        <v>971.96605951870743</v>
      </c>
      <c r="S43" s="62">
        <f ca="1">AVERAGE(OFFSET($R$3,0,0,'Données projet'!$E$9+1,1))-AVERAGE(OFFSET($H$3,0,0,'Données projet'!$E$9+1,1))</f>
        <v>382.55387448074327</v>
      </c>
      <c r="T43" s="62">
        <f t="shared" si="34"/>
        <v>476.29465646955543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72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8.8632117381535256</v>
      </c>
      <c r="AA43" s="23">
        <f>EXP(-LN(2)/25)*AA42+(1-EXP(-LN(2)/25))/(LN(2)/25)*Calculateur!V43*Calculateur!X43*VLOOKUP('Données projet'!$B$9,Paramètres!$A$1:$I$89,3,0)*0.475*44/12</f>
        <v>10.776899545487817</v>
      </c>
      <c r="AB43" s="23">
        <f>EXP(-LN(2)/2)*AB42+(1-EXP(-LN(2)/2))/(LN(2)/2)*V43*Y43*VLOOKUP('Données projet'!$B$9,Paramètres!$A$1:$I$89,3,0)*0.475*44/12</f>
        <v>0.41481773938476002</v>
      </c>
      <c r="AC43" s="24">
        <f t="shared" si="3"/>
        <v>20.054929023026101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360</v>
      </c>
      <c r="AG43" s="13">
        <f>VLOOKUP(A43,'Données projet'!$A$61:$I$81,9,0)</f>
        <v>10.199999999999999</v>
      </c>
      <c r="AH43" s="13">
        <f t="array" ref="AH43">INDEX(AG:AG,MIN(IF(ISNUMBER(AG43:AG239),ROW(AG43:AG239),"")))</f>
        <v>10.199999999999999</v>
      </c>
      <c r="AI43" s="14">
        <f>IF('Données projet'!$A$62&gt;35,AI42+AH43-AQ42,IF(A43&lt;'Données projet'!$A$62,$AF$205^A43,IF(A43='Données projet'!$A$62,'Données projet'!$B$62,AI42+AH43-AQ42)))</f>
        <v>360.00000000000011</v>
      </c>
      <c r="AJ43" s="14">
        <f>AI43*VLOOKUP('Données projet'!$B$10,Paramètres!$A$1:$I$89,3,0)*VLOOKUP('Données projet'!$B$10,Paramètres!$A$1:$I$89,5,0)</f>
        <v>196.56000000000006</v>
      </c>
      <c r="AK43" s="14">
        <f t="shared" si="35"/>
        <v>48.987398161128134</v>
      </c>
      <c r="AL43" s="22">
        <f t="shared" si="4"/>
        <v>427.66171846396492</v>
      </c>
      <c r="AM43" s="62">
        <f t="shared" si="5"/>
        <v>720.99505179729817</v>
      </c>
      <c r="AN43" s="62">
        <f ca="1">AVERAGE(OFFSET($AM$3,0,0,'Données projet'!$E$10+1,1))-AVERAGE(OFFSET($H$3,0,0,'Données projet'!$E$10+1,1))</f>
        <v>240.19940780300527</v>
      </c>
      <c r="AO43" s="62">
        <f t="shared" si="36"/>
        <v>355.71054384071715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3.4224326654501378</v>
      </c>
      <c r="AV43" s="23">
        <f>EXP(-LN(2)/25)*AV42+(1-EXP(-LN(2)/25))/(LN(2)/25)*Calculateur!AQ43*Calculateur!AS43*VLOOKUP('Données projet'!$B$10,Paramètres!$A$1:$I$89,3,0)*0.475*44/12</f>
        <v>18.876391533782812</v>
      </c>
      <c r="AW43" s="23">
        <f>EXP(-LN(2)/2)*AW42+(1-EXP(-LN(2)/2))/(LN(2)/2)*AQ43*AT43*VLOOKUP('Données projet'!$B$10,Paramètres!$A$1:$I$89,3,0)*0.475*44/12</f>
        <v>0.51606493533509334</v>
      </c>
      <c r="AX43" s="23">
        <f t="shared" si="6"/>
        <v>22.814889134568045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</v>
      </c>
      <c r="N44" s="14">
        <f>IF('Données projet'!$A$36&gt;35,N43+M44-V43,IF(A44&lt;'Données projet'!$A$36,$K$205^A44,IF(A44='Données projet'!$A$36,'Données projet'!$B$36,N43+M44-V43)))</f>
        <v>514.80000000000018</v>
      </c>
      <c r="O44" s="14">
        <f>N44*VLOOKUP('Données projet'!$B$9,Paramètres!$A$1:$I$89,3,0)*VLOOKUP('Données projet'!$B$9,Paramètres!$A$1:$I$89,5,0)</f>
        <v>287.77320000000009</v>
      </c>
      <c r="P44" s="14">
        <f t="shared" si="33"/>
        <v>68.607082381743922</v>
      </c>
      <c r="Q44" s="22">
        <f t="shared" si="53"/>
        <v>620.69565848153741</v>
      </c>
      <c r="R44" s="62">
        <f t="shared" si="0"/>
        <v>914.02899181487078</v>
      </c>
      <c r="S44" s="62">
        <f ca="1">AVERAGE(OFFSET($R$3,0,0,'Données projet'!$E$9+1,1))-AVERAGE(OFFSET($H$3,0,0,'Données projet'!$E$9+1,1))</f>
        <v>382.55387448074327</v>
      </c>
      <c r="T44" s="62">
        <f t="shared" si="34"/>
        <v>476.29465646955543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8.6894095619936937</v>
      </c>
      <c r="AA44" s="23">
        <f>EXP(-LN(2)/25)*AA43+(1-EXP(-LN(2)/25))/(LN(2)/25)*Calculateur!V44*Calculateur!X44*VLOOKUP('Données projet'!$B$9,Paramètres!$A$1:$I$89,3,0)*0.475*44/12</f>
        <v>10.482204660683937</v>
      </c>
      <c r="AB44" s="23">
        <f>EXP(-LN(2)/2)*AB43+(1-EXP(-LN(2)/2))/(LN(2)/2)*V44*Y44*VLOOKUP('Données projet'!$B$9,Paramètres!$A$1:$I$89,3,0)*0.475*44/12</f>
        <v>0.29332043647543782</v>
      </c>
      <c r="AC44" s="24">
        <f t="shared" si="3"/>
        <v>19.464934659153069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7.4</v>
      </c>
      <c r="AI44" s="14">
        <f>IF('Données projet'!$A$62&gt;35,AI43+AH44-AQ43,IF(A44&lt;'Données projet'!$A$62,$AF$205^A44,IF(A44='Données projet'!$A$62,'Données projet'!$B$62,AI43+AH44-AQ43)))</f>
        <v>339.40000000000009</v>
      </c>
      <c r="AJ44" s="14">
        <f>AI44*VLOOKUP('Données projet'!$B$10,Paramètres!$A$1:$I$89,3,0)*VLOOKUP('Données projet'!$B$10,Paramètres!$A$1:$I$89,5,0)</f>
        <v>185.31240000000005</v>
      </c>
      <c r="AK44" s="14">
        <f t="shared" si="35"/>
        <v>46.50208910594877</v>
      </c>
      <c r="AL44" s="22">
        <f t="shared" si="4"/>
        <v>403.74356852619422</v>
      </c>
      <c r="AM44" s="62">
        <f t="shared" si="5"/>
        <v>697.07690185952754</v>
      </c>
      <c r="AN44" s="62">
        <f ca="1">AVERAGE(OFFSET($AM$3,0,0,'Données projet'!$E$10+1,1))-AVERAGE(OFFSET($H$3,0,0,'Données projet'!$E$10+1,1))</f>
        <v>240.19940780300527</v>
      </c>
      <c r="AO44" s="62">
        <f t="shared" si="36"/>
        <v>355.71054384071715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3.3553208483584651</v>
      </c>
      <c r="AV44" s="23">
        <f>EXP(-LN(2)/25)*AV43+(1-EXP(-LN(2)/25))/(LN(2)/25)*Calculateur!AQ44*Calculateur!AS44*VLOOKUP('Données projet'!$B$10,Paramètres!$A$1:$I$89,3,0)*0.475*44/12</f>
        <v>18.360215614625233</v>
      </c>
      <c r="AW44" s="23">
        <f>EXP(-LN(2)/2)*AW43+(1-EXP(-LN(2)/2))/(LN(2)/2)*AQ44*AT44*VLOOKUP('Données projet'!$B$10,Paramètres!$A$1:$I$89,3,0)*0.475*44/12</f>
        <v>0.36491301530804165</v>
      </c>
      <c r="AX44" s="23">
        <f t="shared" si="6"/>
        <v>22.08044947829174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22.8</v>
      </c>
      <c r="N45" s="14">
        <f>IF('Données projet'!$A$36&gt;35,N44+M45-V44,IF(A45&lt;'Données projet'!$A$36,$K$205^A45,IF(A45='Données projet'!$A$36,'Données projet'!$B$36,N44+M45-V44)))</f>
        <v>537.60000000000014</v>
      </c>
      <c r="O45" s="14">
        <f>N45*VLOOKUP('Données projet'!$B$9,Paramètres!$A$1:$I$89,3,0)*VLOOKUP('Données projet'!$B$9,Paramètres!$A$1:$I$89,5,0)</f>
        <v>300.5184000000001</v>
      </c>
      <c r="P45" s="14">
        <f t="shared" si="33"/>
        <v>71.285129105116411</v>
      </c>
      <c r="Q45" s="22">
        <f t="shared" si="53"/>
        <v>647.55781319141124</v>
      </c>
      <c r="R45" s="62">
        <f t="shared" si="0"/>
        <v>940.8911465247445</v>
      </c>
      <c r="S45" s="62">
        <f ca="1">AVERAGE(OFFSET($R$3,0,0,'Données projet'!$E$9+1,1))-AVERAGE(OFFSET($H$3,0,0,'Données projet'!$E$9+1,1))</f>
        <v>382.55387448074327</v>
      </c>
      <c r="T45" s="62">
        <f t="shared" si="34"/>
        <v>476.29465646955543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8.5190155404994972</v>
      </c>
      <c r="AA45" s="23">
        <f>EXP(-LN(2)/25)*AA44+(1-EXP(-LN(2)/25))/(LN(2)/25)*Calculateur!V45*Calculateur!X45*VLOOKUP('Données projet'!$B$9,Paramètres!$A$1:$I$89,3,0)*0.475*44/12</f>
        <v>10.195568223002349</v>
      </c>
      <c r="AB45" s="23">
        <f>EXP(-LN(2)/2)*AB44+(1-EXP(-LN(2)/2))/(LN(2)/2)*V45*Y45*VLOOKUP('Données projet'!$B$9,Paramètres!$A$1:$I$89,3,0)*0.475*44/12</f>
        <v>0.20740886969238004</v>
      </c>
      <c r="AC45" s="24">
        <f t="shared" si="3"/>
        <v>18.921992633194225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7.4</v>
      </c>
      <c r="AI45" s="14">
        <f>IF('Données projet'!$A$62&gt;35,AI44+AH45-AQ44,IF(A45&lt;'Données projet'!$A$62,$AF$205^A45,IF(A45='Données projet'!$A$62,'Données projet'!$B$62,AI44+AH45-AQ44)))</f>
        <v>346.80000000000007</v>
      </c>
      <c r="AJ45" s="14">
        <f>AI45*VLOOKUP('Données projet'!$B$10,Paramètres!$A$1:$I$89,3,0)*VLOOKUP('Données projet'!$B$10,Paramètres!$A$1:$I$89,5,0)</f>
        <v>189.35280000000006</v>
      </c>
      <c r="AK45" s="14">
        <f t="shared" si="35"/>
        <v>47.396837717691596</v>
      </c>
      <c r="AL45" s="22">
        <f t="shared" si="4"/>
        <v>412.33895235831295</v>
      </c>
      <c r="AM45" s="62">
        <f t="shared" si="5"/>
        <v>705.67228569164627</v>
      </c>
      <c r="AN45" s="62">
        <f ca="1">AVERAGE(OFFSET($AM$3,0,0,'Données projet'!$E$10+1,1))-AVERAGE(OFFSET($H$3,0,0,'Données projet'!$E$10+1,1))</f>
        <v>240.19940780300527</v>
      </c>
      <c r="AO45" s="62">
        <f t="shared" si="36"/>
        <v>355.71054384071715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3.2895250530657938</v>
      </c>
      <c r="AV45" s="23">
        <f>EXP(-LN(2)/25)*AV44+(1-EXP(-LN(2)/25))/(LN(2)/25)*Calculateur!AQ45*Calculateur!AS45*VLOOKUP('Données projet'!$B$10,Paramètres!$A$1:$I$89,3,0)*0.475*44/12</f>
        <v>17.85815455312153</v>
      </c>
      <c r="AW45" s="23">
        <f>EXP(-LN(2)/2)*AW44+(1-EXP(-LN(2)/2))/(LN(2)/2)*AQ45*AT45*VLOOKUP('Données projet'!$B$10,Paramètres!$A$1:$I$89,3,0)*0.475*44/12</f>
        <v>0.25803246766754667</v>
      </c>
      <c r="AX45" s="23">
        <f t="shared" si="6"/>
        <v>21.405712073854872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22.8</v>
      </c>
      <c r="N46" s="14">
        <f>IF('Données projet'!$A$36&gt;35,N45+M46-V45,IF(A46&lt;'Données projet'!$A$36,$K$205^A46,IF(A46='Données projet'!$A$36,'Données projet'!$B$36,N45+M46-V45)))</f>
        <v>560.40000000000009</v>
      </c>
      <c r="O46" s="14">
        <f>N46*VLOOKUP('Données projet'!$B$9,Paramètres!$A$1:$I$89,3,0)*VLOOKUP('Données projet'!$B$9,Paramètres!$A$1:$I$89,5,0)</f>
        <v>313.26360000000005</v>
      </c>
      <c r="P46" s="14">
        <f t="shared" si="33"/>
        <v>73.949983766039026</v>
      </c>
      <c r="Q46" s="22">
        <f t="shared" si="53"/>
        <v>674.39699172585131</v>
      </c>
      <c r="R46" s="62">
        <f t="shared" si="0"/>
        <v>967.73032505918468</v>
      </c>
      <c r="S46" s="62">
        <f ca="1">AVERAGE(OFFSET($R$3,0,0,'Données projet'!$E$9+1,1))-AVERAGE(OFFSET($H$3,0,0,'Données projet'!$E$9+1,1))</f>
        <v>382.55387448074327</v>
      </c>
      <c r="T46" s="62">
        <f t="shared" si="34"/>
        <v>476.29465646955543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8.3519628418367109</v>
      </c>
      <c r="AA46" s="23">
        <f>EXP(-LN(2)/25)*AA45+(1-EXP(-LN(2)/25))/(LN(2)/25)*Calculateur!V46*Calculateur!X46*VLOOKUP('Données projet'!$B$9,Paramètres!$A$1:$I$89,3,0)*0.475*44/12</f>
        <v>9.9167698737827195</v>
      </c>
      <c r="AB46" s="23">
        <f>EXP(-LN(2)/2)*AB45+(1-EXP(-LN(2)/2))/(LN(2)/2)*V46*Y46*VLOOKUP('Données projet'!$B$9,Paramètres!$A$1:$I$89,3,0)*0.475*44/12</f>
        <v>0.14666021823771894</v>
      </c>
      <c r="AC46" s="24">
        <f t="shared" si="3"/>
        <v>18.415392933857149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7.4</v>
      </c>
      <c r="AI46" s="14">
        <f>IF('Données projet'!$A$62&gt;35,AI45+AH46-AQ45,IF(A46&lt;'Données projet'!$A$62,$AF$205^A46,IF(A46='Données projet'!$A$62,'Données projet'!$B$62,AI45+AH46-AQ45)))</f>
        <v>354.20000000000005</v>
      </c>
      <c r="AJ46" s="14">
        <f>AI46*VLOOKUP('Données projet'!$B$10,Paramètres!$A$1:$I$89,3,0)*VLOOKUP('Données projet'!$B$10,Paramètres!$A$1:$I$89,5,0)</f>
        <v>193.39320000000001</v>
      </c>
      <c r="AK46" s="14">
        <f t="shared" si="35"/>
        <v>48.28936658868006</v>
      </c>
      <c r="AL46" s="22">
        <f t="shared" si="4"/>
        <v>420.93047014195105</v>
      </c>
      <c r="AM46" s="62">
        <f t="shared" si="5"/>
        <v>714.26380347528436</v>
      </c>
      <c r="AN46" s="62">
        <f ca="1">AVERAGE(OFFSET($AM$3,0,0,'Données projet'!$E$10+1,1))-AVERAGE(OFFSET($H$3,0,0,'Données projet'!$E$10+1,1))</f>
        <v>240.19940780300527</v>
      </c>
      <c r="AO46" s="62">
        <f t="shared" si="36"/>
        <v>355.71054384071715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3.2250194731873392</v>
      </c>
      <c r="AV46" s="23">
        <f>EXP(-LN(2)/25)*AV45+(1-EXP(-LN(2)/25))/(LN(2)/25)*Calculateur!AQ46*Calculateur!AS46*VLOOKUP('Données projet'!$B$10,Paramètres!$A$1:$I$89,3,0)*0.475*44/12</f>
        <v>17.369822377746889</v>
      </c>
      <c r="AW46" s="23">
        <f>EXP(-LN(2)/2)*AW45+(1-EXP(-LN(2)/2))/(LN(2)/2)*AQ46*AT46*VLOOKUP('Données projet'!$B$10,Paramètres!$A$1:$I$89,3,0)*0.475*44/12</f>
        <v>0.18245650765402083</v>
      </c>
      <c r="AX46" s="23">
        <f t="shared" si="6"/>
        <v>20.777298358588247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22.8</v>
      </c>
      <c r="N47" s="14">
        <f>IF('Données projet'!$A$36&gt;35,N46+M47-V46,IF(A47&lt;'Données projet'!$A$36,$K$205^A47,IF(A47='Données projet'!$A$36,'Données projet'!$B$36,N46+M47-V46)))</f>
        <v>583.20000000000005</v>
      </c>
      <c r="O47" s="14">
        <f>N47*VLOOKUP('Données projet'!$B$9,Paramètres!$A$1:$I$89,3,0)*VLOOKUP('Données projet'!$B$9,Paramètres!$A$1:$I$89,5,0)</f>
        <v>326.00880000000001</v>
      </c>
      <c r="P47" s="14">
        <f t="shared" si="33"/>
        <v>76.602244480772981</v>
      </c>
      <c r="Q47" s="22">
        <f t="shared" si="53"/>
        <v>701.2142358040129</v>
      </c>
      <c r="R47" s="62">
        <f t="shared" si="0"/>
        <v>994.54756913734627</v>
      </c>
      <c r="S47" s="62">
        <f ca="1">AVERAGE(OFFSET($R$3,0,0,'Données projet'!$E$9+1,1))-AVERAGE(OFFSET($H$3,0,0,'Données projet'!$E$9+1,1))</f>
        <v>382.55387448074327</v>
      </c>
      <c r="T47" s="62">
        <f t="shared" si="34"/>
        <v>476.29465646955543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8.1881859447026173</v>
      </c>
      <c r="AA47" s="23">
        <f>EXP(-LN(2)/25)*AA46+(1-EXP(-LN(2)/25))/(LN(2)/25)*Calculateur!V47*Calculateur!X47*VLOOKUP('Données projet'!$B$9,Paramètres!$A$1:$I$89,3,0)*0.475*44/12</f>
        <v>9.6455952800838691</v>
      </c>
      <c r="AB47" s="23">
        <f>EXP(-LN(2)/2)*AB46+(1-EXP(-LN(2)/2))/(LN(2)/2)*V47*Y47*VLOOKUP('Données projet'!$B$9,Paramètres!$A$1:$I$89,3,0)*0.475*44/12</f>
        <v>0.10370443484619003</v>
      </c>
      <c r="AC47" s="24">
        <f t="shared" si="3"/>
        <v>17.937485659632674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7.4</v>
      </c>
      <c r="AI47" s="14">
        <f>IF('Données projet'!$A$62&gt;35,AI46+AH47-AQ46,IF(A47&lt;'Données projet'!$A$62,$AF$205^A47,IF(A47='Données projet'!$A$62,'Données projet'!$B$62,AI46+AH47-AQ46)))</f>
        <v>361.6</v>
      </c>
      <c r="AJ47" s="14">
        <f>AI47*VLOOKUP('Données projet'!$B$10,Paramètres!$A$1:$I$89,3,0)*VLOOKUP('Données projet'!$B$10,Paramètres!$A$1:$I$89,5,0)</f>
        <v>197.43360000000001</v>
      </c>
      <c r="AK47" s="14">
        <f t="shared" si="35"/>
        <v>49.179727436837609</v>
      </c>
      <c r="AL47" s="22">
        <f t="shared" si="4"/>
        <v>429.51821195249221</v>
      </c>
      <c r="AM47" s="62">
        <f t="shared" si="5"/>
        <v>722.85154528582552</v>
      </c>
      <c r="AN47" s="62">
        <f ca="1">AVERAGE(OFFSET($AM$3,0,0,'Données projet'!$E$10+1,1))-AVERAGE(OFFSET($H$3,0,0,'Données projet'!$E$10+1,1))</f>
        <v>240.19940780300527</v>
      </c>
      <c r="AO47" s="62">
        <f t="shared" si="36"/>
        <v>355.71054384071715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3.1617788083857823</v>
      </c>
      <c r="AV47" s="23">
        <f>EXP(-LN(2)/25)*AV46+(1-EXP(-LN(2)/25))/(LN(2)/25)*Calculateur!AQ47*Calculateur!AS47*VLOOKUP('Données projet'!$B$10,Paramètres!$A$1:$I$89,3,0)*0.475*44/12</f>
        <v>16.894843671388141</v>
      </c>
      <c r="AW47" s="23">
        <f>EXP(-LN(2)/2)*AW46+(1-EXP(-LN(2)/2))/(LN(2)/2)*AQ47*AT47*VLOOKUP('Données projet'!$B$10,Paramètres!$A$1:$I$89,3,0)*0.475*44/12</f>
        <v>0.12901623383377334</v>
      </c>
      <c r="AX47" s="23">
        <f t="shared" si="6"/>
        <v>20.185638713607698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606</v>
      </c>
      <c r="L48" s="13">
        <f>VLOOKUP(A48,'Données projet'!$A$35:$I$55,9,0)</f>
        <v>22.8</v>
      </c>
      <c r="M48" s="13">
        <f t="array" ref="M48">INDEX(L:L,MIN(IF(ISNUMBER(L48:L244),ROW(L48:L244),"")))</f>
        <v>22.8</v>
      </c>
      <c r="N48" s="14">
        <f>IF('Données projet'!$A$36&gt;35,N47+M48-V47,IF(A48&lt;'Données projet'!$A$36,$K$205^A48,IF(A48='Données projet'!$A$36,'Données projet'!$B$36,N47+M48-V47)))</f>
        <v>606</v>
      </c>
      <c r="O48" s="14">
        <f>N48*VLOOKUP('Données projet'!$B$9,Paramètres!$A$1:$I$89,3,0)*VLOOKUP('Données projet'!$B$9,Paramètres!$A$1:$I$89,5,0)</f>
        <v>338.75400000000002</v>
      </c>
      <c r="P48" s="14">
        <f t="shared" si="33"/>
        <v>79.242459951408904</v>
      </c>
      <c r="Q48" s="22">
        <f t="shared" si="53"/>
        <v>728.01050108203719</v>
      </c>
      <c r="R48" s="62">
        <f t="shared" si="0"/>
        <v>1021.3438344153706</v>
      </c>
      <c r="S48" s="62">
        <f ca="1">AVERAGE(OFFSET($R$3,0,0,'Données projet'!$E$9+1,1))-AVERAGE(OFFSET($H$3,0,0,'Données projet'!$E$9+1,1))</f>
        <v>382.55387448074327</v>
      </c>
      <c r="T48" s="62">
        <f t="shared" si="34"/>
        <v>476.29465646955543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66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8.0276206126272793</v>
      </c>
      <c r="AA48" s="23">
        <f>EXP(-LN(2)/25)*AA47+(1-EXP(-LN(2)/25))/(LN(2)/25)*Calculateur!V48*Calculateur!X48*VLOOKUP('Données projet'!$B$9,Paramètres!$A$1:$I$89,3,0)*0.475*44/12</f>
        <v>9.3818359699101652</v>
      </c>
      <c r="AB48" s="23">
        <f>EXP(-LN(2)/2)*AB47+(1-EXP(-LN(2)/2))/(LN(2)/2)*V48*Y48*VLOOKUP('Données projet'!$B$9,Paramètres!$A$1:$I$89,3,0)*0.475*44/12</f>
        <v>7.3330109118859468E-2</v>
      </c>
      <c r="AC48" s="24">
        <f t="shared" si="3"/>
        <v>17.482786691656305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369</v>
      </c>
      <c r="AG48" s="13">
        <f>VLOOKUP(A48,'Données projet'!$A$61:$I$81,9,0)</f>
        <v>7.4</v>
      </c>
      <c r="AH48" s="13">
        <f t="array" ref="AH48">INDEX(AG:AG,MIN(IF(ISNUMBER(AG48:AG244),ROW(AG48:AG244),"")))</f>
        <v>7.4</v>
      </c>
      <c r="AI48" s="14">
        <f>IF('Données projet'!$A$62&gt;35,AI47+AH48-AQ47,IF(A48&lt;'Données projet'!$A$62,$AF$205^A48,IF(A48='Données projet'!$A$62,'Données projet'!$B$62,AI47+AH48-AQ47)))</f>
        <v>369</v>
      </c>
      <c r="AJ48" s="14">
        <f>AI48*VLOOKUP('Données projet'!$B$10,Paramètres!$A$1:$I$89,3,0)*VLOOKUP('Données projet'!$B$10,Paramètres!$A$1:$I$89,5,0)</f>
        <v>201.47399999999999</v>
      </c>
      <c r="AK48" s="14">
        <f t="shared" si="35"/>
        <v>50.067969742315327</v>
      </c>
      <c r="AL48" s="22">
        <f t="shared" si="4"/>
        <v>438.10226396786584</v>
      </c>
      <c r="AM48" s="62">
        <f t="shared" si="5"/>
        <v>731.4355973011991</v>
      </c>
      <c r="AN48" s="62">
        <f ca="1">AVERAGE(OFFSET($AM$3,0,0,'Données projet'!$E$10+1,1))-AVERAGE(OFFSET($H$3,0,0,'Données projet'!$E$10+1,1))</f>
        <v>240.19940780300527</v>
      </c>
      <c r="AO48" s="62">
        <f t="shared" si="36"/>
        <v>355.71054384071715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3.0997782544479873</v>
      </c>
      <c r="AV48" s="23">
        <f>EXP(-LN(2)/25)*AV47+(1-EXP(-LN(2)/25))/(LN(2)/25)*Calculateur!AQ48*Calculateur!AS48*VLOOKUP('Données projet'!$B$10,Paramètres!$A$1:$I$89,3,0)*0.475*44/12</f>
        <v>16.432853282732818</v>
      </c>
      <c r="AW48" s="23">
        <f>EXP(-LN(2)/2)*AW47+(1-EXP(-LN(2)/2))/(LN(2)/2)*AQ48*AT48*VLOOKUP('Données projet'!$B$10,Paramètres!$A$1:$I$89,3,0)*0.475*44/12</f>
        <v>9.1228253827010414E-2</v>
      </c>
      <c r="AX48" s="23">
        <f t="shared" si="6"/>
        <v>19.623859791007817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17.8</v>
      </c>
      <c r="N49" s="14">
        <f>IF('Données projet'!$A$36&gt;35,N48+M49-V48,IF(A49&lt;'Données projet'!$A$36,$K$205^A49,IF(A49='Données projet'!$A$36,'Données projet'!$B$36,N48+M49-V48)))</f>
        <v>557.79999999999995</v>
      </c>
      <c r="O49" s="14">
        <f>N49*VLOOKUP('Données projet'!$B$9,Paramètres!$A$1:$I$89,3,0)*VLOOKUP('Données projet'!$B$9,Paramètres!$A$1:$I$89,5,0)</f>
        <v>311.81020000000001</v>
      </c>
      <c r="P49" s="14">
        <f t="shared" si="33"/>
        <v>73.646743780370684</v>
      </c>
      <c r="Q49" s="22">
        <f t="shared" si="53"/>
        <v>671.33751041747894</v>
      </c>
      <c r="R49" s="62">
        <f t="shared" si="0"/>
        <v>964.67084375081231</v>
      </c>
      <c r="S49" s="62">
        <f ca="1">AVERAGE(OFFSET($R$3,0,0,'Données projet'!$E$9+1,1))-AVERAGE(OFFSET($H$3,0,0,'Données projet'!$E$9+1,1))</f>
        <v>382.55387448074327</v>
      </c>
      <c r="T49" s="62">
        <f t="shared" si="34"/>
        <v>476.29465646955543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7.8702038687787566</v>
      </c>
      <c r="AA49" s="23">
        <f>EXP(-LN(2)/25)*AA48+(1-EXP(-LN(2)/25))/(LN(2)/25)*Calculateur!V49*Calculateur!X49*VLOOKUP('Données projet'!$B$9,Paramètres!$A$1:$I$89,3,0)*0.475*44/12</f>
        <v>9.1252891719436597</v>
      </c>
      <c r="AB49" s="23">
        <f>EXP(-LN(2)/2)*AB48+(1-EXP(-LN(2)/2))/(LN(2)/2)*V49*Y49*VLOOKUP('Données projet'!$B$9,Paramètres!$A$1:$I$89,3,0)*0.475*44/12</f>
        <v>5.1852217423095016E-2</v>
      </c>
      <c r="AC49" s="24">
        <f t="shared" si="3"/>
        <v>17.047345258145512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5.2</v>
      </c>
      <c r="AI49" s="14">
        <f>IF('Données projet'!$A$62&gt;35,AI48+AH49-AQ48,IF(A49&lt;'Données projet'!$A$62,$AF$205^A49,IF(A49='Données projet'!$A$62,'Données projet'!$B$62,AI48+AH49-AQ48)))</f>
        <v>353.2</v>
      </c>
      <c r="AJ49" s="14">
        <f>AI49*VLOOKUP('Données projet'!$B$10,Paramètres!$A$1:$I$89,3,0)*VLOOKUP('Données projet'!$B$10,Paramètres!$A$1:$I$89,5,0)</f>
        <v>192.84719999999999</v>
      </c>
      <c r="AK49" s="14">
        <f t="shared" si="35"/>
        <v>48.168882391272199</v>
      </c>
      <c r="AL49" s="22">
        <f t="shared" si="4"/>
        <v>419.76967683146569</v>
      </c>
      <c r="AM49" s="62">
        <f t="shared" si="5"/>
        <v>713.103010164799</v>
      </c>
      <c r="AN49" s="62">
        <f ca="1">AVERAGE(OFFSET($AM$3,0,0,'Données projet'!$E$10+1,1))-AVERAGE(OFFSET($H$3,0,0,'Données projet'!$E$10+1,1))</f>
        <v>240.19940780300527</v>
      </c>
      <c r="AO49" s="62">
        <f t="shared" si="36"/>
        <v>355.71054384071715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3.0389934935563083</v>
      </c>
      <c r="AV49" s="23">
        <f>EXP(-LN(2)/25)*AV48+(1-EXP(-LN(2)/25))/(LN(2)/25)*Calculateur!AQ49*Calculateur!AS49*VLOOKUP('Données projet'!$B$10,Paramètres!$A$1:$I$89,3,0)*0.475*44/12</f>
        <v>15.983496045550293</v>
      </c>
      <c r="AW49" s="23">
        <f>EXP(-LN(2)/2)*AW48+(1-EXP(-LN(2)/2))/(LN(2)/2)*AQ49*AT49*VLOOKUP('Données projet'!$B$10,Paramètres!$A$1:$I$89,3,0)*0.475*44/12</f>
        <v>6.4508116916886668E-2</v>
      </c>
      <c r="AX49" s="23">
        <f t="shared" si="6"/>
        <v>19.086997656023488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17.8</v>
      </c>
      <c r="N50" s="14">
        <f>IF('Données projet'!$A$36&gt;35,N49+M50-V49,IF(A50&lt;'Données projet'!$A$36,$K$205^A50,IF(A50='Données projet'!$A$36,'Données projet'!$B$36,N49+M50-V49)))</f>
        <v>575.59999999999991</v>
      </c>
      <c r="O50" s="14">
        <f>N50*VLOOKUP('Données projet'!$B$9,Paramètres!$A$1:$I$89,3,0)*VLOOKUP('Données projet'!$B$9,Paramètres!$A$1:$I$89,5,0)</f>
        <v>321.76039999999995</v>
      </c>
      <c r="P50" s="14">
        <f t="shared" si="33"/>
        <v>75.719522083505169</v>
      </c>
      <c r="Q50" s="22">
        <f t="shared" si="53"/>
        <v>692.27753096210472</v>
      </c>
      <c r="R50" s="62">
        <f t="shared" si="0"/>
        <v>985.61086429543798</v>
      </c>
      <c r="S50" s="62">
        <f ca="1">AVERAGE(OFFSET($R$3,0,0,'Données projet'!$E$9+1,1))-AVERAGE(OFFSET($H$3,0,0,'Données projet'!$E$9+1,1))</f>
        <v>382.55387448074327</v>
      </c>
      <c r="T50" s="62">
        <f t="shared" si="34"/>
        <v>476.29465646955543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7.7158739712623703</v>
      </c>
      <c r="AA50" s="23">
        <f>EXP(-LN(2)/25)*AA49+(1-EXP(-LN(2)/25))/(LN(2)/25)*Calculateur!V50*Calculateur!X50*VLOOKUP('Données projet'!$B$9,Paramètres!$A$1:$I$89,3,0)*0.475*44/12</f>
        <v>8.8757576596587597</v>
      </c>
      <c r="AB50" s="23">
        <f>EXP(-LN(2)/2)*AB49+(1-EXP(-LN(2)/2))/(LN(2)/2)*V50*Y50*VLOOKUP('Données projet'!$B$9,Paramètres!$A$1:$I$89,3,0)*0.475*44/12</f>
        <v>3.6665054559429734E-2</v>
      </c>
      <c r="AC50" s="24">
        <f t="shared" si="3"/>
        <v>16.628296685480557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5.2</v>
      </c>
      <c r="AI50" s="14">
        <f>IF('Données projet'!$A$62&gt;35,AI49+AH50-AQ49,IF(A50&lt;'Données projet'!$A$62,$AF$205^A50,IF(A50='Données projet'!$A$62,'Données projet'!$B$62,AI49+AH50-AQ49)))</f>
        <v>358.4</v>
      </c>
      <c r="AJ50" s="14">
        <f>AI50*VLOOKUP('Données projet'!$B$10,Paramètres!$A$1:$I$89,3,0)*VLOOKUP('Données projet'!$B$10,Paramètres!$A$1:$I$89,5,0)</f>
        <v>195.68639999999999</v>
      </c>
      <c r="AK50" s="14">
        <f t="shared" si="35"/>
        <v>48.794969360985156</v>
      </c>
      <c r="AL50" s="22">
        <f t="shared" si="4"/>
        <v>425.80505163704908</v>
      </c>
      <c r="AM50" s="62">
        <f t="shared" si="5"/>
        <v>719.13838497038239</v>
      </c>
      <c r="AN50" s="62">
        <f ca="1">AVERAGE(OFFSET($AM$3,0,0,'Données projet'!$E$10+1,1))-AVERAGE(OFFSET($H$3,0,0,'Données projet'!$E$10+1,1))</f>
        <v>240.19940780300527</v>
      </c>
      <c r="AO50" s="62">
        <f t="shared" si="36"/>
        <v>355.71054384071715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2.9794006847506722</v>
      </c>
      <c r="AV50" s="23">
        <f>EXP(-LN(2)/25)*AV49+(1-EXP(-LN(2)/25))/(LN(2)/25)*Calculateur!AQ50*Calculateur!AS50*VLOOKUP('Données projet'!$B$10,Paramètres!$A$1:$I$89,3,0)*0.475*44/12</f>
        <v>15.546426505649194</v>
      </c>
      <c r="AW50" s="23">
        <f>EXP(-LN(2)/2)*AW49+(1-EXP(-LN(2)/2))/(LN(2)/2)*AQ50*AT50*VLOOKUP('Données projet'!$B$10,Paramètres!$A$1:$I$89,3,0)*0.475*44/12</f>
        <v>4.5614126913505207E-2</v>
      </c>
      <c r="AX50" s="23">
        <f t="shared" si="6"/>
        <v>18.571441317313372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17.8</v>
      </c>
      <c r="N51" s="14">
        <f>IF('Données projet'!$A$36&gt;35,N50+M51-V50,IF(A51&lt;'Données projet'!$A$36,$K$205^A51,IF(A51='Données projet'!$A$36,'Données projet'!$B$36,N50+M51-V50)))</f>
        <v>593.39999999999986</v>
      </c>
      <c r="O51" s="14">
        <f>N51*VLOOKUP('Données projet'!$B$9,Paramètres!$A$1:$I$89,3,0)*VLOOKUP('Données projet'!$B$9,Paramètres!$A$1:$I$89,5,0)</f>
        <v>331.71059999999994</v>
      </c>
      <c r="P51" s="14">
        <f t="shared" si="33"/>
        <v>77.784851407016433</v>
      </c>
      <c r="Q51" s="22">
        <f t="shared" si="53"/>
        <v>713.20457786722011</v>
      </c>
      <c r="R51" s="62">
        <f t="shared" si="0"/>
        <v>1006.5379112005535</v>
      </c>
      <c r="S51" s="62">
        <f ca="1">AVERAGE(OFFSET($R$3,0,0,'Données projet'!$E$9+1,1))-AVERAGE(OFFSET($H$3,0,0,'Données projet'!$E$9+1,1))</f>
        <v>382.55387448074327</v>
      </c>
      <c r="T51" s="62">
        <f t="shared" si="34"/>
        <v>476.29465646955543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7.564570388904337</v>
      </c>
      <c r="AA51" s="23">
        <f>EXP(-LN(2)/25)*AA50+(1-EXP(-LN(2)/25))/(LN(2)/25)*Calculateur!V51*Calculateur!X51*VLOOKUP('Données projet'!$B$9,Paramètres!$A$1:$I$89,3,0)*0.475*44/12</f>
        <v>8.6330495996995822</v>
      </c>
      <c r="AB51" s="23">
        <f>EXP(-LN(2)/2)*AB50+(1-EXP(-LN(2)/2))/(LN(2)/2)*V51*Y51*VLOOKUP('Données projet'!$B$9,Paramètres!$A$1:$I$89,3,0)*0.475*44/12</f>
        <v>2.5926108711547508E-2</v>
      </c>
      <c r="AC51" s="24">
        <f t="shared" si="3"/>
        <v>16.223546097315467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5.2</v>
      </c>
      <c r="AI51" s="14">
        <f>IF('Données projet'!$A$62&gt;35,AI50+AH51-AQ50,IF(A51&lt;'Données projet'!$A$62,$AF$205^A51,IF(A51='Données projet'!$A$62,'Données projet'!$B$62,AI50+AH51-AQ50)))</f>
        <v>363.59999999999997</v>
      </c>
      <c r="AJ51" s="14">
        <f>AI51*VLOOKUP('Données projet'!$B$10,Paramètres!$A$1:$I$89,3,0)*VLOOKUP('Données projet'!$B$10,Paramètres!$A$1:$I$89,5,0)</f>
        <v>198.5256</v>
      </c>
      <c r="AK51" s="14">
        <f t="shared" si="35"/>
        <v>49.419999823587155</v>
      </c>
      <c r="AL51" s="22">
        <f t="shared" si="4"/>
        <v>431.83858635941425</v>
      </c>
      <c r="AM51" s="62">
        <f t="shared" si="5"/>
        <v>725.17191969274757</v>
      </c>
      <c r="AN51" s="62">
        <f ca="1">AVERAGE(OFFSET($AM$3,0,0,'Données projet'!$E$10+1,1))-AVERAGE(OFFSET($H$3,0,0,'Données projet'!$E$10+1,1))</f>
        <v>240.19940780300527</v>
      </c>
      <c r="AO51" s="62">
        <f t="shared" si="36"/>
        <v>355.71054384071715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2.9209764545776902</v>
      </c>
      <c r="AV51" s="23">
        <f>EXP(-LN(2)/25)*AV50+(1-EXP(-LN(2)/25))/(LN(2)/25)*Calculateur!AQ51*Calculateur!AS51*VLOOKUP('Données projet'!$B$10,Paramètres!$A$1:$I$89,3,0)*0.475*44/12</f>
        <v>15.12130865530118</v>
      </c>
      <c r="AW51" s="23">
        <f>EXP(-LN(2)/2)*AW50+(1-EXP(-LN(2)/2))/(LN(2)/2)*AQ51*AT51*VLOOKUP('Données projet'!$B$10,Paramètres!$A$1:$I$89,3,0)*0.475*44/12</f>
        <v>3.2254058458443334E-2</v>
      </c>
      <c r="AX51" s="23">
        <f t="shared" si="6"/>
        <v>18.07453916833731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17.8</v>
      </c>
      <c r="N52" s="14">
        <f>IF('Données projet'!$A$36&gt;35,N51+M52-V51,IF(A52&lt;'Données projet'!$A$36,$K$205^A52,IF(A52='Données projet'!$A$36,'Données projet'!$B$36,N51+M52-V51)))</f>
        <v>611.19999999999982</v>
      </c>
      <c r="O52" s="14">
        <f>N52*VLOOKUP('Données projet'!$B$9,Paramètres!$A$1:$I$89,3,0)*VLOOKUP('Données projet'!$B$9,Paramètres!$A$1:$I$89,5,0)</f>
        <v>341.66079999999988</v>
      </c>
      <c r="P52" s="14">
        <f t="shared" si="33"/>
        <v>79.842980844864144</v>
      </c>
      <c r="Q52" s="22">
        <f t="shared" si="53"/>
        <v>734.11908497147158</v>
      </c>
      <c r="R52" s="62">
        <f t="shared" si="0"/>
        <v>1027.452418304805</v>
      </c>
      <c r="S52" s="62">
        <f ca="1">AVERAGE(OFFSET($R$3,0,0,'Données projet'!$E$9+1,1))-AVERAGE(OFFSET($H$3,0,0,'Données projet'!$E$9+1,1))</f>
        <v>382.55387448074327</v>
      </c>
      <c r="T52" s="62">
        <f t="shared" si="34"/>
        <v>476.29465646955543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7.4162337775102722</v>
      </c>
      <c r="AA52" s="23">
        <f>EXP(-LN(2)/25)*AA51+(1-EXP(-LN(2)/25))/(LN(2)/25)*Calculateur!V52*Calculateur!X52*VLOOKUP('Données projet'!$B$9,Paramètres!$A$1:$I$89,3,0)*0.475*44/12</f>
        <v>8.3969784044034501</v>
      </c>
      <c r="AB52" s="23">
        <f>EXP(-LN(2)/2)*AB51+(1-EXP(-LN(2)/2))/(LN(2)/2)*V52*Y52*VLOOKUP('Données projet'!$B$9,Paramètres!$A$1:$I$89,3,0)*0.475*44/12</f>
        <v>1.8332527279714867E-2</v>
      </c>
      <c r="AC52" s="24">
        <f t="shared" si="3"/>
        <v>15.831544709193437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5.2</v>
      </c>
      <c r="AI52" s="14">
        <f>IF('Données projet'!$A$62&gt;35,AI51+AH52-AQ51,IF(A52&lt;'Données projet'!$A$62,$AF$205^A52,IF(A52='Données projet'!$A$62,'Données projet'!$B$62,AI51+AH52-AQ51)))</f>
        <v>368.79999999999995</v>
      </c>
      <c r="AJ52" s="14">
        <f>AI52*VLOOKUP('Données projet'!$B$10,Paramètres!$A$1:$I$89,3,0)*VLOOKUP('Données projet'!$B$10,Paramètres!$A$1:$I$89,5,0)</f>
        <v>201.3648</v>
      </c>
      <c r="AK52" s="14">
        <f t="shared" si="35"/>
        <v>50.04399063451806</v>
      </c>
      <c r="AL52" s="22">
        <f t="shared" si="4"/>
        <v>437.87031035511887</v>
      </c>
      <c r="AM52" s="62">
        <f t="shared" si="5"/>
        <v>731.20364368845219</v>
      </c>
      <c r="AN52" s="62">
        <f ca="1">AVERAGE(OFFSET($AM$3,0,0,'Données projet'!$E$10+1,1))-AVERAGE(OFFSET($H$3,0,0,'Données projet'!$E$10+1,1))</f>
        <v>240.19940780300527</v>
      </c>
      <c r="AO52" s="62">
        <f t="shared" si="36"/>
        <v>355.71054384071715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2.8636978879231387</v>
      </c>
      <c r="AV52" s="23">
        <f>EXP(-LN(2)/25)*AV51+(1-EXP(-LN(2)/25))/(LN(2)/25)*Calculateur!AQ52*Calculateur!AS52*VLOOKUP('Données projet'!$B$10,Paramètres!$A$1:$I$89,3,0)*0.475*44/12</f>
        <v>14.707815674926907</v>
      </c>
      <c r="AW52" s="23">
        <f>EXP(-LN(2)/2)*AW51+(1-EXP(-LN(2)/2))/(LN(2)/2)*AQ52*AT52*VLOOKUP('Données projet'!$B$10,Paramètres!$A$1:$I$89,3,0)*0.475*44/12</f>
        <v>2.2807063456752603E-2</v>
      </c>
      <c r="AX52" s="23">
        <f t="shared" si="6"/>
        <v>17.5943206263068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629</v>
      </c>
      <c r="L53" s="13">
        <f>VLOOKUP(A53,'Données projet'!$A$35:$I$55,9,0)</f>
        <v>17.8</v>
      </c>
      <c r="M53" s="13">
        <f t="array" ref="M53">INDEX(L:L,MIN(IF(ISNUMBER(L53:L249),ROW(L53:L249),"")))</f>
        <v>17.8</v>
      </c>
      <c r="N53" s="14">
        <f>IF('Données projet'!$A$36&gt;35,N52+M53-V52,IF(A53&lt;'Données projet'!$A$36,$K$205^A53,IF(A53='Données projet'!$A$36,'Données projet'!$B$36,N52+M53-V52)))</f>
        <v>628.99999999999977</v>
      </c>
      <c r="O53" s="14">
        <f>N53*VLOOKUP('Données projet'!$B$9,Paramètres!$A$1:$I$89,3,0)*VLOOKUP('Données projet'!$B$9,Paramètres!$A$1:$I$89,5,0)</f>
        <v>351.61099999999988</v>
      </c>
      <c r="P53" s="14">
        <f t="shared" si="33"/>
        <v>81.89414415728541</v>
      </c>
      <c r="Q53" s="22">
        <f t="shared" si="53"/>
        <v>755.02145940727178</v>
      </c>
      <c r="R53" s="62">
        <f t="shared" si="0"/>
        <v>1048.354792740605</v>
      </c>
      <c r="S53" s="62">
        <f ca="1">AVERAGE(OFFSET($R$3,0,0,'Données projet'!$E$9+1,1))-AVERAGE(OFFSET($H$3,0,0,'Données projet'!$E$9+1,1))</f>
        <v>382.55387448074327</v>
      </c>
      <c r="T53" s="62">
        <f t="shared" si="34"/>
        <v>476.29465646955543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48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7.2708059565892462</v>
      </c>
      <c r="AA53" s="23">
        <f>EXP(-LN(2)/25)*AA52+(1-EXP(-LN(2)/25))/(LN(2)/25)*Calculateur!V53*Calculateur!X53*VLOOKUP('Données projet'!$B$9,Paramètres!$A$1:$I$89,3,0)*0.475*44/12</f>
        <v>8.1673625883571344</v>
      </c>
      <c r="AB53" s="23">
        <f>EXP(-LN(2)/2)*AB52+(1-EXP(-LN(2)/2))/(LN(2)/2)*V53*Y53*VLOOKUP('Données projet'!$B$9,Paramètres!$A$1:$I$89,3,0)*0.475*44/12</f>
        <v>1.2963054355773754E-2</v>
      </c>
      <c r="AC53" s="24">
        <f t="shared" si="3"/>
        <v>15.451131599302155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374</v>
      </c>
      <c r="AG53" s="13">
        <f>VLOOKUP(A53,'Données projet'!$A$61:$I$81,9,0)</f>
        <v>5.2</v>
      </c>
      <c r="AH53" s="13">
        <f t="array" ref="AH53">INDEX(AG:AG,MIN(IF(ISNUMBER(AG53:AG249),ROW(AG53:AG249),"")))</f>
        <v>5.2</v>
      </c>
      <c r="AI53" s="14">
        <f>IF('Données projet'!$A$62&gt;35,AI52+AH53-AQ52,IF(A53&lt;'Données projet'!$A$62,$AF$205^A53,IF(A53='Données projet'!$A$62,'Données projet'!$B$62,AI52+AH53-AQ52)))</f>
        <v>373.99999999999994</v>
      </c>
      <c r="AJ53" s="14">
        <f>AI53*VLOOKUP('Données projet'!$B$10,Paramètres!$A$1:$I$89,3,0)*VLOOKUP('Données projet'!$B$10,Paramètres!$A$1:$I$89,5,0)</f>
        <v>204.20399999999998</v>
      </c>
      <c r="AK53" s="14">
        <f t="shared" si="35"/>
        <v>50.666958146601125</v>
      </c>
      <c r="AL53" s="22">
        <f t="shared" si="4"/>
        <v>443.90025210533031</v>
      </c>
      <c r="AM53" s="62">
        <f t="shared" si="5"/>
        <v>737.23358543866357</v>
      </c>
      <c r="AN53" s="62">
        <f ca="1">AVERAGE(OFFSET($AM$3,0,0,'Données projet'!$E$10+1,1))-AVERAGE(OFFSET($H$3,0,0,'Données projet'!$E$10+1,1))</f>
        <v>240.19940780300527</v>
      </c>
      <c r="AO53" s="62">
        <f t="shared" si="36"/>
        <v>355.71054384071715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374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2.8075425190242069</v>
      </c>
      <c r="AV53" s="23">
        <f>EXP(-LN(2)/25)*AV52+(1-EXP(-LN(2)/25))/(LN(2)/25)*Calculateur!AQ53*Calculateur!AS53*VLOOKUP('Données projet'!$B$10,Paramètres!$A$1:$I$89,3,0)*0.475*44/12</f>
        <v>14.30562968184562</v>
      </c>
      <c r="AW53" s="23">
        <f>EXP(-LN(2)/2)*AW52+(1-EXP(-LN(2)/2))/(LN(2)/2)*AQ53*AT53*VLOOKUP('Données projet'!$B$10,Paramètres!$A$1:$I$89,3,0)*0.475*44/12</f>
        <v>1.6127029229221667E-2</v>
      </c>
      <c r="AX53" s="23">
        <f t="shared" si="6"/>
        <v>17.129299230099047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13.8</v>
      </c>
      <c r="N54" s="14">
        <f>IF('Données projet'!$A$36&gt;35,N53+M54-V53,IF(A54&lt;'Données projet'!$A$36,$K$205^A54,IF(A54='Données projet'!$A$36,'Données projet'!$B$36,N53+M54-V53)))</f>
        <v>594.79999999999973</v>
      </c>
      <c r="O54" s="14">
        <f>N54*VLOOKUP('Données projet'!$B$9,Paramètres!$A$1:$I$89,3,0)*VLOOKUP('Données projet'!$B$9,Paramètres!$A$1:$I$89,5,0)</f>
        <v>332.49319999999983</v>
      </c>
      <c r="P54" s="14">
        <f t="shared" si="33"/>
        <v>77.946984490524827</v>
      </c>
      <c r="Q54" s="22">
        <f t="shared" si="53"/>
        <v>714.84998798766367</v>
      </c>
      <c r="R54" s="62">
        <f t="shared" si="0"/>
        <v>1008.183321320997</v>
      </c>
      <c r="S54" s="62">
        <f ca="1">AVERAGE(OFFSET($R$3,0,0,'Données projet'!$E$9+1,1))-AVERAGE(OFFSET($H$3,0,0,'Données projet'!$E$9+1,1))</f>
        <v>382.55387448074327</v>
      </c>
      <c r="T54" s="62">
        <f t="shared" si="34"/>
        <v>476.29465646955543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7.1282298865342693</v>
      </c>
      <c r="AA54" s="23">
        <f>EXP(-LN(2)/25)*AA53+(1-EXP(-LN(2)/25))/(LN(2)/25)*Calculateur!V54*Calculateur!X54*VLOOKUP('Données projet'!$B$9,Paramètres!$A$1:$I$89,3,0)*0.475*44/12</f>
        <v>7.9440256288755764</v>
      </c>
      <c r="AB54" s="23">
        <f>EXP(-LN(2)/2)*AB53+(1-EXP(-LN(2)/2))/(LN(2)/2)*V54*Y54*VLOOKUP('Données projet'!$B$9,Paramètres!$A$1:$I$89,3,0)*0.475*44/12</f>
        <v>9.1662636398574335E-3</v>
      </c>
      <c r="AC54" s="24">
        <f t="shared" si="3"/>
        <v>15.081421779049704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-5.6843418860808015E-14</v>
      </c>
      <c r="AJ54" s="14">
        <f>AI54*VLOOKUP('Données projet'!$B$10,Paramètres!$A$1:$I$89,3,0)*VLOOKUP('Données projet'!$B$10,Paramètres!$A$1:$I$89,5,0)</f>
        <v>-3.1036506698001178E-14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240.19940780300527</v>
      </c>
      <c r="AO54" s="62">
        <f t="shared" si="36"/>
        <v>355.71054384071715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2.7524883226579901</v>
      </c>
      <c r="AV54" s="23">
        <f>EXP(-LN(2)/25)*AV53+(1-EXP(-LN(2)/25))/(LN(2)/25)*Calculateur!AQ54*Calculateur!AS54*VLOOKUP('Données projet'!$B$10,Paramètres!$A$1:$I$89,3,0)*0.475*44/12</f>
        <v>13.914441485895182</v>
      </c>
      <c r="AW54" s="23">
        <f>EXP(-LN(2)/2)*AW53+(1-EXP(-LN(2)/2))/(LN(2)/2)*AQ54*AT54*VLOOKUP('Données projet'!$B$10,Paramètres!$A$1:$I$89,3,0)*0.475*44/12</f>
        <v>1.1403531728376302E-2</v>
      </c>
      <c r="AX54" s="23">
        <f t="shared" si="6"/>
        <v>16.678333340281547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13.8</v>
      </c>
      <c r="N55" s="14">
        <f>IF('Données projet'!$A$36&gt;35,N54+M55-V54,IF(A55&lt;'Données projet'!$A$36,$K$205^A55,IF(A55='Données projet'!$A$36,'Données projet'!$B$36,N54+M55-V54)))</f>
        <v>608.59999999999968</v>
      </c>
      <c r="O55" s="14">
        <f>N55*VLOOKUP('Données projet'!$B$9,Paramètres!$A$1:$I$89,3,0)*VLOOKUP('Données projet'!$B$9,Paramètres!$A$1:$I$89,5,0)</f>
        <v>340.20739999999984</v>
      </c>
      <c r="P55" s="14">
        <f t="shared" si="33"/>
        <v>79.542795053996059</v>
      </c>
      <c r="Q55" s="22">
        <f t="shared" si="53"/>
        <v>731.06492305237623</v>
      </c>
      <c r="R55" s="62">
        <f t="shared" si="0"/>
        <v>1024.3982563857096</v>
      </c>
      <c r="S55" s="62">
        <f ca="1">AVERAGE(OFFSET($R$3,0,0,'Données projet'!$E$9+1,1))-AVERAGE(OFFSET($H$3,0,0,'Données projet'!$E$9+1,1))</f>
        <v>382.55387448074327</v>
      </c>
      <c r="T55" s="62">
        <f t="shared" si="34"/>
        <v>476.29465646955543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6.9884496462502543</v>
      </c>
      <c r="AA55" s="23">
        <f>EXP(-LN(2)/25)*AA54+(1-EXP(-LN(2)/25))/(LN(2)/25)*Calculateur!V55*Calculateur!X55*VLOOKUP('Données projet'!$B$9,Paramètres!$A$1:$I$89,3,0)*0.475*44/12</f>
        <v>7.7267958302958224</v>
      </c>
      <c r="AB55" s="23">
        <f>EXP(-LN(2)/2)*AB54+(1-EXP(-LN(2)/2))/(LN(2)/2)*V55*Y55*VLOOKUP('Données projet'!$B$9,Paramètres!$A$1:$I$89,3,0)*0.475*44/12</f>
        <v>6.4815271778868771E-3</v>
      </c>
      <c r="AC55" s="24">
        <f t="shared" si="3"/>
        <v>14.721727003723963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-5.6843418860808015E-14</v>
      </c>
      <c r="AJ55" s="14">
        <f>AI55*VLOOKUP('Données projet'!$B$10,Paramètres!$A$1:$I$89,3,0)*VLOOKUP('Données projet'!$B$10,Paramètres!$A$1:$I$89,5,0)</f>
        <v>-3.1036506698001178E-14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240.19940780300527</v>
      </c>
      <c r="AO55" s="62">
        <f t="shared" si="36"/>
        <v>355.71054384071715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2.698513705502771</v>
      </c>
      <c r="AV55" s="23">
        <f>EXP(-LN(2)/25)*AV54+(1-EXP(-LN(2)/25))/(LN(2)/25)*Calculateur!AQ55*Calculateur!AS55*VLOOKUP('Données projet'!$B$10,Paramètres!$A$1:$I$89,3,0)*0.475*44/12</f>
        <v>13.533950351734703</v>
      </c>
      <c r="AW55" s="23">
        <f>EXP(-LN(2)/2)*AW54+(1-EXP(-LN(2)/2))/(LN(2)/2)*AQ55*AT55*VLOOKUP('Données projet'!$B$10,Paramètres!$A$1:$I$89,3,0)*0.475*44/12</f>
        <v>8.0635146146108335E-3</v>
      </c>
      <c r="AX55" s="23">
        <f t="shared" si="6"/>
        <v>16.240527571852084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13.8</v>
      </c>
      <c r="N56" s="14">
        <f>IF('Données projet'!$A$36&gt;35,N55+M56-V55,IF(A56&lt;'Données projet'!$A$36,$K$205^A56,IF(A56='Données projet'!$A$36,'Données projet'!$B$36,N55+M56-V55)))</f>
        <v>622.39999999999964</v>
      </c>
      <c r="O56" s="14">
        <f>N56*VLOOKUP('Données projet'!$B$9,Paramètres!$A$1:$I$89,3,0)*VLOOKUP('Données projet'!$B$9,Paramètres!$A$1:$I$89,5,0)</f>
        <v>347.92159999999978</v>
      </c>
      <c r="P56" s="14">
        <f t="shared" si="33"/>
        <v>81.134398856989449</v>
      </c>
      <c r="Q56" s="22">
        <f t="shared" si="53"/>
        <v>747.27253134258956</v>
      </c>
      <c r="R56" s="62">
        <f t="shared" si="0"/>
        <v>1040.6058646759229</v>
      </c>
      <c r="S56" s="62">
        <f ca="1">AVERAGE(OFFSET($R$3,0,0,'Données projet'!$E$9+1,1))-AVERAGE(OFFSET($H$3,0,0,'Données projet'!$E$9+1,1))</f>
        <v>382.55387448074327</v>
      </c>
      <c r="T56" s="62">
        <f t="shared" si="34"/>
        <v>476.29465646955543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6.8514104112206811</v>
      </c>
      <c r="AA56" s="23">
        <f>EXP(-LN(2)/25)*AA55+(1-EXP(-LN(2)/25))/(LN(2)/25)*Calculateur!V56*Calculateur!X56*VLOOKUP('Données projet'!$B$9,Paramètres!$A$1:$I$89,3,0)*0.475*44/12</f>
        <v>7.5155061919818502</v>
      </c>
      <c r="AB56" s="23">
        <f>EXP(-LN(2)/2)*AB55+(1-EXP(-LN(2)/2))/(LN(2)/2)*V56*Y56*VLOOKUP('Données projet'!$B$9,Paramètres!$A$1:$I$89,3,0)*0.475*44/12</f>
        <v>4.5831318199287168E-3</v>
      </c>
      <c r="AC56" s="24">
        <f t="shared" si="3"/>
        <v>14.371499735022461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-5.6843418860808015E-14</v>
      </c>
      <c r="AJ56" s="14">
        <f>AI56*VLOOKUP('Données projet'!$B$10,Paramètres!$A$1:$I$89,3,0)*VLOOKUP('Données projet'!$B$10,Paramètres!$A$1:$I$89,5,0)</f>
        <v>-3.1036506698001178E-14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240.19940780300527</v>
      </c>
      <c r="AO56" s="62">
        <f t="shared" si="36"/>
        <v>355.71054384071715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2.6455974976687</v>
      </c>
      <c r="AV56" s="23">
        <f>EXP(-LN(2)/25)*AV55+(1-EXP(-LN(2)/25))/(LN(2)/25)*Calculateur!AQ56*Calculateur!AS56*VLOOKUP('Données projet'!$B$10,Paramètres!$A$1:$I$89,3,0)*0.475*44/12</f>
        <v>13.163863767647001</v>
      </c>
      <c r="AW56" s="23">
        <f>EXP(-LN(2)/2)*AW55+(1-EXP(-LN(2)/2))/(LN(2)/2)*AQ56*AT56*VLOOKUP('Données projet'!$B$10,Paramètres!$A$1:$I$89,3,0)*0.475*44/12</f>
        <v>5.7017658641881509E-3</v>
      </c>
      <c r="AX56" s="23">
        <f t="shared" si="6"/>
        <v>15.815163031179889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13.8</v>
      </c>
      <c r="N57" s="14">
        <f>IF('Données projet'!$A$36&gt;35,N56+M57-V56,IF(A57&lt;'Données projet'!$A$36,$K$205^A57,IF(A57='Données projet'!$A$36,'Données projet'!$B$36,N56+M57-V56)))</f>
        <v>636.19999999999959</v>
      </c>
      <c r="O57" s="14">
        <f>N57*VLOOKUP('Données projet'!$B$9,Paramètres!$A$1:$I$89,3,0)*VLOOKUP('Données projet'!$B$9,Paramètres!$A$1:$I$89,5,0)</f>
        <v>355.63579999999973</v>
      </c>
      <c r="P57" s="14">
        <f t="shared" si="33"/>
        <v>82.721899912765039</v>
      </c>
      <c r="Q57" s="22">
        <f t="shared" si="53"/>
        <v>763.47299401473185</v>
      </c>
      <c r="R57" s="62">
        <f t="shared" si="0"/>
        <v>1056.8063273480652</v>
      </c>
      <c r="S57" s="62">
        <f ca="1">AVERAGE(OFFSET($R$3,0,0,'Données projet'!$E$9+1,1))-AVERAGE(OFFSET($H$3,0,0,'Données projet'!$E$9+1,1))</f>
        <v>382.55387448074327</v>
      </c>
      <c r="T57" s="62">
        <f t="shared" si="34"/>
        <v>476.29465646955543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6.7170584320043574</v>
      </c>
      <c r="AA57" s="23">
        <f>EXP(-LN(2)/25)*AA56+(1-EXP(-LN(2)/25))/(LN(2)/25)*Calculateur!V57*Calculateur!X57*VLOOKUP('Données projet'!$B$9,Paramètres!$A$1:$I$89,3,0)*0.475*44/12</f>
        <v>7.3099942799388131</v>
      </c>
      <c r="AB57" s="23">
        <f>EXP(-LN(2)/2)*AB56+(1-EXP(-LN(2)/2))/(LN(2)/2)*V57*Y57*VLOOKUP('Données projet'!$B$9,Paramètres!$A$1:$I$89,3,0)*0.475*44/12</f>
        <v>3.2407635889434385E-3</v>
      </c>
      <c r="AC57" s="24">
        <f t="shared" si="3"/>
        <v>14.030293475532114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-5.6843418860808015E-14</v>
      </c>
      <c r="AJ57" s="14">
        <f>AI57*VLOOKUP('Données projet'!$B$10,Paramètres!$A$1:$I$89,3,0)*VLOOKUP('Données projet'!$B$10,Paramètres!$A$1:$I$89,5,0)</f>
        <v>-3.1036506698001178E-14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240.19940780300527</v>
      </c>
      <c r="AO57" s="62">
        <f t="shared" si="36"/>
        <v>355.71054384071715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2.593718944394555</v>
      </c>
      <c r="AV57" s="23">
        <f>EXP(-LN(2)/25)*AV56+(1-EXP(-LN(2)/25))/(LN(2)/25)*Calculateur!AQ57*Calculateur!AS57*VLOOKUP('Données projet'!$B$10,Paramètres!$A$1:$I$89,3,0)*0.475*44/12</f>
        <v>12.803897220663185</v>
      </c>
      <c r="AW57" s="23">
        <f>EXP(-LN(2)/2)*AW56+(1-EXP(-LN(2)/2))/(LN(2)/2)*AQ57*AT57*VLOOKUP('Données projet'!$B$10,Paramètres!$A$1:$I$89,3,0)*0.475*44/12</f>
        <v>4.0317573073054168E-3</v>
      </c>
      <c r="AX57" s="23">
        <f t="shared" si="6"/>
        <v>15.401647922365045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650</v>
      </c>
      <c r="L58" s="13">
        <f>VLOOKUP(A58,'Données projet'!$A$35:$I$55,9,0)</f>
        <v>13.8</v>
      </c>
      <c r="M58" s="13">
        <f t="array" ref="M58">INDEX(L:L,MIN(IF(ISNUMBER(L58:L254),ROW(L58:L254),"")))</f>
        <v>13.8</v>
      </c>
      <c r="N58" s="14">
        <f>IF('Données projet'!$A$36&gt;35,N57+M58-V57,IF(A58&lt;'Données projet'!$A$36,$K$205^A58,IF(A58='Données projet'!$A$36,'Données projet'!$B$36,N57+M58-V57)))</f>
        <v>649.99999999999955</v>
      </c>
      <c r="O58" s="14">
        <f>N58*VLOOKUP('Données projet'!$B$9,Paramètres!$A$1:$I$89,3,0)*VLOOKUP('Données projet'!$B$9,Paramètres!$A$1:$I$89,5,0)</f>
        <v>363.34999999999974</v>
      </c>
      <c r="P58" s="14">
        <f t="shared" si="33"/>
        <v>84.305397464498199</v>
      </c>
      <c r="Q58" s="22">
        <f t="shared" si="53"/>
        <v>779.66648391733395</v>
      </c>
      <c r="R58" s="62">
        <f t="shared" si="0"/>
        <v>1072.9998172506673</v>
      </c>
      <c r="S58" s="62">
        <f ca="1">AVERAGE(OFFSET($R$3,0,0,'Données projet'!$E$9+1,1))-AVERAGE(OFFSET($H$3,0,0,'Données projet'!$E$9+1,1))</f>
        <v>382.55387448074327</v>
      </c>
      <c r="T58" s="62">
        <f t="shared" si="34"/>
        <v>476.29465646955543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35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6.5853410131538501</v>
      </c>
      <c r="AA58" s="23">
        <f>EXP(-LN(2)/25)*AA57+(1-EXP(-LN(2)/25))/(LN(2)/25)*Calculateur!V58*Calculateur!X58*VLOOKUP('Données projet'!$B$9,Paramètres!$A$1:$I$89,3,0)*0.475*44/12</f>
        <v>7.1101021019379944</v>
      </c>
      <c r="AB58" s="23">
        <f>EXP(-LN(2)/2)*AB57+(1-EXP(-LN(2)/2))/(LN(2)/2)*V58*Y58*VLOOKUP('Données projet'!$B$9,Paramètres!$A$1:$I$89,3,0)*0.475*44/12</f>
        <v>2.2915659099643584E-3</v>
      </c>
      <c r="AC58" s="24">
        <f t="shared" si="3"/>
        <v>13.697734681001808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-5.6843418860808015E-14</v>
      </c>
      <c r="AJ58" s="14">
        <f>AI58*VLOOKUP('Données projet'!$B$10,Paramètres!$A$1:$I$89,3,0)*VLOOKUP('Données projet'!$B$10,Paramètres!$A$1:$I$89,5,0)</f>
        <v>-3.1036506698001178E-14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240.19940780300527</v>
      </c>
      <c r="AO58" s="62">
        <f t="shared" si="36"/>
        <v>355.71054384071715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2.5428576979073232</v>
      </c>
      <c r="AV58" s="23">
        <f>EXP(-LN(2)/25)*AV57+(1-EXP(-LN(2)/25))/(LN(2)/25)*Calculateur!AQ58*Calculateur!AS58*VLOOKUP('Données projet'!$B$10,Paramètres!$A$1:$I$89,3,0)*0.475*44/12</f>
        <v>12.453773977836459</v>
      </c>
      <c r="AW58" s="23">
        <f>EXP(-LN(2)/2)*AW57+(1-EXP(-LN(2)/2))/(LN(2)/2)*AQ58*AT58*VLOOKUP('Données projet'!$B$10,Paramètres!$A$1:$I$89,3,0)*0.475*44/12</f>
        <v>2.8508829320940754E-3</v>
      </c>
      <c r="AX58" s="23">
        <f t="shared" si="6"/>
        <v>14.999482558675876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10.199999999999999</v>
      </c>
      <c r="N59" s="14">
        <f>IF('Données projet'!$A$36&gt;35,N58+M59-V58,IF(A59&lt;'Données projet'!$A$36,$K$205^A59,IF(A59='Données projet'!$A$36,'Données projet'!$B$36,N58+M59-V58)))</f>
        <v>625.19999999999959</v>
      </c>
      <c r="O59" s="14">
        <f>N59*VLOOKUP('Données projet'!$B$9,Paramètres!$A$1:$I$89,3,0)*VLOOKUP('Données projet'!$B$9,Paramètres!$A$1:$I$89,5,0)</f>
        <v>349.48679999999979</v>
      </c>
      <c r="P59" s="14">
        <f t="shared" si="33"/>
        <v>81.45682900536228</v>
      </c>
      <c r="Q59" s="22">
        <f t="shared" si="53"/>
        <v>750.56015385100557</v>
      </c>
      <c r="R59" s="62">
        <f t="shared" si="0"/>
        <v>1043.8934871843389</v>
      </c>
      <c r="S59" s="62">
        <f ca="1">AVERAGE(OFFSET($R$3,0,0,'Données projet'!$E$9+1,1))-AVERAGE(OFFSET($H$3,0,0,'Données projet'!$E$9+1,1))</f>
        <v>382.55387448074327</v>
      </c>
      <c r="T59" s="62">
        <f t="shared" si="34"/>
        <v>476.29465646955543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6.4562064925473086</v>
      </c>
      <c r="AA59" s="23">
        <f>EXP(-LN(2)/25)*AA58+(1-EXP(-LN(2)/25))/(LN(2)/25)*Calculateur!V59*Calculateur!X59*VLOOKUP('Données projet'!$B$9,Paramètres!$A$1:$I$89,3,0)*0.475*44/12</f>
        <v>6.9156759860564812</v>
      </c>
      <c r="AB59" s="23">
        <f>EXP(-LN(2)/2)*AB58+(1-EXP(-LN(2)/2))/(LN(2)/2)*V59*Y59*VLOOKUP('Données projet'!$B$9,Paramètres!$A$1:$I$89,3,0)*0.475*44/12</f>
        <v>1.6203817944717193E-3</v>
      </c>
      <c r="AC59" s="24">
        <f t="shared" si="3"/>
        <v>13.373502860398263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-5.6843418860808015E-14</v>
      </c>
      <c r="AJ59" s="14">
        <f>AI59*VLOOKUP('Données projet'!$B$10,Paramètres!$A$1:$I$89,3,0)*VLOOKUP('Données projet'!$B$10,Paramètres!$A$1:$I$89,5,0)</f>
        <v>-3.1036506698001178E-14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240.19940780300527</v>
      </c>
      <c r="AO59" s="62">
        <f t="shared" si="36"/>
        <v>355.71054384071715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2.4929938094414088</v>
      </c>
      <c r="AV59" s="23">
        <f>EXP(-LN(2)/25)*AV58+(1-EXP(-LN(2)/25))/(LN(2)/25)*Calculateur!AQ59*Calculateur!AS59*VLOOKUP('Données projet'!$B$10,Paramètres!$A$1:$I$89,3,0)*0.475*44/12</f>
        <v>12.11322487349701</v>
      </c>
      <c r="AW59" s="23">
        <f>EXP(-LN(2)/2)*AW58+(1-EXP(-LN(2)/2))/(LN(2)/2)*AQ59*AT59*VLOOKUP('Données projet'!$B$10,Paramètres!$A$1:$I$89,3,0)*0.475*44/12</f>
        <v>2.0158786536527084E-3</v>
      </c>
      <c r="AX59" s="23">
        <f t="shared" si="6"/>
        <v>14.608234561592072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10.199999999999999</v>
      </c>
      <c r="N60" s="14">
        <f>IF('Données projet'!$A$36&gt;35,N59+M60-V59,IF(A60&lt;'Données projet'!$A$36,$K$205^A60,IF(A60='Données projet'!$A$36,'Données projet'!$B$36,N59+M60-V59)))</f>
        <v>635.39999999999964</v>
      </c>
      <c r="O60" s="14">
        <f>N60*VLOOKUP('Données projet'!$B$9,Paramètres!$A$1:$I$89,3,0)*VLOOKUP('Données projet'!$B$9,Paramètres!$A$1:$I$89,5,0)</f>
        <v>355.18859999999984</v>
      </c>
      <c r="P60" s="14">
        <f t="shared" si="33"/>
        <v>82.629981116726043</v>
      </c>
      <c r="Q60" s="22">
        <f t="shared" si="53"/>
        <v>762.53402877829774</v>
      </c>
      <c r="R60" s="62">
        <f t="shared" si="0"/>
        <v>1055.8673621116311</v>
      </c>
      <c r="S60" s="62">
        <f ca="1">AVERAGE(OFFSET($R$3,0,0,'Données projet'!$E$9+1,1))-AVERAGE(OFFSET($H$3,0,0,'Données projet'!$E$9+1,1))</f>
        <v>382.55387448074327</v>
      </c>
      <c r="T60" s="62">
        <f t="shared" si="34"/>
        <v>476.29465646955543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6.3296042211255816</v>
      </c>
      <c r="AA60" s="23">
        <f>EXP(-LN(2)/25)*AA59+(1-EXP(-LN(2)/25))/(LN(2)/25)*Calculateur!V60*Calculateur!X60*VLOOKUP('Données projet'!$B$9,Paramètres!$A$1:$I$89,3,0)*0.475*44/12</f>
        <v>6.7265664625381723</v>
      </c>
      <c r="AB60" s="23">
        <f>EXP(-LN(2)/2)*AB59+(1-EXP(-LN(2)/2))/(LN(2)/2)*V60*Y60*VLOOKUP('Données projet'!$B$9,Paramètres!$A$1:$I$89,3,0)*0.475*44/12</f>
        <v>1.1457829549821792E-3</v>
      </c>
      <c r="AC60" s="24">
        <f t="shared" si="3"/>
        <v>13.057316466618737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-5.6843418860808015E-14</v>
      </c>
      <c r="AJ60" s="14">
        <f>AI60*VLOOKUP('Données projet'!$B$10,Paramètres!$A$1:$I$89,3,0)*VLOOKUP('Données projet'!$B$10,Paramètres!$A$1:$I$89,5,0)</f>
        <v>-3.1036506698001178E-14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240.19940780300527</v>
      </c>
      <c r="AO60" s="62">
        <f t="shared" si="36"/>
        <v>355.71054384071715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2.4441077214143423</v>
      </c>
      <c r="AV60" s="23">
        <f>EXP(-LN(2)/25)*AV59+(1-EXP(-LN(2)/25))/(LN(2)/25)*Calculateur!AQ60*Calculateur!AS60*VLOOKUP('Données projet'!$B$10,Paramètres!$A$1:$I$89,3,0)*0.475*44/12</f>
        <v>11.781988102324425</v>
      </c>
      <c r="AW60" s="23">
        <f>EXP(-LN(2)/2)*AW59+(1-EXP(-LN(2)/2))/(LN(2)/2)*AQ60*AT60*VLOOKUP('Données projet'!$B$10,Paramètres!$A$1:$I$89,3,0)*0.475*44/12</f>
        <v>1.4254414660470377E-3</v>
      </c>
      <c r="AX60" s="23">
        <f t="shared" si="6"/>
        <v>14.227521265204814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10.199999999999999</v>
      </c>
      <c r="N61" s="14">
        <f>IF('Données projet'!$A$36&gt;35,N60+M61-V60,IF(A61&lt;'Données projet'!$A$36,$K$205^A61,IF(A61='Données projet'!$A$36,'Données projet'!$B$36,N60+M61-V60)))</f>
        <v>645.59999999999968</v>
      </c>
      <c r="O61" s="14">
        <f>N61*VLOOKUP('Données projet'!$B$9,Paramètres!$A$1:$I$89,3,0)*VLOOKUP('Données projet'!$B$9,Paramètres!$A$1:$I$89,5,0)</f>
        <v>360.89039999999977</v>
      </c>
      <c r="P61" s="14">
        <f t="shared" si="33"/>
        <v>83.800943075865291</v>
      </c>
      <c r="Q61" s="22">
        <f t="shared" si="53"/>
        <v>774.50408919046504</v>
      </c>
      <c r="R61" s="62">
        <f t="shared" si="0"/>
        <v>1067.8374225237983</v>
      </c>
      <c r="S61" s="62">
        <f ca="1">AVERAGE(OFFSET($R$3,0,0,'Données projet'!$E$9+1,1))-AVERAGE(OFFSET($H$3,0,0,'Données projet'!$E$9+1,1))</f>
        <v>382.55387448074327</v>
      </c>
      <c r="T61" s="62">
        <f t="shared" si="34"/>
        <v>476.29465646955543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6.2054845430266736</v>
      </c>
      <c r="AA61" s="23">
        <f>EXP(-LN(2)/25)*AA60+(1-EXP(-LN(2)/25))/(LN(2)/25)*Calculateur!V61*Calculateur!X61*VLOOKUP('Données projet'!$B$9,Paramètres!$A$1:$I$89,3,0)*0.475*44/12</f>
        <v>6.5426281488853091</v>
      </c>
      <c r="AB61" s="23">
        <f>EXP(-LN(2)/2)*AB60+(1-EXP(-LN(2)/2))/(LN(2)/2)*V61*Y61*VLOOKUP('Données projet'!$B$9,Paramètres!$A$1:$I$89,3,0)*0.475*44/12</f>
        <v>8.1019089723585963E-4</v>
      </c>
      <c r="AC61" s="24">
        <f t="shared" si="3"/>
        <v>12.748922882809218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-5.6843418860808015E-14</v>
      </c>
      <c r="AJ61" s="14">
        <f>AI61*VLOOKUP('Données projet'!$B$10,Paramètres!$A$1:$I$89,3,0)*VLOOKUP('Données projet'!$B$10,Paramètres!$A$1:$I$89,5,0)</f>
        <v>-3.1036506698001178E-14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240.19940780300527</v>
      </c>
      <c r="AO61" s="62">
        <f t="shared" si="36"/>
        <v>355.71054384071715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2.396180259755917</v>
      </c>
      <c r="AV61" s="23">
        <f>EXP(-LN(2)/25)*AV60+(1-EXP(-LN(2)/25))/(LN(2)/25)*Calculateur!AQ61*Calculateur!AS61*VLOOKUP('Données projet'!$B$10,Paramètres!$A$1:$I$89,3,0)*0.475*44/12</f>
        <v>11.459809018078538</v>
      </c>
      <c r="AW61" s="23">
        <f>EXP(-LN(2)/2)*AW60+(1-EXP(-LN(2)/2))/(LN(2)/2)*AQ61*AT61*VLOOKUP('Données projet'!$B$10,Paramètres!$A$1:$I$89,3,0)*0.475*44/12</f>
        <v>1.0079393268263542E-3</v>
      </c>
      <c r="AX61" s="23">
        <f t="shared" si="6"/>
        <v>13.856997217161281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10.199999999999999</v>
      </c>
      <c r="N62" s="14">
        <f>IF('Données projet'!$A$36&gt;35,N61+M62-V61,IF(A62&lt;'Données projet'!$A$36,$K$205^A62,IF(A62='Données projet'!$A$36,'Données projet'!$B$36,N61+M62-V61)))</f>
        <v>655.79999999999973</v>
      </c>
      <c r="O62" s="14">
        <f>N62*VLOOKUP('Données projet'!$B$9,Paramètres!$A$1:$I$89,3,0)*VLOOKUP('Données projet'!$B$9,Paramètres!$A$1:$I$89,5,0)</f>
        <v>366.59219999999982</v>
      </c>
      <c r="P62" s="14">
        <f t="shared" si="33"/>
        <v>84.969753481055022</v>
      </c>
      <c r="Q62" s="22">
        <f t="shared" si="53"/>
        <v>786.47040231283711</v>
      </c>
      <c r="R62" s="62">
        <f t="shared" si="0"/>
        <v>1079.8037356461705</v>
      </c>
      <c r="S62" s="62">
        <f ca="1">AVERAGE(OFFSET($R$3,0,0,'Données projet'!$E$9+1,1))-AVERAGE(OFFSET($H$3,0,0,'Données projet'!$E$9+1,1))</f>
        <v>382.55387448074327</v>
      </c>
      <c r="T62" s="62">
        <f t="shared" si="34"/>
        <v>476.29465646955543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6.0837987761097567</v>
      </c>
      <c r="AA62" s="23">
        <f>EXP(-LN(2)/25)*AA61+(1-EXP(-LN(2)/25))/(LN(2)/25)*Calculateur!V62*Calculateur!X62*VLOOKUP('Données projet'!$B$9,Paramètres!$A$1:$I$89,3,0)*0.475*44/12</f>
        <v>6.3637196380921797</v>
      </c>
      <c r="AB62" s="23">
        <f>EXP(-LN(2)/2)*AB61+(1-EXP(-LN(2)/2))/(LN(2)/2)*V62*Y62*VLOOKUP('Données projet'!$B$9,Paramètres!$A$1:$I$89,3,0)*0.475*44/12</f>
        <v>5.728914774910896E-4</v>
      </c>
      <c r="AC62" s="24">
        <f t="shared" si="3"/>
        <v>12.448091305679428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-5.6843418860808015E-14</v>
      </c>
      <c r="AJ62" s="14">
        <f>AI62*VLOOKUP('Données projet'!$B$10,Paramètres!$A$1:$I$89,3,0)*VLOOKUP('Données projet'!$B$10,Paramètres!$A$1:$I$89,5,0)</f>
        <v>-3.1036506698001178E-14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240.19940780300527</v>
      </c>
      <c r="AO62" s="62">
        <f t="shared" si="36"/>
        <v>355.71054384071715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2.3491926263877483</v>
      </c>
      <c r="AV62" s="23">
        <f>EXP(-LN(2)/25)*AV61+(1-EXP(-LN(2)/25))/(LN(2)/25)*Calculateur!AQ62*Calculateur!AS62*VLOOKUP('Données projet'!$B$10,Paramètres!$A$1:$I$89,3,0)*0.475*44/12</f>
        <v>11.146439937834016</v>
      </c>
      <c r="AW62" s="23">
        <f>EXP(-LN(2)/2)*AW61+(1-EXP(-LN(2)/2))/(LN(2)/2)*AQ62*AT62*VLOOKUP('Données projet'!$B$10,Paramètres!$A$1:$I$89,3,0)*0.475*44/12</f>
        <v>7.1272073302351886E-4</v>
      </c>
      <c r="AX62" s="23">
        <f t="shared" si="6"/>
        <v>13.496345284954788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666</v>
      </c>
      <c r="L63" s="13">
        <f>VLOOKUP(A63,'Données projet'!$A$35:$I$55,9,0)</f>
        <v>10.199999999999999</v>
      </c>
      <c r="M63" s="13">
        <f t="array" ref="M63">INDEX(L:L,MIN(IF(ISNUMBER(L63:L259),ROW(L63:L259),"")))</f>
        <v>10.199999999999999</v>
      </c>
      <c r="N63" s="14">
        <f>IF('Données projet'!$A$36&gt;35,N62+M63-V62,IF(A63&lt;'Données projet'!$A$36,$K$205^A63,IF(A63='Données projet'!$A$36,'Données projet'!$B$36,N62+M63-V62)))</f>
        <v>665.99999999999977</v>
      </c>
      <c r="O63" s="14">
        <f>N63*VLOOKUP('Données projet'!$B$9,Paramètres!$A$1:$I$89,3,0)*VLOOKUP('Données projet'!$B$9,Paramètres!$A$1:$I$89,5,0)</f>
        <v>372.29399999999987</v>
      </c>
      <c r="P63" s="14">
        <f t="shared" si="33"/>
        <v>86.136449661008839</v>
      </c>
      <c r="Q63" s="22">
        <f t="shared" si="53"/>
        <v>798.43303315959008</v>
      </c>
      <c r="R63" s="62">
        <f t="shared" si="0"/>
        <v>1091.7663664929235</v>
      </c>
      <c r="S63" s="62">
        <f ca="1">AVERAGE(OFFSET($R$3,0,0,'Données projet'!$E$9+1,1))-AVERAGE(OFFSET($H$3,0,0,'Données projet'!$E$9+1,1))</f>
        <v>382.55387448074327</v>
      </c>
      <c r="T63" s="62">
        <f t="shared" si="34"/>
        <v>476.29465646955543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666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5.9644991928610915</v>
      </c>
      <c r="AA63" s="23">
        <f>EXP(-LN(2)/25)*AA62+(1-EXP(-LN(2)/25))/(LN(2)/25)*Calculateur!V63*Calculateur!X63*VLOOKUP('Données projet'!$B$9,Paramètres!$A$1:$I$89,3,0)*0.475*44/12</f>
        <v>6.1897033899350777</v>
      </c>
      <c r="AB63" s="23">
        <f>EXP(-LN(2)/2)*AB62+(1-EXP(-LN(2)/2))/(LN(2)/2)*V63*Y63*VLOOKUP('Données projet'!$B$9,Paramètres!$A$1:$I$89,3,0)*0.475*44/12</f>
        <v>4.0509544861792982E-4</v>
      </c>
      <c r="AC63" s="24">
        <f t="shared" si="3"/>
        <v>12.154607678244789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-5.6843418860808015E-14</v>
      </c>
      <c r="AJ63" s="14">
        <f>AI63*VLOOKUP('Données projet'!$B$10,Paramètres!$A$1:$I$89,3,0)*VLOOKUP('Données projet'!$B$10,Paramètres!$A$1:$I$89,5,0)</f>
        <v>-3.1036506698001178E-14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240.19940780300527</v>
      </c>
      <c r="AO63" s="62">
        <f t="shared" si="36"/>
        <v>355.71054384071715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2.3031263918503027</v>
      </c>
      <c r="AV63" s="23">
        <f>EXP(-LN(2)/25)*AV62+(1-EXP(-LN(2)/25))/(LN(2)/25)*Calculateur!AQ63*Calculateur!AS63*VLOOKUP('Données projet'!$B$10,Paramètres!$A$1:$I$89,3,0)*0.475*44/12</f>
        <v>10.841639951568144</v>
      </c>
      <c r="AW63" s="23">
        <f>EXP(-LN(2)/2)*AW62+(1-EXP(-LN(2)/2))/(LN(2)/2)*AQ63*AT63*VLOOKUP('Données projet'!$B$10,Paramètres!$A$1:$I$89,3,0)*0.475*44/12</f>
        <v>5.0396966341317709E-4</v>
      </c>
      <c r="AX63" s="23">
        <f t="shared" si="6"/>
        <v>13.145270313081859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-1.2710188457276673E-13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382.55387448074327</v>
      </c>
      <c r="T64" s="62">
        <f t="shared" si="34"/>
        <v>476.29465646955543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5.847539001674372</v>
      </c>
      <c r="AA64" s="23">
        <f>EXP(-LN(2)/25)*AA63+(1-EXP(-LN(2)/25))/(LN(2)/25)*Calculateur!V64*Calculateur!X64*VLOOKUP('Données projet'!$B$9,Paramètres!$A$1:$I$89,3,0)*0.475*44/12</f>
        <v>6.0204456252349487</v>
      </c>
      <c r="AB64" s="23">
        <f>EXP(-LN(2)/2)*AB63+(1-EXP(-LN(2)/2))/(LN(2)/2)*V64*Y64*VLOOKUP('Données projet'!$B$9,Paramètres!$A$1:$I$89,3,0)*0.475*44/12</f>
        <v>2.864457387455448E-4</v>
      </c>
      <c r="AC64" s="24">
        <f t="shared" si="3"/>
        <v>11.868271072648067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-5.6843418860808015E-14</v>
      </c>
      <c r="AJ64" s="14">
        <f>AI64*VLOOKUP('Données projet'!$B$10,Paramètres!$A$1:$I$89,3,0)*VLOOKUP('Données projet'!$B$10,Paramètres!$A$1:$I$89,5,0)</f>
        <v>-3.1036506698001178E-14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240.19940780300527</v>
      </c>
      <c r="AO64" s="62">
        <f t="shared" si="36"/>
        <v>355.71054384071715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2.2579634880745081</v>
      </c>
      <c r="AV64" s="23">
        <f>EXP(-LN(2)/25)*AV63+(1-EXP(-LN(2)/25))/(LN(2)/25)*Calculateur!AQ64*Calculateur!AS64*VLOOKUP('Données projet'!$B$10,Paramètres!$A$1:$I$89,3,0)*0.475*44/12</f>
        <v>10.545174736955447</v>
      </c>
      <c r="AW64" s="23">
        <f>EXP(-LN(2)/2)*AW63+(1-EXP(-LN(2)/2))/(LN(2)/2)*AQ64*AT64*VLOOKUP('Données projet'!$B$10,Paramètres!$A$1:$I$89,3,0)*0.475*44/12</f>
        <v>3.5636036651175943E-4</v>
      </c>
      <c r="AX64" s="23">
        <f t="shared" si="6"/>
        <v>12.803494585396466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-1.2710188457276673E-13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382.55387448074327</v>
      </c>
      <c r="T65" s="62">
        <f t="shared" si="34"/>
        <v>476.29465646955543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5.7328723284981518</v>
      </c>
      <c r="AA65" s="23">
        <f>EXP(-LN(2)/25)*AA64+(1-EXP(-LN(2)/25))/(LN(2)/25)*Calculateur!V65*Calculateur!X65*VLOOKUP('Données projet'!$B$9,Paramètres!$A$1:$I$89,3,0)*0.475*44/12</f>
        <v>5.8558162230114235</v>
      </c>
      <c r="AB65" s="23">
        <f>EXP(-LN(2)/2)*AB64+(1-EXP(-LN(2)/2))/(LN(2)/2)*V65*Y65*VLOOKUP('Données projet'!$B$9,Paramètres!$A$1:$I$89,3,0)*0.475*44/12</f>
        <v>2.0254772430896491E-4</v>
      </c>
      <c r="AC65" s="24">
        <f t="shared" si="3"/>
        <v>11.588891099233884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-5.6843418860808015E-14</v>
      </c>
      <c r="AJ65" s="14">
        <f>AI65*VLOOKUP('Données projet'!$B$10,Paramètres!$A$1:$I$89,3,0)*VLOOKUP('Données projet'!$B$10,Paramètres!$A$1:$I$89,5,0)</f>
        <v>-3.1036506698001178E-14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240.19940780300527</v>
      </c>
      <c r="AO65" s="62">
        <f t="shared" si="36"/>
        <v>355.71054384071715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2.2136862012951055</v>
      </c>
      <c r="AV65" s="23">
        <f>EXP(-LN(2)/25)*AV64+(1-EXP(-LN(2)/25))/(LN(2)/25)*Calculateur!AQ65*Calculateur!AS65*VLOOKUP('Données projet'!$B$10,Paramètres!$A$1:$I$89,3,0)*0.475*44/12</f>
        <v>10.256816379226763</v>
      </c>
      <c r="AW65" s="23">
        <f>EXP(-LN(2)/2)*AW64+(1-EXP(-LN(2)/2))/(LN(2)/2)*AQ65*AT65*VLOOKUP('Données projet'!$B$10,Paramètres!$A$1:$I$89,3,0)*0.475*44/12</f>
        <v>2.5198483170658855E-4</v>
      </c>
      <c r="AX65" s="23">
        <f t="shared" si="6"/>
        <v>12.470754565353575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-1.2710188457276673E-13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382.55387448074327</v>
      </c>
      <c r="T66" s="62">
        <f t="shared" si="34"/>
        <v>476.29465646955543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5.6204541988431522</v>
      </c>
      <c r="AA66" s="23">
        <f>EXP(-LN(2)/25)*AA65+(1-EXP(-LN(2)/25))/(LN(2)/25)*Calculateur!V66*Calculateur!X66*VLOOKUP('Données projet'!$B$9,Paramètres!$A$1:$I$89,3,0)*0.475*44/12</f>
        <v>5.695688620449185</v>
      </c>
      <c r="AB66" s="23">
        <f>EXP(-LN(2)/2)*AB65+(1-EXP(-LN(2)/2))/(LN(2)/2)*V66*Y66*VLOOKUP('Données projet'!$B$9,Paramètres!$A$1:$I$89,3,0)*0.475*44/12</f>
        <v>1.432228693727724E-4</v>
      </c>
      <c r="AC66" s="24">
        <f t="shared" si="3"/>
        <v>11.31628604216171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-5.6843418860808015E-14</v>
      </c>
      <c r="AJ66" s="14">
        <f>AI66*VLOOKUP('Données projet'!$B$10,Paramètres!$A$1:$I$89,3,0)*VLOOKUP('Données projet'!$B$10,Paramètres!$A$1:$I$89,5,0)</f>
        <v>-3.1036506698001178E-14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240.19940780300527</v>
      </c>
      <c r="AO66" s="62">
        <f t="shared" si="36"/>
        <v>355.71054384071715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2.1702771651029686</v>
      </c>
      <c r="AV66" s="23">
        <f>EXP(-LN(2)/25)*AV65+(1-EXP(-LN(2)/25))/(LN(2)/25)*Calculateur!AQ66*Calculateur!AS66*VLOOKUP('Données projet'!$B$10,Paramètres!$A$1:$I$89,3,0)*0.475*44/12</f>
        <v>9.976343195954275</v>
      </c>
      <c r="AW66" s="23">
        <f>EXP(-LN(2)/2)*AW65+(1-EXP(-LN(2)/2))/(LN(2)/2)*AQ66*AT66*VLOOKUP('Données projet'!$B$10,Paramètres!$A$1:$I$89,3,0)*0.475*44/12</f>
        <v>1.7818018325587971E-4</v>
      </c>
      <c r="AX66" s="23">
        <f t="shared" si="6"/>
        <v>12.146798541240498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-1.2710188457276673E-13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382.55387448074327</v>
      </c>
      <c r="T67" s="62">
        <f t="shared" si="34"/>
        <v>476.29465646955543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5.510240520142399</v>
      </c>
      <c r="AA67" s="23">
        <f>EXP(-LN(2)/25)*AA66+(1-EXP(-LN(2)/25))/(LN(2)/25)*Calculateur!V67*Calculateur!X67*VLOOKUP('Données projet'!$B$9,Paramètres!$A$1:$I$89,3,0)*0.475*44/12</f>
        <v>5.539939715599755</v>
      </c>
      <c r="AB67" s="23">
        <f>EXP(-LN(2)/2)*AB66+(1-EXP(-LN(2)/2))/(LN(2)/2)*V67*Y67*VLOOKUP('Données projet'!$B$9,Paramètres!$A$1:$I$89,3,0)*0.475*44/12</f>
        <v>1.0127386215448245E-4</v>
      </c>
      <c r="AC67" s="24">
        <f t="shared" si="3"/>
        <v>11.050281509604309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-5.6843418860808015E-14</v>
      </c>
      <c r="AJ67" s="14">
        <f>AI67*VLOOKUP('Données projet'!$B$10,Paramètres!$A$1:$I$89,3,0)*VLOOKUP('Données projet'!$B$10,Paramètres!$A$1:$I$89,5,0)</f>
        <v>-3.1036506698001178E-14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240.19940780300527</v>
      </c>
      <c r="AO67" s="62">
        <f t="shared" si="36"/>
        <v>355.71054384071715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2.1277193536336618</v>
      </c>
      <c r="AV67" s="23">
        <f>EXP(-LN(2)/25)*AV66+(1-EXP(-LN(2)/25))/(LN(2)/25)*Calculateur!AQ67*Calculateur!AS67*VLOOKUP('Données projet'!$B$10,Paramètres!$A$1:$I$89,3,0)*0.475*44/12</f>
        <v>9.7035395666278177</v>
      </c>
      <c r="AW67" s="23">
        <f>EXP(-LN(2)/2)*AW66+(1-EXP(-LN(2)/2))/(LN(2)/2)*AQ67*AT67*VLOOKUP('Données projet'!$B$10,Paramètres!$A$1:$I$89,3,0)*0.475*44/12</f>
        <v>1.2599241585329427E-4</v>
      </c>
      <c r="AX67" s="23">
        <f t="shared" si="6"/>
        <v>11.831384912677333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-1.2710188457276673E-13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382.55387448074327</v>
      </c>
      <c r="T68" s="62">
        <f t="shared" si="34"/>
        <v>476.29465646955543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5.4021880644572606</v>
      </c>
      <c r="AA68" s="23">
        <f>EXP(-LN(2)/25)*AA67+(1-EXP(-LN(2)/25))/(LN(2)/25)*Calculateur!V68*Calculateur!X68*VLOOKUP('Données projet'!$B$9,Paramètres!$A$1:$I$89,3,0)*0.475*44/12</f>
        <v>5.388449772743912</v>
      </c>
      <c r="AB68" s="23">
        <f>EXP(-LN(2)/2)*AB67+(1-EXP(-LN(2)/2))/(LN(2)/2)*V68*Y68*VLOOKUP('Données projet'!$B$9,Paramètres!$A$1:$I$89,3,0)*0.475*44/12</f>
        <v>7.16114346863862E-5</v>
      </c>
      <c r="AC68" s="24">
        <f t="shared" ref="AC68:AC131" si="57">SUM(Z68:AB68)</f>
        <v>10.790709448635859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-5.6843418860808015E-14</v>
      </c>
      <c r="AJ68" s="14">
        <f>AI68*VLOOKUP('Données projet'!$B$10,Paramètres!$A$1:$I$89,3,0)*VLOOKUP('Données projet'!$B$10,Paramètres!$A$1:$I$89,5,0)</f>
        <v>-3.1036506698001178E-14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240.19940780300527</v>
      </c>
      <c r="AO68" s="62">
        <f t="shared" si="36"/>
        <v>355.71054384071715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2.0859960748895663</v>
      </c>
      <c r="AV68" s="23">
        <f>EXP(-LN(2)/25)*AV67+(1-EXP(-LN(2)/25))/(LN(2)/25)*Calculateur!AQ68*Calculateur!AS68*VLOOKUP('Données projet'!$B$10,Paramètres!$A$1:$I$89,3,0)*0.475*44/12</f>
        <v>9.4381957668914112</v>
      </c>
      <c r="AW68" s="23">
        <f>EXP(-LN(2)/2)*AW67+(1-EXP(-LN(2)/2))/(LN(2)/2)*AQ68*AT68*VLOOKUP('Données projet'!$B$10,Paramètres!$A$1:$I$89,3,0)*0.475*44/12</f>
        <v>8.9090091627939857E-5</v>
      </c>
      <c r="AX68" s="23">
        <f t="shared" ref="AX68:AX131" si="60">SUM(AU68:AW68)</f>
        <v>11.524280931872605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-1.2710188457276673E-13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382.55387448074327</v>
      </c>
      <c r="T69" s="62">
        <f t="shared" ref="T69:T132" si="88">$T$3</f>
        <v>476.29465646955543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5.2962544515226178</v>
      </c>
      <c r="AA69" s="23">
        <f>EXP(-LN(2)/25)*AA68+(1-EXP(-LN(2)/25))/(LN(2)/25)*Calculateur!V69*Calculateur!X69*VLOOKUP('Données projet'!$B$9,Paramètres!$A$1:$I$89,3,0)*0.475*44/12</f>
        <v>5.2411023303419713</v>
      </c>
      <c r="AB69" s="23">
        <f>EXP(-LN(2)/2)*AB68+(1-EXP(-LN(2)/2))/(LN(2)/2)*V69*Y69*VLOOKUP('Données projet'!$B$9,Paramètres!$A$1:$I$89,3,0)*0.475*44/12</f>
        <v>5.0636931077241227E-5</v>
      </c>
      <c r="AC69" s="24">
        <f t="shared" si="57"/>
        <v>10.537407418795665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-5.6843418860808015E-14</v>
      </c>
      <c r="AJ69" s="14">
        <f>AI69*VLOOKUP('Données projet'!$B$10,Paramètres!$A$1:$I$89,3,0)*VLOOKUP('Données projet'!$B$10,Paramètres!$A$1:$I$89,5,0)</f>
        <v>-3.1036506698001178E-14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240.19940780300527</v>
      </c>
      <c r="AO69" s="62">
        <f t="shared" ref="AO69:AO132" si="90">$AO$3</f>
        <v>355.71054384071715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2.0450909641929553</v>
      </c>
      <c r="AV69" s="23">
        <f>EXP(-LN(2)/25)*AV68+(1-EXP(-LN(2)/25))/(LN(2)/25)*Calculateur!AQ69*Calculateur!AS69*VLOOKUP('Données projet'!$B$10,Paramètres!$A$1:$I$89,3,0)*0.475*44/12</f>
        <v>9.1801078073126217</v>
      </c>
      <c r="AW69" s="23">
        <f>EXP(-LN(2)/2)*AW68+(1-EXP(-LN(2)/2))/(LN(2)/2)*AQ69*AT69*VLOOKUP('Données projet'!$B$10,Paramètres!$A$1:$I$89,3,0)*0.475*44/12</f>
        <v>6.2996207926647137E-5</v>
      </c>
      <c r="AX69" s="23">
        <f t="shared" si="60"/>
        <v>11.225261767713503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-1.2710188457276673E-13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382.55387448074327</v>
      </c>
      <c r="T70" s="62">
        <f t="shared" si="88"/>
        <v>476.29465646955543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5.1923981321244996</v>
      </c>
      <c r="AA70" s="23">
        <f>EXP(-LN(2)/25)*AA69+(1-EXP(-LN(2)/25))/(LN(2)/25)*Calculateur!V70*Calculateur!X70*VLOOKUP('Données projet'!$B$9,Paramètres!$A$1:$I$89,3,0)*0.475*44/12</f>
        <v>5.0977841115011771</v>
      </c>
      <c r="AB70" s="23">
        <f>EXP(-LN(2)/2)*AB69+(1-EXP(-LN(2)/2))/(LN(2)/2)*V70*Y70*VLOOKUP('Données projet'!$B$9,Paramètres!$A$1:$I$89,3,0)*0.475*44/12</f>
        <v>3.58057173431931E-5</v>
      </c>
      <c r="AC70" s="24">
        <f t="shared" si="57"/>
        <v>10.29021804934302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-5.6843418860808015E-14</v>
      </c>
      <c r="AJ70" s="14">
        <f>AI70*VLOOKUP('Données projet'!$B$10,Paramètres!$A$1:$I$89,3,0)*VLOOKUP('Données projet'!$B$10,Paramètres!$A$1:$I$89,5,0)</f>
        <v>-3.1036506698001178E-14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240.19940780300527</v>
      </c>
      <c r="AO70" s="62">
        <f t="shared" si="90"/>
        <v>355.71054384071715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2.0049879777674509</v>
      </c>
      <c r="AV70" s="23">
        <f>EXP(-LN(2)/25)*AV69+(1-EXP(-LN(2)/25))/(LN(2)/25)*Calculateur!AQ70*Calculateur!AS70*VLOOKUP('Données projet'!$B$10,Paramètres!$A$1:$I$89,3,0)*0.475*44/12</f>
        <v>8.9290772765607702</v>
      </c>
      <c r="AW70" s="23">
        <f>EXP(-LN(2)/2)*AW69+(1-EXP(-LN(2)/2))/(LN(2)/2)*AQ70*AT70*VLOOKUP('Données projet'!$B$10,Paramètres!$A$1:$I$89,3,0)*0.475*44/12</f>
        <v>4.4545045813969929E-5</v>
      </c>
      <c r="AX70" s="23">
        <f t="shared" si="60"/>
        <v>10.934109799374035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-1.2710188457276673E-13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382.55387448074327</v>
      </c>
      <c r="T71" s="62">
        <f t="shared" si="88"/>
        <v>476.29465646955543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5.0905783718036783</v>
      </c>
      <c r="AA71" s="23">
        <f>EXP(-LN(2)/25)*AA70+(1-EXP(-LN(2)/25))/(LN(2)/25)*Calculateur!V71*Calculateur!X71*VLOOKUP('Données projet'!$B$9,Paramètres!$A$1:$I$89,3,0)*0.475*44/12</f>
        <v>4.9583849368913624</v>
      </c>
      <c r="AB71" s="23">
        <f>EXP(-LN(2)/2)*AB70+(1-EXP(-LN(2)/2))/(LN(2)/2)*V71*Y71*VLOOKUP('Données projet'!$B$9,Paramètres!$A$1:$I$89,3,0)*0.475*44/12</f>
        <v>2.5318465538620613E-5</v>
      </c>
      <c r="AC71" s="24">
        <f t="shared" si="57"/>
        <v>10.048988627160579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-5.6843418860808015E-14</v>
      </c>
      <c r="AJ71" s="14">
        <f>AI71*VLOOKUP('Données projet'!$B$10,Paramètres!$A$1:$I$89,3,0)*VLOOKUP('Données projet'!$B$10,Paramètres!$A$1:$I$89,5,0)</f>
        <v>-3.1036506698001178E-14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240.19940780300527</v>
      </c>
      <c r="AO71" s="62">
        <f t="shared" si="90"/>
        <v>355.71054384071715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1.9656713864453441</v>
      </c>
      <c r="AV71" s="23">
        <f>EXP(-LN(2)/25)*AV70+(1-EXP(-LN(2)/25))/(LN(2)/25)*Calculateur!AQ71*Calculateur!AS71*VLOOKUP('Données projet'!$B$10,Paramètres!$A$1:$I$89,3,0)*0.475*44/12</f>
        <v>8.6849111888734498</v>
      </c>
      <c r="AW71" s="23">
        <f>EXP(-LN(2)/2)*AW70+(1-EXP(-LN(2)/2))/(LN(2)/2)*AQ71*AT71*VLOOKUP('Données projet'!$B$10,Paramètres!$A$1:$I$89,3,0)*0.475*44/12</f>
        <v>3.1498103963323568E-5</v>
      </c>
      <c r="AX71" s="23">
        <f t="shared" si="60"/>
        <v>10.650614073422757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-1.2710188457276673E-13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382.55387448074327</v>
      </c>
      <c r="T72" s="62">
        <f t="shared" si="88"/>
        <v>476.29465646955543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4.9907552348788267</v>
      </c>
      <c r="AA72" s="23">
        <f>EXP(-LN(2)/25)*AA71+(1-EXP(-LN(2)/25))/(LN(2)/25)*Calculateur!V72*Calculateur!X72*VLOOKUP('Données projet'!$B$9,Paramètres!$A$1:$I$89,3,0)*0.475*44/12</f>
        <v>4.8227976400419372</v>
      </c>
      <c r="AB72" s="23">
        <f>EXP(-LN(2)/2)*AB71+(1-EXP(-LN(2)/2))/(LN(2)/2)*V72*Y72*VLOOKUP('Données projet'!$B$9,Paramètres!$A$1:$I$89,3,0)*0.475*44/12</f>
        <v>1.790285867159655E-5</v>
      </c>
      <c r="AC72" s="24">
        <f t="shared" si="57"/>
        <v>9.8135707777794341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-5.6843418860808015E-14</v>
      </c>
      <c r="AJ72" s="14">
        <f>AI72*VLOOKUP('Données projet'!$B$10,Paramètres!$A$1:$I$89,3,0)*VLOOKUP('Données projet'!$B$10,Paramètres!$A$1:$I$89,5,0)</f>
        <v>-3.1036506698001178E-14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240.19940780300527</v>
      </c>
      <c r="AO72" s="62">
        <f t="shared" si="90"/>
        <v>355.71054384071715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1.927125769498311</v>
      </c>
      <c r="AV72" s="23">
        <f>EXP(-LN(2)/25)*AV71+(1-EXP(-LN(2)/25))/(LN(2)/25)*Calculateur!AQ72*Calculateur!AS72*VLOOKUP('Données projet'!$B$10,Paramètres!$A$1:$I$89,3,0)*0.475*44/12</f>
        <v>8.447421835694076</v>
      </c>
      <c r="AW72" s="23">
        <f>EXP(-LN(2)/2)*AW71+(1-EXP(-LN(2)/2))/(LN(2)/2)*AQ72*AT72*VLOOKUP('Données projet'!$B$10,Paramètres!$A$1:$I$89,3,0)*0.475*44/12</f>
        <v>2.2272522906984964E-5</v>
      </c>
      <c r="AX72" s="23">
        <f t="shared" si="60"/>
        <v>10.374569877715293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-1.2710188457276673E-13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382.55387448074327</v>
      </c>
      <c r="T73" s="62">
        <f t="shared" si="88"/>
        <v>476.29465646955543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4.8928895687829703</v>
      </c>
      <c r="AA73" s="23">
        <f>EXP(-LN(2)/25)*AA72+(1-EXP(-LN(2)/25))/(LN(2)/25)*Calculateur!V73*Calculateur!X73*VLOOKUP('Données projet'!$B$9,Paramètres!$A$1:$I$89,3,0)*0.475*44/12</f>
        <v>4.6909179849550853</v>
      </c>
      <c r="AB73" s="23">
        <f>EXP(-LN(2)/2)*AB72+(1-EXP(-LN(2)/2))/(LN(2)/2)*V73*Y73*VLOOKUP('Données projet'!$B$9,Paramètres!$A$1:$I$89,3,0)*0.475*44/12</f>
        <v>1.2659232769310307E-5</v>
      </c>
      <c r="AC73" s="24">
        <f t="shared" si="57"/>
        <v>9.5838202129708243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-5.6843418860808015E-14</v>
      </c>
      <c r="AJ73" s="14">
        <f>AI73*VLOOKUP('Données projet'!$B$10,Paramètres!$A$1:$I$89,3,0)*VLOOKUP('Données projet'!$B$10,Paramètres!$A$1:$I$89,5,0)</f>
        <v>-3.1036506698001178E-14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240.19940780300527</v>
      </c>
      <c r="AO73" s="62">
        <f t="shared" si="90"/>
        <v>355.71054384071715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1.8893360085891044</v>
      </c>
      <c r="AV73" s="23">
        <f>EXP(-LN(2)/25)*AV72+(1-EXP(-LN(2)/25))/(LN(2)/25)*Calculateur!AQ73*Calculateur!AS73*VLOOKUP('Données projet'!$B$10,Paramètres!$A$1:$I$89,3,0)*0.475*44/12</f>
        <v>8.2164266413664144</v>
      </c>
      <c r="AW73" s="23">
        <f>EXP(-LN(2)/2)*AW72+(1-EXP(-LN(2)/2))/(LN(2)/2)*AQ73*AT73*VLOOKUP('Données projet'!$B$10,Paramètres!$A$1:$I$89,3,0)*0.475*44/12</f>
        <v>1.5749051981661784E-5</v>
      </c>
      <c r="AX73" s="23">
        <f t="shared" si="60"/>
        <v>10.105778399007502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-1.2710188457276673E-13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382.55387448074327</v>
      </c>
      <c r="T74" s="62">
        <f t="shared" si="88"/>
        <v>476.29465646955543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4.7969429887070918</v>
      </c>
      <c r="AA74" s="23">
        <f>EXP(-LN(2)/25)*AA73+(1-EXP(-LN(2)/25))/(LN(2)/25)*Calculateur!V74*Calculateur!X74*VLOOKUP('Données projet'!$B$9,Paramètres!$A$1:$I$89,3,0)*0.475*44/12</f>
        <v>4.5626445859718325</v>
      </c>
      <c r="AB74" s="23">
        <f>EXP(-LN(2)/2)*AB73+(1-EXP(-LN(2)/2))/(LN(2)/2)*V74*Y74*VLOOKUP('Données projet'!$B$9,Paramètres!$A$1:$I$89,3,0)*0.475*44/12</f>
        <v>8.9514293357982749E-6</v>
      </c>
      <c r="AC74" s="24">
        <f t="shared" si="57"/>
        <v>9.3595965261082608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-5.6843418860808015E-14</v>
      </c>
      <c r="AJ74" s="14">
        <f>AI74*VLOOKUP('Données projet'!$B$10,Paramètres!$A$1:$I$89,3,0)*VLOOKUP('Données projet'!$B$10,Paramètres!$A$1:$I$89,5,0)</f>
        <v>-3.1036506698001178E-14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240.19940780300527</v>
      </c>
      <c r="AO74" s="62">
        <f t="shared" si="90"/>
        <v>355.71054384071715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1.8522872818418492</v>
      </c>
      <c r="AV74" s="23">
        <f>EXP(-LN(2)/25)*AV73+(1-EXP(-LN(2)/25))/(LN(2)/25)*Calculateur!AQ74*Calculateur!AS74*VLOOKUP('Données projet'!$B$10,Paramètres!$A$1:$I$89,3,0)*0.475*44/12</f>
        <v>7.9917480227751518</v>
      </c>
      <c r="AW74" s="23">
        <f>EXP(-LN(2)/2)*AW73+(1-EXP(-LN(2)/2))/(LN(2)/2)*AQ74*AT74*VLOOKUP('Données projet'!$B$10,Paramètres!$A$1:$I$89,3,0)*0.475*44/12</f>
        <v>1.1136261453492482E-5</v>
      </c>
      <c r="AX74" s="23">
        <f t="shared" si="60"/>
        <v>9.844046440878456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-1.2710188457276673E-13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382.55387448074327</v>
      </c>
      <c r="T75" s="62">
        <f t="shared" si="88"/>
        <v>476.29465646955543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4.7028778625448657</v>
      </c>
      <c r="AA75" s="23">
        <f>EXP(-LN(2)/25)*AA74+(1-EXP(-LN(2)/25))/(LN(2)/25)*Calculateur!V75*Calculateur!X75*VLOOKUP('Données projet'!$B$9,Paramètres!$A$1:$I$89,3,0)*0.475*44/12</f>
        <v>4.4378788298293816</v>
      </c>
      <c r="AB75" s="23">
        <f>EXP(-LN(2)/2)*AB74+(1-EXP(-LN(2)/2))/(LN(2)/2)*V75*Y75*VLOOKUP('Données projet'!$B$9,Paramètres!$A$1:$I$89,3,0)*0.475*44/12</f>
        <v>6.3296163846551534E-6</v>
      </c>
      <c r="AC75" s="24">
        <f t="shared" si="57"/>
        <v>9.1407630219906313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-5.6843418860808015E-14</v>
      </c>
      <c r="AJ75" s="14">
        <f>AI75*VLOOKUP('Données projet'!$B$10,Paramètres!$A$1:$I$89,3,0)*VLOOKUP('Données projet'!$B$10,Paramètres!$A$1:$I$89,5,0)</f>
        <v>-3.1036506698001178E-14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240.19940780300527</v>
      </c>
      <c r="AO75" s="62">
        <f t="shared" si="90"/>
        <v>355.71054384071715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1.8159650580286155</v>
      </c>
      <c r="AV75" s="23">
        <f>EXP(-LN(2)/25)*AV74+(1-EXP(-LN(2)/25))/(LN(2)/25)*Calculateur!AQ75*Calculateur!AS75*VLOOKUP('Données projet'!$B$10,Paramètres!$A$1:$I$89,3,0)*0.475*44/12</f>
        <v>7.7732132528246023</v>
      </c>
      <c r="AW75" s="23">
        <f>EXP(-LN(2)/2)*AW74+(1-EXP(-LN(2)/2))/(LN(2)/2)*AQ75*AT75*VLOOKUP('Données projet'!$B$10,Paramètres!$A$1:$I$89,3,0)*0.475*44/12</f>
        <v>7.8745259908308921E-6</v>
      </c>
      <c r="AX75" s="23">
        <f t="shared" si="60"/>
        <v>9.5891861853792086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-1.2710188457276673E-13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382.55387448074327</v>
      </c>
      <c r="T76" s="62">
        <f t="shared" si="88"/>
        <v>476.29465646955543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4.6106572961326187</v>
      </c>
      <c r="AA76" s="23">
        <f>EXP(-LN(2)/25)*AA75+(1-EXP(-LN(2)/25))/(LN(2)/25)*Calculateur!V76*Calculateur!X76*VLOOKUP('Données projet'!$B$9,Paramètres!$A$1:$I$89,3,0)*0.475*44/12</f>
        <v>4.3165247998497929</v>
      </c>
      <c r="AB76" s="23">
        <f>EXP(-LN(2)/2)*AB75+(1-EXP(-LN(2)/2))/(LN(2)/2)*V76*Y76*VLOOKUP('Données projet'!$B$9,Paramètres!$A$1:$I$89,3,0)*0.475*44/12</f>
        <v>4.4757146678991375E-6</v>
      </c>
      <c r="AC76" s="24">
        <f t="shared" si="57"/>
        <v>8.9271865716970797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-5.6843418860808015E-14</v>
      </c>
      <c r="AJ76" s="14">
        <f>AI76*VLOOKUP('Données projet'!$B$10,Paramètres!$A$1:$I$89,3,0)*VLOOKUP('Données projet'!$B$10,Paramètres!$A$1:$I$89,5,0)</f>
        <v>-3.1036506698001178E-14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240.19940780300527</v>
      </c>
      <c r="AO76" s="62">
        <f t="shared" si="90"/>
        <v>355.71054384071715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1.7803550908699906</v>
      </c>
      <c r="AV76" s="23">
        <f>EXP(-LN(2)/25)*AV75+(1-EXP(-LN(2)/25))/(LN(2)/25)*Calculateur!AQ76*Calculateur!AS76*VLOOKUP('Données projet'!$B$10,Paramètres!$A$1:$I$89,3,0)*0.475*44/12</f>
        <v>7.5606543276505942</v>
      </c>
      <c r="AW76" s="23">
        <f>EXP(-LN(2)/2)*AW75+(1-EXP(-LN(2)/2))/(LN(2)/2)*AQ76*AT76*VLOOKUP('Données projet'!$B$10,Paramètres!$A$1:$I$89,3,0)*0.475*44/12</f>
        <v>5.5681307267462411E-6</v>
      </c>
      <c r="AX76" s="23">
        <f t="shared" si="60"/>
        <v>9.3410149866513112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-1.2710188457276673E-13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382.55387448074327</v>
      </c>
      <c r="T77" s="62">
        <f t="shared" si="88"/>
        <v>476.29465646955543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4.5202451187787247</v>
      </c>
      <c r="AA77" s="23">
        <f>EXP(-LN(2)/25)*AA76+(1-EXP(-LN(2)/25))/(LN(2)/25)*Calculateur!V77*Calculateur!X77*VLOOKUP('Données projet'!$B$9,Paramètres!$A$1:$I$89,3,0)*0.475*44/12</f>
        <v>4.1984892022017268</v>
      </c>
      <c r="AB77" s="23">
        <f>EXP(-LN(2)/2)*AB76+(1-EXP(-LN(2)/2))/(LN(2)/2)*V77*Y77*VLOOKUP('Données projet'!$B$9,Paramètres!$A$1:$I$89,3,0)*0.475*44/12</f>
        <v>3.1648081923275767E-6</v>
      </c>
      <c r="AC77" s="24">
        <f t="shared" si="57"/>
        <v>8.7187374857886439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-5.6843418860808015E-14</v>
      </c>
      <c r="AJ77" s="14">
        <f>AI77*VLOOKUP('Données projet'!$B$10,Paramètres!$A$1:$I$89,3,0)*VLOOKUP('Données projet'!$B$10,Paramètres!$A$1:$I$89,5,0)</f>
        <v>-3.1036506698001178E-14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240.19940780300527</v>
      </c>
      <c r="AO77" s="62">
        <f t="shared" si="90"/>
        <v>355.71054384071715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1.7454434134474108</v>
      </c>
      <c r="AV77" s="23">
        <f>EXP(-LN(2)/25)*AV76+(1-EXP(-LN(2)/25))/(LN(2)/25)*Calculateur!AQ77*Calculateur!AS77*VLOOKUP('Données projet'!$B$10,Paramètres!$A$1:$I$89,3,0)*0.475*44/12</f>
        <v>7.3539078374634581</v>
      </c>
      <c r="AW77" s="23">
        <f>EXP(-LN(2)/2)*AW76+(1-EXP(-LN(2)/2))/(LN(2)/2)*AQ77*AT77*VLOOKUP('Données projet'!$B$10,Paramètres!$A$1:$I$89,3,0)*0.475*44/12</f>
        <v>3.937262995415446E-6</v>
      </c>
      <c r="AX77" s="23">
        <f t="shared" si="60"/>
        <v>9.099355188173865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-1.2710188457276673E-13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382.55387448074327</v>
      </c>
      <c r="T78" s="62">
        <f t="shared" si="88"/>
        <v>476.29465646955543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4.4316058690767575</v>
      </c>
      <c r="AA78" s="23">
        <f>EXP(-LN(2)/25)*AA77+(1-EXP(-LN(2)/25))/(LN(2)/25)*Calculateur!V78*Calculateur!X78*VLOOKUP('Données projet'!$B$9,Paramètres!$A$1:$I$89,3,0)*0.475*44/12</f>
        <v>4.083681294178569</v>
      </c>
      <c r="AB78" s="23">
        <f>EXP(-LN(2)/2)*AB77+(1-EXP(-LN(2)/2))/(LN(2)/2)*V78*Y78*VLOOKUP('Données projet'!$B$9,Paramètres!$A$1:$I$89,3,0)*0.475*44/12</f>
        <v>2.2378573339495687E-6</v>
      </c>
      <c r="AC78" s="24">
        <f t="shared" si="57"/>
        <v>8.5152894011126605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-5.6843418860808015E-14</v>
      </c>
      <c r="AJ78" s="14">
        <f>AI78*VLOOKUP('Données projet'!$B$10,Paramètres!$A$1:$I$89,3,0)*VLOOKUP('Données projet'!$B$10,Paramètres!$A$1:$I$89,5,0)</f>
        <v>-3.1036506698001178E-14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240.19940780300527</v>
      </c>
      <c r="AO78" s="62">
        <f t="shared" si="90"/>
        <v>355.71054384071715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1.7112163327250673</v>
      </c>
      <c r="AV78" s="23">
        <f>EXP(-LN(2)/25)*AV77+(1-EXP(-LN(2)/25))/(LN(2)/25)*Calculateur!AQ78*Calculateur!AS78*VLOOKUP('Données projet'!$B$10,Paramètres!$A$1:$I$89,3,0)*0.475*44/12</f>
        <v>7.1528148409228143</v>
      </c>
      <c r="AW78" s="23">
        <f>EXP(-LN(2)/2)*AW77+(1-EXP(-LN(2)/2))/(LN(2)/2)*AQ78*AT78*VLOOKUP('Données projet'!$B$10,Paramètres!$A$1:$I$89,3,0)*0.475*44/12</f>
        <v>2.7840653633731205E-6</v>
      </c>
      <c r="AX78" s="23">
        <f t="shared" si="60"/>
        <v>8.8640339577132448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-1.2710188457276673E-13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382.55387448074327</v>
      </c>
      <c r="T79" s="62">
        <f t="shared" si="88"/>
        <v>476.29465646955543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4.3447047809968424</v>
      </c>
      <c r="AA79" s="23">
        <f>EXP(-LN(2)/25)*AA78+(1-EXP(-LN(2)/25))/(LN(2)/25)*Calculateur!V79*Calculateur!X79*VLOOKUP('Données projet'!$B$9,Paramètres!$A$1:$I$89,3,0)*0.475*44/12</f>
        <v>3.97201281443779</v>
      </c>
      <c r="AB79" s="23">
        <f>EXP(-LN(2)/2)*AB78+(1-EXP(-LN(2)/2))/(LN(2)/2)*V79*Y79*VLOOKUP('Données projet'!$B$9,Paramètres!$A$1:$I$89,3,0)*0.475*44/12</f>
        <v>1.5824040961637883E-6</v>
      </c>
      <c r="AC79" s="24">
        <f t="shared" si="57"/>
        <v>8.3167191778387277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-5.6843418860808015E-14</v>
      </c>
      <c r="AJ79" s="14">
        <f>AI79*VLOOKUP('Données projet'!$B$10,Paramètres!$A$1:$I$89,3,0)*VLOOKUP('Données projet'!$B$10,Paramètres!$A$1:$I$89,5,0)</f>
        <v>-3.1036506698001178E-14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240.19940780300527</v>
      </c>
      <c r="AO79" s="62">
        <f t="shared" si="90"/>
        <v>355.71054384071715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1.677660424179231</v>
      </c>
      <c r="AV79" s="23">
        <f>EXP(-LN(2)/25)*AV78+(1-EXP(-LN(2)/25))/(LN(2)/25)*Calculateur!AQ79*Calculateur!AS79*VLOOKUP('Données projet'!$B$10,Paramètres!$A$1:$I$89,3,0)*0.475*44/12</f>
        <v>6.9572207429475954</v>
      </c>
      <c r="AW79" s="23">
        <f>EXP(-LN(2)/2)*AW78+(1-EXP(-LN(2)/2))/(LN(2)/2)*AQ79*AT79*VLOOKUP('Données projet'!$B$10,Paramètres!$A$1:$I$89,3,0)*0.475*44/12</f>
        <v>1.968631497707723E-6</v>
      </c>
      <c r="AX79" s="23">
        <f t="shared" si="60"/>
        <v>8.634883135758324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-1.2710188457276673E-13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382.55387448074327</v>
      </c>
      <c r="T80" s="62">
        <f t="shared" si="88"/>
        <v>476.29465646955543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4.2595077702497441</v>
      </c>
      <c r="AA80" s="23">
        <f>EXP(-LN(2)/25)*AA79+(1-EXP(-LN(2)/25))/(LN(2)/25)*Calculateur!V80*Calculateur!X80*VLOOKUP('Données projet'!$B$9,Paramètres!$A$1:$I$89,3,0)*0.475*44/12</f>
        <v>3.863397915147913</v>
      </c>
      <c r="AB80" s="23">
        <f>EXP(-LN(2)/2)*AB79+(1-EXP(-LN(2)/2))/(LN(2)/2)*V80*Y80*VLOOKUP('Données projet'!$B$9,Paramètres!$A$1:$I$89,3,0)*0.475*44/12</f>
        <v>1.1189286669747844E-6</v>
      </c>
      <c r="AC80" s="24">
        <f t="shared" si="57"/>
        <v>8.1229068043263251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-5.6843418860808015E-14</v>
      </c>
      <c r="AJ80" s="14">
        <f>AI80*VLOOKUP('Données projet'!$B$10,Paramètres!$A$1:$I$89,3,0)*VLOOKUP('Données projet'!$B$10,Paramètres!$A$1:$I$89,5,0)</f>
        <v>-3.1036506698001178E-14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240.19940780300527</v>
      </c>
      <c r="AO80" s="62">
        <f t="shared" si="90"/>
        <v>355.71054384071715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1.6447625265328953</v>
      </c>
      <c r="AV80" s="23">
        <f>EXP(-LN(2)/25)*AV79+(1-EXP(-LN(2)/25))/(LN(2)/25)*Calculateur!AQ80*Calculateur!AS80*VLOOKUP('Données projet'!$B$10,Paramètres!$A$1:$I$89,3,0)*0.475*44/12</f>
        <v>6.7669751758673558</v>
      </c>
      <c r="AW80" s="23">
        <f>EXP(-LN(2)/2)*AW79+(1-EXP(-LN(2)/2))/(LN(2)/2)*AQ80*AT80*VLOOKUP('Données projet'!$B$10,Paramètres!$A$1:$I$89,3,0)*0.475*44/12</f>
        <v>1.3920326816865603E-6</v>
      </c>
      <c r="AX80" s="23">
        <f t="shared" si="60"/>
        <v>8.4117390944329316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-1.2710188457276673E-13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382.55387448074327</v>
      </c>
      <c r="T81" s="62">
        <f t="shared" si="88"/>
        <v>476.29465646955543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4.175981420918351</v>
      </c>
      <c r="AA81" s="23">
        <f>EXP(-LN(2)/25)*AA80+(1-EXP(-LN(2)/25))/(LN(2)/25)*Calculateur!V81*Calculateur!X81*VLOOKUP('Données projet'!$B$9,Paramètres!$A$1:$I$89,3,0)*0.475*44/12</f>
        <v>3.7577530959909269</v>
      </c>
      <c r="AB81" s="23">
        <f>EXP(-LN(2)/2)*AB80+(1-EXP(-LN(2)/2))/(LN(2)/2)*V81*Y81*VLOOKUP('Données projet'!$B$9,Paramètres!$A$1:$I$89,3,0)*0.475*44/12</f>
        <v>7.9120204808189417E-7</v>
      </c>
      <c r="AC81" s="24">
        <f t="shared" si="57"/>
        <v>7.9337353081113253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-5.6843418860808015E-14</v>
      </c>
      <c r="AJ81" s="14">
        <f>AI81*VLOOKUP('Données projet'!$B$10,Paramètres!$A$1:$I$89,3,0)*VLOOKUP('Données projet'!$B$10,Paramètres!$A$1:$I$89,5,0)</f>
        <v>-3.1036506698001178E-14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240.19940780300527</v>
      </c>
      <c r="AO81" s="62">
        <f t="shared" si="90"/>
        <v>355.71054384071715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1.612509736593668</v>
      </c>
      <c r="AV81" s="23">
        <f>EXP(-LN(2)/25)*AV80+(1-EXP(-LN(2)/25))/(LN(2)/25)*Calculateur!AQ81*Calculateur!AS81*VLOOKUP('Données projet'!$B$10,Paramètres!$A$1:$I$89,3,0)*0.475*44/12</f>
        <v>6.5819318838235041</v>
      </c>
      <c r="AW81" s="23">
        <f>EXP(-LN(2)/2)*AW80+(1-EXP(-LN(2)/2))/(LN(2)/2)*AQ81*AT81*VLOOKUP('Données projet'!$B$10,Paramètres!$A$1:$I$89,3,0)*0.475*44/12</f>
        <v>9.8431574885386151E-7</v>
      </c>
      <c r="AX81" s="23">
        <f t="shared" si="60"/>
        <v>8.194442604732922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-1.2710188457276673E-13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382.55387448074327</v>
      </c>
      <c r="T82" s="62">
        <f t="shared" si="88"/>
        <v>476.29465646955543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4.0940929723513042</v>
      </c>
      <c r="AA82" s="23">
        <f>EXP(-LN(2)/25)*AA81+(1-EXP(-LN(2)/25))/(LN(2)/25)*Calculateur!V82*Calculateur!X82*VLOOKUP('Données projet'!$B$9,Paramètres!$A$1:$I$89,3,0)*0.475*44/12</f>
        <v>3.6549971399694083</v>
      </c>
      <c r="AB82" s="23">
        <f>EXP(-LN(2)/2)*AB81+(1-EXP(-LN(2)/2))/(LN(2)/2)*V82*Y82*VLOOKUP('Données projet'!$B$9,Paramètres!$A$1:$I$89,3,0)*0.475*44/12</f>
        <v>5.5946433348739218E-7</v>
      </c>
      <c r="AC82" s="24">
        <f t="shared" si="57"/>
        <v>7.7490906717850461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-5.6843418860808015E-14</v>
      </c>
      <c r="AJ82" s="14">
        <f>AI82*VLOOKUP('Données projet'!$B$10,Paramètres!$A$1:$I$89,3,0)*VLOOKUP('Données projet'!$B$10,Paramètres!$A$1:$I$89,5,0)</f>
        <v>-3.1036506698001178E-14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240.19940780300527</v>
      </c>
      <c r="AO82" s="62">
        <f t="shared" si="90"/>
        <v>355.71054384071715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1.5808894041928896</v>
      </c>
      <c r="AV82" s="23">
        <f>EXP(-LN(2)/25)*AV81+(1-EXP(-LN(2)/25))/(LN(2)/25)*Calculateur!AQ82*Calculateur!AS82*VLOOKUP('Données projet'!$B$10,Paramètres!$A$1:$I$89,3,0)*0.475*44/12</f>
        <v>6.4019486103315959</v>
      </c>
      <c r="AW82" s="23">
        <f>EXP(-LN(2)/2)*AW81+(1-EXP(-LN(2)/2))/(LN(2)/2)*AQ82*AT82*VLOOKUP('Données projet'!$B$10,Paramètres!$A$1:$I$89,3,0)*0.475*44/12</f>
        <v>6.9601634084328013E-7</v>
      </c>
      <c r="AX82" s="23">
        <f t="shared" si="60"/>
        <v>7.9828387105408263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-1.2710188457276673E-13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382.55387448074327</v>
      </c>
      <c r="T83" s="62">
        <f t="shared" si="88"/>
        <v>476.29465646955543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4.0138103063136352</v>
      </c>
      <c r="AA83" s="23">
        <f>EXP(-LN(2)/25)*AA82+(1-EXP(-LN(2)/25))/(LN(2)/25)*Calculateur!V83*Calculateur!X83*VLOOKUP('Données projet'!$B$9,Paramètres!$A$1:$I$89,3,0)*0.475*44/12</f>
        <v>3.555051050968999</v>
      </c>
      <c r="AB83" s="23">
        <f>EXP(-LN(2)/2)*AB82+(1-EXP(-LN(2)/2))/(LN(2)/2)*V83*Y83*VLOOKUP('Données projet'!$B$9,Paramètres!$A$1:$I$89,3,0)*0.475*44/12</f>
        <v>3.9560102404094709E-7</v>
      </c>
      <c r="AC83" s="24">
        <f t="shared" si="57"/>
        <v>7.5688617528836577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-5.6843418860808015E-14</v>
      </c>
      <c r="AJ83" s="14">
        <f>AI83*VLOOKUP('Données projet'!$B$10,Paramètres!$A$1:$I$89,3,0)*VLOOKUP('Données projet'!$B$10,Paramètres!$A$1:$I$89,5,0)</f>
        <v>-3.1036506698001178E-14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240.19940780300527</v>
      </c>
      <c r="AO83" s="62">
        <f t="shared" si="90"/>
        <v>355.71054384071715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1.5498891272239921</v>
      </c>
      <c r="AV83" s="23">
        <f>EXP(-LN(2)/25)*AV82+(1-EXP(-LN(2)/25))/(LN(2)/25)*Calculateur!AQ83*Calculateur!AS83*VLOOKUP('Données projet'!$B$10,Paramètres!$A$1:$I$89,3,0)*0.475*44/12</f>
        <v>6.226886988918233</v>
      </c>
      <c r="AW83" s="23">
        <f>EXP(-LN(2)/2)*AW82+(1-EXP(-LN(2)/2))/(LN(2)/2)*AQ83*AT83*VLOOKUP('Données projet'!$B$10,Paramètres!$A$1:$I$89,3,0)*0.475*44/12</f>
        <v>4.9215787442693076E-7</v>
      </c>
      <c r="AX83" s="23">
        <f t="shared" si="60"/>
        <v>7.7767766083000991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-1.2710188457276673E-13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382.55387448074327</v>
      </c>
      <c r="T84" s="62">
        <f t="shared" si="88"/>
        <v>476.29465646955543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3.9351019343893738</v>
      </c>
      <c r="AA84" s="23">
        <f>EXP(-LN(2)/25)*AA83+(1-EXP(-LN(2)/25))/(LN(2)/25)*Calculateur!V84*Calculateur!X84*VLOOKUP('Données projet'!$B$9,Paramètres!$A$1:$I$89,3,0)*0.475*44/12</f>
        <v>3.4578379930282419</v>
      </c>
      <c r="AB84" s="23">
        <f>EXP(-LN(2)/2)*AB83+(1-EXP(-LN(2)/2))/(LN(2)/2)*V84*Y84*VLOOKUP('Données projet'!$B$9,Paramètres!$A$1:$I$89,3,0)*0.475*44/12</f>
        <v>2.7973216674369609E-7</v>
      </c>
      <c r="AC84" s="24">
        <f t="shared" si="57"/>
        <v>7.3929402071497821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-3.1036506698001178E-14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240.19940780300527</v>
      </c>
      <c r="AO84" s="62">
        <f t="shared" si="90"/>
        <v>355.71054384071715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1.5194967467781528</v>
      </c>
      <c r="AV84" s="23">
        <f>EXP(-LN(2)/25)*AV83+(1-EXP(-LN(2)/25))/(LN(2)/25)*Calculateur!AQ84*Calculateur!AS84*VLOOKUP('Données projet'!$B$10,Paramètres!$A$1:$I$89,3,0)*0.475*44/12</f>
        <v>6.0566124367485088</v>
      </c>
      <c r="AW84" s="23">
        <f>EXP(-LN(2)/2)*AW83+(1-EXP(-LN(2)/2))/(LN(2)/2)*AQ84*AT84*VLOOKUP('Données projet'!$B$10,Paramètres!$A$1:$I$89,3,0)*0.475*44/12</f>
        <v>3.4800817042164007E-7</v>
      </c>
      <c r="AX84" s="23">
        <f t="shared" si="60"/>
        <v>7.5761095315348319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-1.2710188457276673E-13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382.55387448074327</v>
      </c>
      <c r="T85" s="62">
        <f t="shared" si="88"/>
        <v>476.29465646955543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3.8579369856311807</v>
      </c>
      <c r="AA85" s="23">
        <f>EXP(-LN(2)/25)*AA84+(1-EXP(-LN(2)/25))/(LN(2)/25)*Calculateur!V85*Calculateur!X85*VLOOKUP('Données projet'!$B$9,Paramètres!$A$1:$I$89,3,0)*0.475*44/12</f>
        <v>3.3632832312690875</v>
      </c>
      <c r="AB85" s="23">
        <f>EXP(-LN(2)/2)*AB84+(1-EXP(-LN(2)/2))/(LN(2)/2)*V85*Y85*VLOOKUP('Données projet'!$B$9,Paramètres!$A$1:$I$89,3,0)*0.475*44/12</f>
        <v>1.9780051202047354E-7</v>
      </c>
      <c r="AC85" s="24">
        <f t="shared" si="57"/>
        <v>7.2212204147007801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-3.1036506698001178E-14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240.19940780300527</v>
      </c>
      <c r="AO85" s="62">
        <f t="shared" si="90"/>
        <v>355.71054384071715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1.4897003423753348</v>
      </c>
      <c r="AV85" s="23">
        <f>EXP(-LN(2)/25)*AV84+(1-EXP(-LN(2)/25))/(LN(2)/25)*Calculateur!AQ85*Calculateur!AS85*VLOOKUP('Données projet'!$B$10,Paramètres!$A$1:$I$89,3,0)*0.475*44/12</f>
        <v>5.890994051162215</v>
      </c>
      <c r="AW85" s="23">
        <f>EXP(-LN(2)/2)*AW84+(1-EXP(-LN(2)/2))/(LN(2)/2)*AQ85*AT85*VLOOKUP('Données projet'!$B$10,Paramètres!$A$1:$I$89,3,0)*0.475*44/12</f>
        <v>2.4607893721346538E-7</v>
      </c>
      <c r="AX85" s="23">
        <f t="shared" si="60"/>
        <v>7.3806946396164861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-1.2710188457276673E-13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382.55387448074327</v>
      </c>
      <c r="T86" s="62">
        <f t="shared" si="88"/>
        <v>476.29465646955543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3.782285194452164</v>
      </c>
      <c r="AA86" s="23">
        <f>EXP(-LN(2)/25)*AA85+(1-EXP(-LN(2)/25))/(LN(2)/25)*Calculateur!V86*Calculateur!X86*VLOOKUP('Données projet'!$B$9,Paramètres!$A$1:$I$89,3,0)*0.475*44/12</f>
        <v>3.2713140744426559</v>
      </c>
      <c r="AB86" s="23">
        <f>EXP(-LN(2)/2)*AB85+(1-EXP(-LN(2)/2))/(LN(2)/2)*V86*Y86*VLOOKUP('Données projet'!$B$9,Paramètres!$A$1:$I$89,3,0)*0.475*44/12</f>
        <v>1.3986608337184805E-7</v>
      </c>
      <c r="AC86" s="24">
        <f t="shared" si="57"/>
        <v>7.0535994087609026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-3.1036506698001178E-14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240.19940780300527</v>
      </c>
      <c r="AO86" s="62">
        <f t="shared" si="90"/>
        <v>355.71054384071715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1.4604882272888438</v>
      </c>
      <c r="AV86" s="23">
        <f>EXP(-LN(2)/25)*AV85+(1-EXP(-LN(2)/25))/(LN(2)/25)*Calculateur!AQ86*Calculateur!AS86*VLOOKUP('Données projet'!$B$10,Paramètres!$A$1:$I$89,3,0)*0.475*44/12</f>
        <v>5.7299045090392715</v>
      </c>
      <c r="AW86" s="23">
        <f>EXP(-LN(2)/2)*AW85+(1-EXP(-LN(2)/2))/(LN(2)/2)*AQ86*AT86*VLOOKUP('Données projet'!$B$10,Paramètres!$A$1:$I$89,3,0)*0.475*44/12</f>
        <v>1.7400408521082003E-7</v>
      </c>
      <c r="AX86" s="23">
        <f t="shared" si="60"/>
        <v>7.1903929103322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-1.2710188457276673E-13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382.55387448074327</v>
      </c>
      <c r="T87" s="62">
        <f t="shared" si="88"/>
        <v>476.29465646955543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3.7081168887551317</v>
      </c>
      <c r="AA87" s="23">
        <f>EXP(-LN(2)/25)*AA86+(1-EXP(-LN(2)/25))/(LN(2)/25)*Calculateur!V87*Calculateur!X87*VLOOKUP('Données projet'!$B$9,Paramètres!$A$1:$I$89,3,0)*0.475*44/12</f>
        <v>3.1818598190460912</v>
      </c>
      <c r="AB87" s="23">
        <f>EXP(-LN(2)/2)*AB86+(1-EXP(-LN(2)/2))/(LN(2)/2)*V87*Y87*VLOOKUP('Données projet'!$B$9,Paramètres!$A$1:$I$89,3,0)*0.475*44/12</f>
        <v>9.8900256010236771E-8</v>
      </c>
      <c r="AC87" s="24">
        <f t="shared" si="57"/>
        <v>6.8899768067014788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-3.1036506698001178E-14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240.19940780300527</v>
      </c>
      <c r="AO87" s="62">
        <f t="shared" si="90"/>
        <v>355.71054384071715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1.431848943961568</v>
      </c>
      <c r="AV87" s="23">
        <f>EXP(-LN(2)/25)*AV86+(1-EXP(-LN(2)/25))/(LN(2)/25)*Calculateur!AQ87*Calculateur!AS87*VLOOKUP('Données projet'!$B$10,Paramètres!$A$1:$I$89,3,0)*0.475*44/12</f>
        <v>5.5732199689170105</v>
      </c>
      <c r="AW87" s="23">
        <f>EXP(-LN(2)/2)*AW86+(1-EXP(-LN(2)/2))/(LN(2)/2)*AQ87*AT87*VLOOKUP('Données projet'!$B$10,Paramètres!$A$1:$I$89,3,0)*0.475*44/12</f>
        <v>1.2303946860673269E-7</v>
      </c>
      <c r="AX87" s="23">
        <f t="shared" si="60"/>
        <v>7.005069035918047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-1.2710188457276673E-13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382.55387448074327</v>
      </c>
      <c r="T88" s="62">
        <f t="shared" si="88"/>
        <v>476.29465646955543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3.6354029782946187</v>
      </c>
      <c r="AA88" s="23">
        <f>EXP(-LN(2)/25)*AA87+(1-EXP(-LN(2)/25))/(LN(2)/25)*Calculateur!V88*Calculateur!X88*VLOOKUP('Données projet'!$B$9,Paramètres!$A$1:$I$89,3,0)*0.475*44/12</f>
        <v>3.0948516949675402</v>
      </c>
      <c r="AB88" s="23">
        <f>EXP(-LN(2)/2)*AB87+(1-EXP(-LN(2)/2))/(LN(2)/2)*V88*Y88*VLOOKUP('Données projet'!$B$9,Paramètres!$A$1:$I$89,3,0)*0.475*44/12</f>
        <v>6.9933041685924023E-8</v>
      </c>
      <c r="AC88" s="24">
        <f t="shared" si="57"/>
        <v>6.7302547431952009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-3.1036506698001178E-14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240.19940780300527</v>
      </c>
      <c r="AO88" s="62">
        <f t="shared" si="90"/>
        <v>355.71054384071715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1.4037712595121021</v>
      </c>
      <c r="AV88" s="23">
        <f>EXP(-LN(2)/25)*AV87+(1-EXP(-LN(2)/25))/(LN(2)/25)*Calculateur!AQ88*Calculateur!AS88*VLOOKUP('Données projet'!$B$10,Paramètres!$A$1:$I$89,3,0)*0.475*44/12</f>
        <v>5.4208199757840747</v>
      </c>
      <c r="AW88" s="23">
        <f>EXP(-LN(2)/2)*AW87+(1-EXP(-LN(2)/2))/(LN(2)/2)*AQ88*AT88*VLOOKUP('Données projet'!$B$10,Paramètres!$A$1:$I$89,3,0)*0.475*44/12</f>
        <v>8.7002042605410017E-8</v>
      </c>
      <c r="AX88" s="23">
        <f t="shared" si="60"/>
        <v>6.82459132229822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-1.2710188457276673E-13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382.55387448074327</v>
      </c>
      <c r="T89" s="62">
        <f t="shared" si="88"/>
        <v>476.29465646955543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3.5641149432671302</v>
      </c>
      <c r="AA89" s="23">
        <f>EXP(-LN(2)/25)*AA88+(1-EXP(-LN(2)/25))/(LN(2)/25)*Calculateur!V89*Calculateur!X89*VLOOKUP('Données projet'!$B$9,Paramètres!$A$1:$I$89,3,0)*0.475*44/12</f>
        <v>3.0102228126174757</v>
      </c>
      <c r="AB89" s="23">
        <f>EXP(-LN(2)/2)*AB88+(1-EXP(-LN(2)/2))/(LN(2)/2)*V89*Y89*VLOOKUP('Données projet'!$B$9,Paramètres!$A$1:$I$89,3,0)*0.475*44/12</f>
        <v>4.9450128005118386E-8</v>
      </c>
      <c r="AC89" s="24">
        <f t="shared" si="57"/>
        <v>6.5743378053347348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-3.1036506698001178E-14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240.19940780300527</v>
      </c>
      <c r="AO89" s="62">
        <f t="shared" si="90"/>
        <v>355.71054384071715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1.3762441613289937</v>
      </c>
      <c r="AV89" s="23">
        <f>EXP(-LN(2)/25)*AV88+(1-EXP(-LN(2)/25))/(LN(2)/25)*Calculateur!AQ89*Calculateur!AS89*VLOOKUP('Données projet'!$B$10,Paramètres!$A$1:$I$89,3,0)*0.475*44/12</f>
        <v>5.2725873684777262</v>
      </c>
      <c r="AW89" s="23">
        <f>EXP(-LN(2)/2)*AW88+(1-EXP(-LN(2)/2))/(LN(2)/2)*AQ89*AT89*VLOOKUP('Données projet'!$B$10,Paramètres!$A$1:$I$89,3,0)*0.475*44/12</f>
        <v>6.1519734303366344E-8</v>
      </c>
      <c r="AX89" s="23">
        <f t="shared" si="60"/>
        <v>6.648831591326454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-1.2710188457276673E-13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382.55387448074327</v>
      </c>
      <c r="T90" s="62">
        <f t="shared" si="88"/>
        <v>476.29465646955543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3.4942248231251227</v>
      </c>
      <c r="AA90" s="23">
        <f>EXP(-LN(2)/25)*AA89+(1-EXP(-LN(2)/25))/(LN(2)/25)*Calculateur!V90*Calculateur!X90*VLOOKUP('Données projet'!$B$9,Paramètres!$A$1:$I$89,3,0)*0.475*44/12</f>
        <v>2.9279081115057131</v>
      </c>
      <c r="AB90" s="23">
        <f>EXP(-LN(2)/2)*AB89+(1-EXP(-LN(2)/2))/(LN(2)/2)*V90*Y90*VLOOKUP('Données projet'!$B$9,Paramètres!$A$1:$I$89,3,0)*0.475*44/12</f>
        <v>3.4966520842962012E-8</v>
      </c>
      <c r="AC90" s="24">
        <f t="shared" si="57"/>
        <v>6.4221329695973575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-3.1036506698001178E-14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240.19940780300527</v>
      </c>
      <c r="AO90" s="62">
        <f t="shared" si="90"/>
        <v>355.71054384071715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1.3492568527513842</v>
      </c>
      <c r="AV90" s="23">
        <f>EXP(-LN(2)/25)*AV89+(1-EXP(-LN(2)/25))/(LN(2)/25)*Calculateur!AQ90*Calculateur!AS90*VLOOKUP('Données projet'!$B$10,Paramètres!$A$1:$I$89,3,0)*0.475*44/12</f>
        <v>5.128408189613384</v>
      </c>
      <c r="AW90" s="23">
        <f>EXP(-LN(2)/2)*AW89+(1-EXP(-LN(2)/2))/(LN(2)/2)*AQ90*AT90*VLOOKUP('Données projet'!$B$10,Paramètres!$A$1:$I$89,3,0)*0.475*44/12</f>
        <v>4.3501021302705008E-8</v>
      </c>
      <c r="AX90" s="23">
        <f t="shared" si="60"/>
        <v>6.4776650858657892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-1.2710188457276673E-13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382.55387448074327</v>
      </c>
      <c r="T91" s="62">
        <f t="shared" si="88"/>
        <v>476.29465646955543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3.4257052056103361</v>
      </c>
      <c r="AA91" s="23">
        <f>EXP(-LN(2)/25)*AA90+(1-EXP(-LN(2)/25))/(LN(2)/25)*Calculateur!V91*Calculateur!X91*VLOOKUP('Données projet'!$B$9,Paramètres!$A$1:$I$89,3,0)*0.475*44/12</f>
        <v>2.8478443102245934</v>
      </c>
      <c r="AB91" s="23">
        <f>EXP(-LN(2)/2)*AB90+(1-EXP(-LN(2)/2))/(LN(2)/2)*V91*Y91*VLOOKUP('Données projet'!$B$9,Paramètres!$A$1:$I$89,3,0)*0.475*44/12</f>
        <v>2.4725064002559193E-8</v>
      </c>
      <c r="AC91" s="24">
        <f t="shared" si="57"/>
        <v>6.2735495405599933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-3.1036506698001178E-14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240.19940780300527</v>
      </c>
      <c r="AO91" s="62">
        <f t="shared" si="90"/>
        <v>355.71054384071715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1.3227987488343487</v>
      </c>
      <c r="AV91" s="23">
        <f>EXP(-LN(2)/25)*AV90+(1-EXP(-LN(2)/25))/(LN(2)/25)*Calculateur!AQ91*Calculateur!AS91*VLOOKUP('Données projet'!$B$10,Paramètres!$A$1:$I$89,3,0)*0.475*44/12</f>
        <v>4.9881715979771402</v>
      </c>
      <c r="AW91" s="23">
        <f>EXP(-LN(2)/2)*AW90+(1-EXP(-LN(2)/2))/(LN(2)/2)*AQ91*AT91*VLOOKUP('Données projet'!$B$10,Paramètres!$A$1:$I$89,3,0)*0.475*44/12</f>
        <v>3.0759867151683172E-8</v>
      </c>
      <c r="AX91" s="23">
        <f t="shared" si="60"/>
        <v>6.3109703775713566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-1.2710188457276673E-13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382.55387448074327</v>
      </c>
      <c r="T92" s="62">
        <f t="shared" si="88"/>
        <v>476.29465646955543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3.3585292160021742</v>
      </c>
      <c r="AA92" s="23">
        <f>EXP(-LN(2)/25)*AA91+(1-EXP(-LN(2)/25))/(LN(2)/25)*Calculateur!V92*Calculateur!X92*VLOOKUP('Données projet'!$B$9,Paramètres!$A$1:$I$89,3,0)*0.475*44/12</f>
        <v>2.7699698577998784</v>
      </c>
      <c r="AB92" s="23">
        <f>EXP(-LN(2)/2)*AB91+(1-EXP(-LN(2)/2))/(LN(2)/2)*V92*Y92*VLOOKUP('Données projet'!$B$9,Paramètres!$A$1:$I$89,3,0)*0.475*44/12</f>
        <v>1.7483260421481006E-8</v>
      </c>
      <c r="AC92" s="24">
        <f t="shared" si="57"/>
        <v>6.1284990912853123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-3.1036506698001178E-14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240.19940780300527</v>
      </c>
      <c r="AO92" s="62">
        <f t="shared" si="90"/>
        <v>355.71054384071715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1.2968594721972764</v>
      </c>
      <c r="AV92" s="23">
        <f>EXP(-LN(2)/25)*AV91+(1-EXP(-LN(2)/25))/(LN(2)/25)*Calculateur!AQ92*Calculateur!AS92*VLOOKUP('Données projet'!$B$10,Paramètres!$A$1:$I$89,3,0)*0.475*44/12</f>
        <v>4.8517697833139115</v>
      </c>
      <c r="AW92" s="23">
        <f>EXP(-LN(2)/2)*AW91+(1-EXP(-LN(2)/2))/(LN(2)/2)*AQ92*AT92*VLOOKUP('Données projet'!$B$10,Paramètres!$A$1:$I$89,3,0)*0.475*44/12</f>
        <v>2.1750510651352504E-8</v>
      </c>
      <c r="AX92" s="23">
        <f t="shared" si="60"/>
        <v>6.1486292772616986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-1.2710188457276673E-13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382.55387448074327</v>
      </c>
      <c r="T93" s="62">
        <f t="shared" si="88"/>
        <v>476.29465646955543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3.2926705065769206</v>
      </c>
      <c r="AA93" s="23">
        <f>EXP(-LN(2)/25)*AA92+(1-EXP(-LN(2)/25))/(LN(2)/25)*Calculateur!V93*Calculateur!X93*VLOOKUP('Données projet'!$B$9,Paramètres!$A$1:$I$89,3,0)*0.475*44/12</f>
        <v>2.6942248863719569</v>
      </c>
      <c r="AB93" s="23">
        <f>EXP(-LN(2)/2)*AB92+(1-EXP(-LN(2)/2))/(LN(2)/2)*V93*Y93*VLOOKUP('Données projet'!$B$9,Paramètres!$A$1:$I$89,3,0)*0.475*44/12</f>
        <v>1.2362532001279596E-8</v>
      </c>
      <c r="AC93" s="24">
        <f t="shared" si="57"/>
        <v>5.9868954053114098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-3.1036506698001178E-14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240.19940780300527</v>
      </c>
      <c r="AO93" s="62">
        <f t="shared" si="90"/>
        <v>355.71054384071715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1.2714288489536605</v>
      </c>
      <c r="AV93" s="23">
        <f>EXP(-LN(2)/25)*AV92+(1-EXP(-LN(2)/25))/(LN(2)/25)*Calculateur!AQ93*Calculateur!AS93*VLOOKUP('Données projet'!$B$10,Paramètres!$A$1:$I$89,3,0)*0.475*44/12</f>
        <v>4.7190978834457082</v>
      </c>
      <c r="AW93" s="23">
        <f>EXP(-LN(2)/2)*AW92+(1-EXP(-LN(2)/2))/(LN(2)/2)*AQ93*AT93*VLOOKUP('Données projet'!$B$10,Paramètres!$A$1:$I$89,3,0)*0.475*44/12</f>
        <v>1.5379933575841586E-8</v>
      </c>
      <c r="AX93" s="23">
        <f t="shared" si="60"/>
        <v>5.9905267477793025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-1.2710188457276673E-13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382.55387448074327</v>
      </c>
      <c r="T94" s="62">
        <f t="shared" si="88"/>
        <v>476.29465646955543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3.2281032462736499</v>
      </c>
      <c r="AA94" s="23">
        <f>EXP(-LN(2)/25)*AA93+(1-EXP(-LN(2)/25))/(LN(2)/25)*Calculateur!V94*Calculateur!X94*VLOOKUP('Données projet'!$B$9,Paramètres!$A$1:$I$89,3,0)*0.475*44/12</f>
        <v>2.6205511651709865</v>
      </c>
      <c r="AB94" s="23">
        <f>EXP(-LN(2)/2)*AB93+(1-EXP(-LN(2)/2))/(LN(2)/2)*V94*Y94*VLOOKUP('Données projet'!$B$9,Paramètres!$A$1:$I$89,3,0)*0.475*44/12</f>
        <v>8.7416302107405029E-9</v>
      </c>
      <c r="AC94" s="24">
        <f t="shared" si="57"/>
        <v>5.8486544201862669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-3.1036506698001178E-14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240.19940780300527</v>
      </c>
      <c r="AO94" s="62">
        <f t="shared" si="90"/>
        <v>355.71054384071715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1.2464969047207033</v>
      </c>
      <c r="AV94" s="23">
        <f>EXP(-LN(2)/25)*AV93+(1-EXP(-LN(2)/25))/(LN(2)/25)*Calculateur!AQ94*Calculateur!AS94*VLOOKUP('Données projet'!$B$10,Paramètres!$A$1:$I$89,3,0)*0.475*44/12</f>
        <v>4.5900539036563135</v>
      </c>
      <c r="AW94" s="23">
        <f>EXP(-LN(2)/2)*AW93+(1-EXP(-LN(2)/2))/(LN(2)/2)*AQ94*AT94*VLOOKUP('Données projet'!$B$10,Paramètres!$A$1:$I$89,3,0)*0.475*44/12</f>
        <v>1.0875255325676252E-8</v>
      </c>
      <c r="AX94" s="23">
        <f t="shared" si="60"/>
        <v>5.8365508192522721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-1.2710188457276673E-13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382.55387448074327</v>
      </c>
      <c r="T95" s="62">
        <f t="shared" si="88"/>
        <v>476.29465646955543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3.1648021105627864</v>
      </c>
      <c r="AA95" s="23">
        <f>EXP(-LN(2)/25)*AA94+(1-EXP(-LN(2)/25))/(LN(2)/25)*Calculateur!V95*Calculateur!X95*VLOOKUP('Données projet'!$B$9,Paramètres!$A$1:$I$89,3,0)*0.475*44/12</f>
        <v>2.5488920557505894</v>
      </c>
      <c r="AB95" s="23">
        <f>EXP(-LN(2)/2)*AB94+(1-EXP(-LN(2)/2))/(LN(2)/2)*V95*Y95*VLOOKUP('Données projet'!$B$9,Paramètres!$A$1:$I$89,3,0)*0.475*44/12</f>
        <v>6.1812660006397982E-9</v>
      </c>
      <c r="AC95" s="24">
        <f t="shared" si="57"/>
        <v>5.713694172494642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-3.1036506698001178E-14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240.19940780300527</v>
      </c>
      <c r="AO95" s="62">
        <f t="shared" si="90"/>
        <v>355.71054384071715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1.22205386070717</v>
      </c>
      <c r="AV95" s="23">
        <f>EXP(-LN(2)/25)*AV94+(1-EXP(-LN(2)/25))/(LN(2)/25)*Calculateur!AQ95*Calculateur!AS95*VLOOKUP('Données projet'!$B$10,Paramètres!$A$1:$I$89,3,0)*0.475*44/12</f>
        <v>4.4645386382803878</v>
      </c>
      <c r="AW95" s="23">
        <f>EXP(-LN(2)/2)*AW94+(1-EXP(-LN(2)/2))/(LN(2)/2)*AQ95*AT95*VLOOKUP('Données projet'!$B$10,Paramètres!$A$1:$I$89,3,0)*0.475*44/12</f>
        <v>7.6899667879207931E-9</v>
      </c>
      <c r="AX95" s="23">
        <f t="shared" si="60"/>
        <v>5.6865925066775249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-1.2710188457276673E-13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382.55387448074327</v>
      </c>
      <c r="T96" s="62">
        <f t="shared" si="88"/>
        <v>476.29465646955543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3.1027422715133324</v>
      </c>
      <c r="AA96" s="23">
        <f>EXP(-LN(2)/25)*AA95+(1-EXP(-LN(2)/25))/(LN(2)/25)*Calculateur!V96*Calculateur!X96*VLOOKUP('Données projet'!$B$9,Paramètres!$A$1:$I$89,3,0)*0.475*44/12</f>
        <v>2.4791924684456821</v>
      </c>
      <c r="AB96" s="23">
        <f>EXP(-LN(2)/2)*AB95+(1-EXP(-LN(2)/2))/(LN(2)/2)*V96*Y96*VLOOKUP('Données projet'!$B$9,Paramètres!$A$1:$I$89,3,0)*0.475*44/12</f>
        <v>4.3708151053702514E-9</v>
      </c>
      <c r="AC96" s="24">
        <f t="shared" si="57"/>
        <v>5.5819347443298293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-3.1036506698001178E-14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240.19940780300527</v>
      </c>
      <c r="AO96" s="62">
        <f t="shared" si="90"/>
        <v>355.71054384071715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1.1980901298779574</v>
      </c>
      <c r="AV96" s="23">
        <f>EXP(-LN(2)/25)*AV95+(1-EXP(-LN(2)/25))/(LN(2)/25)*Calculateur!AQ96*Calculateur!AS96*VLOOKUP('Données projet'!$B$10,Paramètres!$A$1:$I$89,3,0)*0.475*44/12</f>
        <v>4.3424555944367276</v>
      </c>
      <c r="AW96" s="23">
        <f>EXP(-LN(2)/2)*AW95+(1-EXP(-LN(2)/2))/(LN(2)/2)*AQ96*AT96*VLOOKUP('Données projet'!$B$10,Paramètres!$A$1:$I$89,3,0)*0.475*44/12</f>
        <v>5.437627662838126E-9</v>
      </c>
      <c r="AX96" s="23">
        <f t="shared" si="60"/>
        <v>5.5405457297523117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-1.2710188457276673E-13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382.55387448074327</v>
      </c>
      <c r="T97" s="62">
        <f t="shared" si="88"/>
        <v>476.29465646955543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3.0418993880548739</v>
      </c>
      <c r="AA97" s="23">
        <f>EXP(-LN(2)/25)*AA96+(1-EXP(-LN(2)/25))/(LN(2)/25)*Calculateur!V97*Calculateur!X97*VLOOKUP('Données projet'!$B$9,Paramètres!$A$1:$I$89,3,0)*0.475*44/12</f>
        <v>2.4113988200209691</v>
      </c>
      <c r="AB97" s="23">
        <f>EXP(-LN(2)/2)*AB96+(1-EXP(-LN(2)/2))/(LN(2)/2)*V97*Y97*VLOOKUP('Données projet'!$B$9,Paramètres!$A$1:$I$89,3,0)*0.475*44/12</f>
        <v>3.0906330003198991E-9</v>
      </c>
      <c r="AC97" s="24">
        <f t="shared" si="57"/>
        <v>5.4532982111664756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-3.1036506698001178E-14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240.19940780300527</v>
      </c>
      <c r="AO97" s="62">
        <f t="shared" si="90"/>
        <v>355.71054384071715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1.174596313193873</v>
      </c>
      <c r="AV97" s="23">
        <f>EXP(-LN(2)/25)*AV96+(1-EXP(-LN(2)/25))/(LN(2)/25)*Calculateur!AQ97*Calculateur!AS97*VLOOKUP('Données projet'!$B$10,Paramètres!$A$1:$I$89,3,0)*0.475*44/12</f>
        <v>4.2237109178470407</v>
      </c>
      <c r="AW97" s="23">
        <f>EXP(-LN(2)/2)*AW96+(1-EXP(-LN(2)/2))/(LN(2)/2)*AQ97*AT97*VLOOKUP('Données projet'!$B$10,Paramètres!$A$1:$I$89,3,0)*0.475*44/12</f>
        <v>3.8449833939603965E-9</v>
      </c>
      <c r="AX97" s="23">
        <f t="shared" si="60"/>
        <v>5.3983072348858965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-1.2710188457276673E-13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382.55387448074327</v>
      </c>
      <c r="T98" s="62">
        <f t="shared" si="88"/>
        <v>476.29465646955543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2.9822495964305413</v>
      </c>
      <c r="AA98" s="23">
        <f>EXP(-LN(2)/25)*AA97+(1-EXP(-LN(2)/25))/(LN(2)/25)*Calculateur!V98*Calculateur!X98*VLOOKUP('Données projet'!$B$9,Paramètres!$A$1:$I$89,3,0)*0.475*44/12</f>
        <v>2.3454589924775431</v>
      </c>
      <c r="AB98" s="23">
        <f>EXP(-LN(2)/2)*AB97+(1-EXP(-LN(2)/2))/(LN(2)/2)*V98*Y98*VLOOKUP('Données projet'!$B$9,Paramètres!$A$1:$I$89,3,0)*0.475*44/12</f>
        <v>2.1854075526851257E-9</v>
      </c>
      <c r="AC98" s="24">
        <f t="shared" si="57"/>
        <v>5.3277085910934918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-3.1036506698001178E-14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240.19940780300527</v>
      </c>
      <c r="AO98" s="62">
        <f t="shared" si="90"/>
        <v>355.71054384071715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1.1515631959251504</v>
      </c>
      <c r="AV98" s="23">
        <f>EXP(-LN(2)/25)*AV97+(1-EXP(-LN(2)/25))/(LN(2)/25)*Calculateur!AQ98*Calculateur!AS98*VLOOKUP('Données projet'!$B$10,Paramètres!$A$1:$I$89,3,0)*0.475*44/12</f>
        <v>4.1082133206832099</v>
      </c>
      <c r="AW98" s="23">
        <f>EXP(-LN(2)/2)*AW97+(1-EXP(-LN(2)/2))/(LN(2)/2)*AQ98*AT98*VLOOKUP('Données projet'!$B$10,Paramètres!$A$1:$I$89,3,0)*0.475*44/12</f>
        <v>2.718813831419063E-9</v>
      </c>
      <c r="AX98" s="23">
        <f t="shared" si="60"/>
        <v>5.2597765193271737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-1.2710188457276673E-13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382.55387448074327</v>
      </c>
      <c r="T99" s="62">
        <f t="shared" si="88"/>
        <v>476.29465646955543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2.9237695008371816</v>
      </c>
      <c r="AA99" s="23">
        <f>EXP(-LN(2)/25)*AA98+(1-EXP(-LN(2)/25))/(LN(2)/25)*Calculateur!V99*Calculateur!X99*VLOOKUP('Données projet'!$B$9,Paramètres!$A$1:$I$89,3,0)*0.475*44/12</f>
        <v>2.2813222929859167</v>
      </c>
      <c r="AB99" s="23">
        <f>EXP(-LN(2)/2)*AB98+(1-EXP(-LN(2)/2))/(LN(2)/2)*V99*Y99*VLOOKUP('Données projet'!$B$9,Paramètres!$A$1:$I$89,3,0)*0.475*44/12</f>
        <v>1.5453165001599496E-9</v>
      </c>
      <c r="AC99" s="24">
        <f t="shared" si="57"/>
        <v>5.205091795368415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-3.1036506698001178E-14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240.19940780300527</v>
      </c>
      <c r="AO99" s="62">
        <f t="shared" si="90"/>
        <v>355.71054384071715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1.1289817440372532</v>
      </c>
      <c r="AV99" s="23">
        <f>EXP(-LN(2)/25)*AV98+(1-EXP(-LN(2)/25))/(LN(2)/25)*Calculateur!AQ99*Calculateur!AS99*VLOOKUP('Données projet'!$B$10,Paramètres!$A$1:$I$89,3,0)*0.475*44/12</f>
        <v>3.9958740113875786</v>
      </c>
      <c r="AW99" s="23">
        <f>EXP(-LN(2)/2)*AW98+(1-EXP(-LN(2)/2))/(LN(2)/2)*AQ99*AT99*VLOOKUP('Données projet'!$B$10,Paramètres!$A$1:$I$89,3,0)*0.475*44/12</f>
        <v>1.9224916969801983E-9</v>
      </c>
      <c r="AX99" s="23">
        <f t="shared" si="60"/>
        <v>5.1248557573473237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-1.2710188457276673E-13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382.55387448074327</v>
      </c>
      <c r="T100" s="62">
        <f t="shared" si="88"/>
        <v>476.29465646955543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2.8664361642490714</v>
      </c>
      <c r="AA100" s="23">
        <f>EXP(-LN(2)/25)*AA99+(1-EXP(-LN(2)/25))/(LN(2)/25)*Calculateur!V100*Calculateur!X100*VLOOKUP('Données projet'!$B$9,Paramètres!$A$1:$I$89,3,0)*0.475*44/12</f>
        <v>2.2189394149146913</v>
      </c>
      <c r="AB100" s="23">
        <f>EXP(-LN(2)/2)*AB99+(1-EXP(-LN(2)/2))/(LN(2)/2)*V100*Y100*VLOOKUP('Données projet'!$B$9,Paramètres!$A$1:$I$89,3,0)*0.475*44/12</f>
        <v>1.0927037763425629E-9</v>
      </c>
      <c r="AC100" s="24">
        <f t="shared" si="57"/>
        <v>5.0853755802564669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-3.1036506698001178E-14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240.19940780300527</v>
      </c>
      <c r="AO100" s="62">
        <f t="shared" si="90"/>
        <v>355.71054384071715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1.1068431006475519</v>
      </c>
      <c r="AV100" s="23">
        <f>EXP(-LN(2)/25)*AV99+(1-EXP(-LN(2)/25))/(LN(2)/25)*Calculateur!AQ100*Calculateur!AS100*VLOOKUP('Données projet'!$B$10,Paramètres!$A$1:$I$89,3,0)*0.475*44/12</f>
        <v>3.8866066264123038</v>
      </c>
      <c r="AW100" s="23">
        <f>EXP(-LN(2)/2)*AW99+(1-EXP(-LN(2)/2))/(LN(2)/2)*AQ100*AT100*VLOOKUP('Données projet'!$B$10,Paramètres!$A$1:$I$89,3,0)*0.475*44/12</f>
        <v>1.3594069157095315E-9</v>
      </c>
      <c r="AX100" s="23">
        <f t="shared" si="60"/>
        <v>4.9934497284192627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-1.2710188457276673E-13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382.55387448074327</v>
      </c>
      <c r="T101" s="62">
        <f t="shared" si="88"/>
        <v>476.29465646955543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2.8102270994215717</v>
      </c>
      <c r="AA101" s="23">
        <f>EXP(-LN(2)/25)*AA100+(1-EXP(-LN(2)/25))/(LN(2)/25)*Calculateur!V101*Calculateur!X101*VLOOKUP('Données projet'!$B$9,Paramètres!$A$1:$I$89,3,0)*0.475*44/12</f>
        <v>2.1582623999248969</v>
      </c>
      <c r="AB101" s="23">
        <f>EXP(-LN(2)/2)*AB100+(1-EXP(-LN(2)/2))/(LN(2)/2)*V101*Y101*VLOOKUP('Données projet'!$B$9,Paramètres!$A$1:$I$89,3,0)*0.475*44/12</f>
        <v>7.7265825007997478E-10</v>
      </c>
      <c r="AC101" s="24">
        <f t="shared" si="57"/>
        <v>4.9684895001191265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-3.1036506698001178E-14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240.19940780300527</v>
      </c>
      <c r="AO101" s="62">
        <f t="shared" si="90"/>
        <v>355.71054384071715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1.0851385825514834</v>
      </c>
      <c r="AV101" s="23">
        <f>EXP(-LN(2)/25)*AV100+(1-EXP(-LN(2)/25))/(LN(2)/25)*Calculateur!AQ101*Calculateur!AS101*VLOOKUP('Données projet'!$B$10,Paramètres!$A$1:$I$89,3,0)*0.475*44/12</f>
        <v>3.7803271638252998</v>
      </c>
      <c r="AW101" s="23">
        <f>EXP(-LN(2)/2)*AW100+(1-EXP(-LN(2)/2))/(LN(2)/2)*AQ101*AT101*VLOOKUP('Données projet'!$B$10,Paramètres!$A$1:$I$89,3,0)*0.475*44/12</f>
        <v>9.6124584849009913E-10</v>
      </c>
      <c r="AX101" s="23">
        <f t="shared" si="60"/>
        <v>4.8654657473380292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-1.2710188457276673E-13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382.55387448074327</v>
      </c>
      <c r="T102" s="62">
        <f t="shared" si="88"/>
        <v>476.29465646955543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2.755120260071195</v>
      </c>
      <c r="AA102" s="23">
        <f>EXP(-LN(2)/25)*AA101+(1-EXP(-LN(2)/25))/(LN(2)/25)*Calculateur!V102*Calculateur!X102*VLOOKUP('Données projet'!$B$9,Paramètres!$A$1:$I$89,3,0)*0.475*44/12</f>
        <v>2.0992446011008639</v>
      </c>
      <c r="AB102" s="23">
        <f>EXP(-LN(2)/2)*AB101+(1-EXP(-LN(2)/2))/(LN(2)/2)*V102*Y102*VLOOKUP('Données projet'!$B$9,Paramètres!$A$1:$I$89,3,0)*0.475*44/12</f>
        <v>5.4635188817128143E-10</v>
      </c>
      <c r="AC102" s="24">
        <f t="shared" si="57"/>
        <v>4.8543648617184108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-3.1036506698001178E-14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240.19940780300527</v>
      </c>
      <c r="AO102" s="62">
        <f t="shared" si="90"/>
        <v>355.71054384071715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1.06385967681683</v>
      </c>
      <c r="AV102" s="23">
        <f>EXP(-LN(2)/25)*AV101+(1-EXP(-LN(2)/25))/(LN(2)/25)*Calculateur!AQ102*Calculateur!AS102*VLOOKUP('Données projet'!$B$10,Paramètres!$A$1:$I$89,3,0)*0.475*44/12</f>
        <v>3.6769539187317313</v>
      </c>
      <c r="AW102" s="23">
        <f>EXP(-LN(2)/2)*AW101+(1-EXP(-LN(2)/2))/(LN(2)/2)*AQ102*AT102*VLOOKUP('Données projet'!$B$10,Paramètres!$A$1:$I$89,3,0)*0.475*44/12</f>
        <v>6.7970345785476576E-10</v>
      </c>
      <c r="AX102" s="23">
        <f t="shared" si="60"/>
        <v>4.7408135962282643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-1.2710188457276673E-13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382.55387448074327</v>
      </c>
      <c r="T103" s="62">
        <f t="shared" si="88"/>
        <v>476.29465646955543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2.7010940322286263</v>
      </c>
      <c r="AA103" s="23">
        <f>EXP(-LN(2)/25)*AA102+(1-EXP(-LN(2)/25))/(LN(2)/25)*Calculateur!V103*Calculateur!X103*VLOOKUP('Données projet'!$B$9,Paramètres!$A$1:$I$89,3,0)*0.475*44/12</f>
        <v>2.0418406470892849</v>
      </c>
      <c r="AB103" s="23">
        <f>EXP(-LN(2)/2)*AB102+(1-EXP(-LN(2)/2))/(LN(2)/2)*V103*Y103*VLOOKUP('Données projet'!$B$9,Paramètres!$A$1:$I$89,3,0)*0.475*44/12</f>
        <v>3.8632912503998739E-10</v>
      </c>
      <c r="AC103" s="24">
        <f t="shared" si="57"/>
        <v>4.7429346797042404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-3.1036506698001178E-14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240.19940780300527</v>
      </c>
      <c r="AO103" s="62">
        <f t="shared" si="90"/>
        <v>355.71054384071715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1.0429980374447823</v>
      </c>
      <c r="AV103" s="23">
        <f>EXP(-LN(2)/25)*AV102+(1-EXP(-LN(2)/25))/(LN(2)/25)*Calculateur!AQ103*Calculateur!AS103*VLOOKUP('Données projet'!$B$10,Paramètres!$A$1:$I$89,3,0)*0.475*44/12</f>
        <v>3.5764074204614094</v>
      </c>
      <c r="AW103" s="23">
        <f>EXP(-LN(2)/2)*AW102+(1-EXP(-LN(2)/2))/(LN(2)/2)*AQ103*AT103*VLOOKUP('Données projet'!$B$10,Paramètres!$A$1:$I$89,3,0)*0.475*44/12</f>
        <v>4.8062292424504957E-10</v>
      </c>
      <c r="AX103" s="23">
        <f t="shared" si="60"/>
        <v>4.6194054583868143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-1.2710188457276673E-13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382.55387448074327</v>
      </c>
      <c r="T104" s="62">
        <f t="shared" si="88"/>
        <v>476.29465646955543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2.6481272257613049</v>
      </c>
      <c r="AA104" s="23">
        <f>EXP(-LN(2)/25)*AA103+(1-EXP(-LN(2)/25))/(LN(2)/25)*Calculateur!V104*Calculateur!X104*VLOOKUP('Données projet'!$B$9,Paramètres!$A$1:$I$89,3,0)*0.475*44/12</f>
        <v>1.9860064072188954</v>
      </c>
      <c r="AB104" s="23">
        <f>EXP(-LN(2)/2)*AB103+(1-EXP(-LN(2)/2))/(LN(2)/2)*V104*Y104*VLOOKUP('Données projet'!$B$9,Paramètres!$A$1:$I$89,3,0)*0.475*44/12</f>
        <v>2.7317594408564071E-10</v>
      </c>
      <c r="AC104" s="24">
        <f t="shared" si="57"/>
        <v>4.6341336332533762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-3.1036506698001178E-14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240.19940780300527</v>
      </c>
      <c r="AO104" s="62">
        <f t="shared" si="90"/>
        <v>355.71054384071715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1.0225454820964768</v>
      </c>
      <c r="AV104" s="23">
        <f>EXP(-LN(2)/25)*AV103+(1-EXP(-LN(2)/25))/(LN(2)/25)*Calculateur!AQ104*Calculateur!AS104*VLOOKUP('Données projet'!$B$10,Paramètres!$A$1:$I$89,3,0)*0.475*44/12</f>
        <v>3.4786103714737999</v>
      </c>
      <c r="AW104" s="23">
        <f>EXP(-LN(2)/2)*AW103+(1-EXP(-LN(2)/2))/(LN(2)/2)*AQ104*AT104*VLOOKUP('Données projet'!$B$10,Paramètres!$A$1:$I$89,3,0)*0.475*44/12</f>
        <v>3.3985172892738288E-10</v>
      </c>
      <c r="AX104" s="23">
        <f t="shared" si="60"/>
        <v>4.5011558539101282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-1.2710188457276673E-13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382.55387448074327</v>
      </c>
      <c r="T105" s="62">
        <f t="shared" si="88"/>
        <v>476.29465646955543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2.5961990660622458</v>
      </c>
      <c r="AA105" s="23">
        <f>EXP(-LN(2)/25)*AA104+(1-EXP(-LN(2)/25))/(LN(2)/25)*Calculateur!V105*Calculateur!X105*VLOOKUP('Données projet'!$B$9,Paramètres!$A$1:$I$89,3,0)*0.475*44/12</f>
        <v>1.9316989575739569</v>
      </c>
      <c r="AB105" s="23">
        <f>EXP(-LN(2)/2)*AB104+(1-EXP(-LN(2)/2))/(LN(2)/2)*V105*Y105*VLOOKUP('Données projet'!$B$9,Paramètres!$A$1:$I$89,3,0)*0.475*44/12</f>
        <v>1.9316456251999369E-10</v>
      </c>
      <c r="AC105" s="24">
        <f t="shared" si="57"/>
        <v>4.5278980238293673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-3.1036506698001178E-14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240.19940780300527</v>
      </c>
      <c r="AO105" s="62">
        <f t="shared" si="90"/>
        <v>355.71054384071715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1.0024939888837245</v>
      </c>
      <c r="AV105" s="23">
        <f>EXP(-LN(2)/25)*AV104+(1-EXP(-LN(2)/25))/(LN(2)/25)*Calculateur!AQ105*Calculateur!AS105*VLOOKUP('Données projet'!$B$10,Paramètres!$A$1:$I$89,3,0)*0.475*44/12</f>
        <v>3.3834875879336801</v>
      </c>
      <c r="AW105" s="23">
        <f>EXP(-LN(2)/2)*AW104+(1-EXP(-LN(2)/2))/(LN(2)/2)*AQ105*AT105*VLOOKUP('Données projet'!$B$10,Paramètres!$A$1:$I$89,3,0)*0.475*44/12</f>
        <v>2.4031146212252478E-10</v>
      </c>
      <c r="AX105" s="23">
        <f t="shared" si="60"/>
        <v>4.3859815770577164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-1.2710188457276673E-13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382.55387448074327</v>
      </c>
      <c r="T106" s="62">
        <f t="shared" si="88"/>
        <v>476.29465646955543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2.5452891859018352</v>
      </c>
      <c r="AA106" s="23">
        <f>EXP(-LN(2)/25)*AA105+(1-EXP(-LN(2)/25))/(LN(2)/25)*Calculateur!V106*Calculateur!X106*VLOOKUP('Données projet'!$B$9,Paramètres!$A$1:$I$89,3,0)*0.475*44/12</f>
        <v>1.8788765479954639</v>
      </c>
      <c r="AB106" s="23">
        <f>EXP(-LN(2)/2)*AB105+(1-EXP(-LN(2)/2))/(LN(2)/2)*V106*Y106*VLOOKUP('Données projet'!$B$9,Paramètres!$A$1:$I$89,3,0)*0.475*44/12</f>
        <v>1.3658797204282036E-10</v>
      </c>
      <c r="AC106" s="24">
        <f t="shared" si="57"/>
        <v>4.4241657340338865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-3.1036506698001178E-14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240.19940780300527</v>
      </c>
      <c r="AO106" s="62">
        <f t="shared" si="90"/>
        <v>355.71054384071715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0.98283569322267117</v>
      </c>
      <c r="AV106" s="23">
        <f>EXP(-LN(2)/25)*AV105+(1-EXP(-LN(2)/25))/(LN(2)/25)*Calculateur!AQ106*Calculateur!AS106*VLOOKUP('Données projet'!$B$10,Paramètres!$A$1:$I$89,3,0)*0.475*44/12</f>
        <v>3.2909659419117543</v>
      </c>
      <c r="AW106" s="23">
        <f>EXP(-LN(2)/2)*AW105+(1-EXP(-LN(2)/2))/(LN(2)/2)*AQ106*AT106*VLOOKUP('Données projet'!$B$10,Paramètres!$A$1:$I$89,3,0)*0.475*44/12</f>
        <v>1.6992586446369144E-10</v>
      </c>
      <c r="AX106" s="23">
        <f t="shared" si="60"/>
        <v>4.273801635304352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-1.2710188457276673E-13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382.55387448074327</v>
      </c>
      <c r="T107" s="62">
        <f t="shared" si="88"/>
        <v>476.29465646955543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2.4953776174394098</v>
      </c>
      <c r="AA107" s="23">
        <f>EXP(-LN(2)/25)*AA106+(1-EXP(-LN(2)/25))/(LN(2)/25)*Calculateur!V107*Calculateur!X107*VLOOKUP('Données projet'!$B$9,Paramètres!$A$1:$I$89,3,0)*0.475*44/12</f>
        <v>1.8274985699847044</v>
      </c>
      <c r="AB107" s="23">
        <f>EXP(-LN(2)/2)*AB106+(1-EXP(-LN(2)/2))/(LN(2)/2)*V107*Y107*VLOOKUP('Données projet'!$B$9,Paramètres!$A$1:$I$89,3,0)*0.475*44/12</f>
        <v>9.6582281259996847E-11</v>
      </c>
      <c r="AC107" s="24">
        <f t="shared" si="57"/>
        <v>4.3228761875206967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-3.1036506698001178E-14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240.19940780300527</v>
      </c>
      <c r="AO107" s="62">
        <f t="shared" si="90"/>
        <v>355.71054384071715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0.96356288474915464</v>
      </c>
      <c r="AV107" s="23">
        <f>EXP(-LN(2)/25)*AV106+(1-EXP(-LN(2)/25))/(LN(2)/25)*Calculateur!AQ107*Calculateur!AS107*VLOOKUP('Données projet'!$B$10,Paramètres!$A$1:$I$89,3,0)*0.475*44/12</f>
        <v>3.2009743051658002</v>
      </c>
      <c r="AW107" s="23">
        <f>EXP(-LN(2)/2)*AW106+(1-EXP(-LN(2)/2))/(LN(2)/2)*AQ107*AT107*VLOOKUP('Données projet'!$B$10,Paramètres!$A$1:$I$89,3,0)*0.475*44/12</f>
        <v>1.2015573106126239E-10</v>
      </c>
      <c r="AX107" s="23">
        <f t="shared" si="60"/>
        <v>4.1645371900351105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-1.2710188457276673E-13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382.55387448074327</v>
      </c>
      <c r="T108" s="62">
        <f t="shared" si="88"/>
        <v>476.29465646955543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2.4464447843914816</v>
      </c>
      <c r="AA108" s="23">
        <f>EXP(-LN(2)/25)*AA107+(1-EXP(-LN(2)/25))/(LN(2)/25)*Calculateur!V108*Calculateur!X108*VLOOKUP('Données projet'!$B$9,Paramètres!$A$1:$I$89,3,0)*0.475*44/12</f>
        <v>1.7775255254844997</v>
      </c>
      <c r="AB108" s="23">
        <f>EXP(-LN(2)/2)*AB107+(1-EXP(-LN(2)/2))/(LN(2)/2)*V108*Y108*VLOOKUP('Données projet'!$B$9,Paramètres!$A$1:$I$89,3,0)*0.475*44/12</f>
        <v>6.8293986021410179E-11</v>
      </c>
      <c r="AC108" s="24">
        <f t="shared" si="57"/>
        <v>4.2239703099442751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-3.1036506698001178E-14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240.19940780300527</v>
      </c>
      <c r="AO108" s="62">
        <f t="shared" si="90"/>
        <v>355.71054384071715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0.94466800429455133</v>
      </c>
      <c r="AV108" s="23">
        <f>EXP(-LN(2)/25)*AV107+(1-EXP(-LN(2)/25))/(LN(2)/25)*Calculateur!AQ108*Calculateur!AS108*VLOOKUP('Données projet'!$B$10,Paramètres!$A$1:$I$89,3,0)*0.475*44/12</f>
        <v>3.1134434944591187</v>
      </c>
      <c r="AW108" s="23">
        <f>EXP(-LN(2)/2)*AW107+(1-EXP(-LN(2)/2))/(LN(2)/2)*AQ108*AT108*VLOOKUP('Données projet'!$B$10,Paramètres!$A$1:$I$89,3,0)*0.475*44/12</f>
        <v>8.496293223184572E-11</v>
      </c>
      <c r="AX108" s="23">
        <f t="shared" si="60"/>
        <v>4.0581114988386329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-1.2710188457276673E-13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382.55387448074327</v>
      </c>
      <c r="T109" s="62">
        <f t="shared" si="88"/>
        <v>476.29465646955543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2.3984714943535423</v>
      </c>
      <c r="AA109" s="23">
        <f>EXP(-LN(2)/25)*AA108+(1-EXP(-LN(2)/25))/(LN(2)/25)*Calculateur!V109*Calculateur!X109*VLOOKUP('Données projet'!$B$9,Paramètres!$A$1:$I$89,3,0)*0.475*44/12</f>
        <v>1.7289189965141212</v>
      </c>
      <c r="AB109" s="23">
        <f>EXP(-LN(2)/2)*AB108+(1-EXP(-LN(2)/2))/(LN(2)/2)*V109*Y109*VLOOKUP('Données projet'!$B$9,Paramètres!$A$1:$I$89,3,0)*0.475*44/12</f>
        <v>4.8291140629998424E-11</v>
      </c>
      <c r="AC109" s="24">
        <f t="shared" si="57"/>
        <v>4.1273904909159542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-3.1036506698001178E-14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240.19940780300527</v>
      </c>
      <c r="AO109" s="62">
        <f t="shared" si="90"/>
        <v>355.71054384071715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0.92614364092092372</v>
      </c>
      <c r="AV109" s="23">
        <f>EXP(-LN(2)/25)*AV108+(1-EXP(-LN(2)/25))/(LN(2)/25)*Calculateur!AQ109*Calculateur!AS109*VLOOKUP('Données projet'!$B$10,Paramètres!$A$1:$I$89,3,0)*0.475*44/12</f>
        <v>3.0283062183742566</v>
      </c>
      <c r="AW109" s="23">
        <f>EXP(-LN(2)/2)*AW108+(1-EXP(-LN(2)/2))/(LN(2)/2)*AQ109*AT109*VLOOKUP('Données projet'!$B$10,Paramètres!$A$1:$I$89,3,0)*0.475*44/12</f>
        <v>6.0077865530631196E-11</v>
      </c>
      <c r="AX109" s="23">
        <f t="shared" si="60"/>
        <v>3.9544498593552579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-1.2710188457276673E-13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382.55387448074327</v>
      </c>
      <c r="T110" s="62">
        <f t="shared" si="88"/>
        <v>476.29465646955543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2.3514389312724293</v>
      </c>
      <c r="AA110" s="23">
        <f>EXP(-LN(2)/25)*AA109+(1-EXP(-LN(2)/25))/(LN(2)/25)*Calculateur!V110*Calculateur!X110*VLOOKUP('Données projet'!$B$9,Paramètres!$A$1:$I$89,3,0)*0.475*44/12</f>
        <v>1.681641615634544</v>
      </c>
      <c r="AB110" s="23">
        <f>EXP(-LN(2)/2)*AB109+(1-EXP(-LN(2)/2))/(LN(2)/2)*V110*Y110*VLOOKUP('Données projet'!$B$9,Paramètres!$A$1:$I$89,3,0)*0.475*44/12</f>
        <v>3.4146993010705089E-11</v>
      </c>
      <c r="AC110" s="24">
        <f t="shared" si="57"/>
        <v>4.0330805469411199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-3.1036506698001178E-14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240.19940780300527</v>
      </c>
      <c r="AO110" s="62">
        <f t="shared" si="90"/>
        <v>355.71054384071715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0.90798252901430698</v>
      </c>
      <c r="AV110" s="23">
        <f>EXP(-LN(2)/25)*AV109+(1-EXP(-LN(2)/25))/(LN(2)/25)*Calculateur!AQ110*Calculateur!AS110*VLOOKUP('Données projet'!$B$10,Paramètres!$A$1:$I$89,3,0)*0.475*44/12</f>
        <v>2.9454970255811097</v>
      </c>
      <c r="AW110" s="23">
        <f>EXP(-LN(2)/2)*AW109+(1-EXP(-LN(2)/2))/(LN(2)/2)*AQ110*AT110*VLOOKUP('Données projet'!$B$10,Paramètres!$A$1:$I$89,3,0)*0.475*44/12</f>
        <v>4.248146611592286E-11</v>
      </c>
      <c r="AX110" s="23">
        <f t="shared" si="60"/>
        <v>3.8534795546378984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-1.2710188457276673E-13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382.55387448074327</v>
      </c>
      <c r="T111" s="62">
        <f t="shared" si="88"/>
        <v>476.29465646955543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2.3053286480663058</v>
      </c>
      <c r="AA111" s="23">
        <f>EXP(-LN(2)/25)*AA110+(1-EXP(-LN(2)/25))/(LN(2)/25)*Calculateur!V111*Calculateur!X111*VLOOKUP('Données projet'!$B$9,Paramètres!$A$1:$I$89,3,0)*0.475*44/12</f>
        <v>1.6356570372213282</v>
      </c>
      <c r="AB111" s="23">
        <f>EXP(-LN(2)/2)*AB110+(1-EXP(-LN(2)/2))/(LN(2)/2)*V111*Y111*VLOOKUP('Données projet'!$B$9,Paramètres!$A$1:$I$89,3,0)*0.475*44/12</f>
        <v>2.4145570314999212E-11</v>
      </c>
      <c r="AC111" s="24">
        <f t="shared" si="57"/>
        <v>3.9409856853117797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-3.1036506698001178E-14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240.19940780300527</v>
      </c>
      <c r="AO111" s="62">
        <f t="shared" si="90"/>
        <v>355.71054384071715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0.8901775454349945</v>
      </c>
      <c r="AV111" s="23">
        <f>EXP(-LN(2)/25)*AV110+(1-EXP(-LN(2)/25))/(LN(2)/25)*Calculateur!AQ111*Calculateur!AS111*VLOOKUP('Données projet'!$B$10,Paramètres!$A$1:$I$89,3,0)*0.475*44/12</f>
        <v>2.8649522545196375</v>
      </c>
      <c r="AW111" s="23">
        <f>EXP(-LN(2)/2)*AW110+(1-EXP(-LN(2)/2))/(LN(2)/2)*AQ111*AT111*VLOOKUP('Données projet'!$B$10,Paramètres!$A$1:$I$89,3,0)*0.475*44/12</f>
        <v>3.0038932765315598E-11</v>
      </c>
      <c r="AX111" s="23">
        <f t="shared" si="60"/>
        <v>3.7551297999846711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-1.2710188457276673E-13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382.55387448074327</v>
      </c>
      <c r="T112" s="62">
        <f t="shared" si="88"/>
        <v>476.29465646955543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2.2601225593893588</v>
      </c>
      <c r="AA112" s="23">
        <f>EXP(-LN(2)/25)*AA111+(1-EXP(-LN(2)/25))/(LN(2)/25)*Calculateur!V112*Calculateur!X112*VLOOKUP('Données projet'!$B$9,Paramètres!$A$1:$I$89,3,0)*0.475*44/12</f>
        <v>1.5909299095230458</v>
      </c>
      <c r="AB112" s="23">
        <f>EXP(-LN(2)/2)*AB111+(1-EXP(-LN(2)/2))/(LN(2)/2)*V112*Y112*VLOOKUP('Données projet'!$B$9,Paramètres!$A$1:$I$89,3,0)*0.475*44/12</f>
        <v>1.7073496505352545E-11</v>
      </c>
      <c r="AC112" s="24">
        <f t="shared" si="57"/>
        <v>3.8510524689294781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-3.1036506698001178E-14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240.19940780300527</v>
      </c>
      <c r="AO112" s="62">
        <f t="shared" si="90"/>
        <v>355.71054384071715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0.87272170672370464</v>
      </c>
      <c r="AV112" s="23">
        <f>EXP(-LN(2)/25)*AV111+(1-EXP(-LN(2)/25))/(LN(2)/25)*Calculateur!AQ112*Calculateur!AS112*VLOOKUP('Données projet'!$B$10,Paramètres!$A$1:$I$89,3,0)*0.475*44/12</f>
        <v>2.786609984458507</v>
      </c>
      <c r="AW112" s="23">
        <f>EXP(-LN(2)/2)*AW111+(1-EXP(-LN(2)/2))/(LN(2)/2)*AQ112*AT112*VLOOKUP('Données projet'!$B$10,Paramètres!$A$1:$I$89,3,0)*0.475*44/12</f>
        <v>2.124073305796143E-11</v>
      </c>
      <c r="AX112" s="23">
        <f t="shared" si="60"/>
        <v>3.6593316912034526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-1.2710188457276673E-13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382.55387448074327</v>
      </c>
      <c r="T113" s="62">
        <f t="shared" si="88"/>
        <v>476.29465646955543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2.2158029345383752</v>
      </c>
      <c r="AA113" s="23">
        <f>EXP(-LN(2)/25)*AA112+(1-EXP(-LN(2)/25))/(LN(2)/25)*Calculateur!V113*Calculateur!X113*VLOOKUP('Données projet'!$B$9,Paramètres!$A$1:$I$89,3,0)*0.475*44/12</f>
        <v>1.5474258474837703</v>
      </c>
      <c r="AB113" s="23">
        <f>EXP(-LN(2)/2)*AB112+(1-EXP(-LN(2)/2))/(LN(2)/2)*V113*Y113*VLOOKUP('Données projet'!$B$9,Paramètres!$A$1:$I$89,3,0)*0.475*44/12</f>
        <v>1.2072785157499606E-11</v>
      </c>
      <c r="AC113" s="24">
        <f t="shared" si="57"/>
        <v>3.7632287820342181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-3.1036506698001178E-14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240.19940780300527</v>
      </c>
      <c r="AO113" s="62">
        <f t="shared" si="90"/>
        <v>355.71054384071715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0.8556081663625329</v>
      </c>
      <c r="AV113" s="23">
        <f>EXP(-LN(2)/25)*AV112+(1-EXP(-LN(2)/25))/(LN(2)/25)*Calculateur!AQ113*Calculateur!AS113*VLOOKUP('Données projet'!$B$10,Paramètres!$A$1:$I$89,3,0)*0.475*44/12</f>
        <v>2.7104099878920391</v>
      </c>
      <c r="AW113" s="23">
        <f>EXP(-LN(2)/2)*AW112+(1-EXP(-LN(2)/2))/(LN(2)/2)*AQ113*AT113*VLOOKUP('Données projet'!$B$10,Paramètres!$A$1:$I$89,3,0)*0.475*44/12</f>
        <v>1.5019466382657799E-11</v>
      </c>
      <c r="AX113" s="23">
        <f t="shared" si="60"/>
        <v>3.5660181542695915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-1.2710188457276673E-13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382.55387448074327</v>
      </c>
      <c r="T114" s="62">
        <f t="shared" si="88"/>
        <v>476.29465646955543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2.1723523904984177</v>
      </c>
      <c r="AA114" s="23">
        <f>EXP(-LN(2)/25)*AA113+(1-EXP(-LN(2)/25))/(LN(2)/25)*Calculateur!V114*Calculateur!X114*VLOOKUP('Données projet'!$B$9,Paramètres!$A$1:$I$89,3,0)*0.475*44/12</f>
        <v>1.5051114063087381</v>
      </c>
      <c r="AB114" s="23">
        <f>EXP(-LN(2)/2)*AB113+(1-EXP(-LN(2)/2))/(LN(2)/2)*V114*Y114*VLOOKUP('Données projet'!$B$9,Paramètres!$A$1:$I$89,3,0)*0.475*44/12</f>
        <v>8.5367482526762723E-12</v>
      </c>
      <c r="AC114" s="24">
        <f t="shared" si="57"/>
        <v>3.6774637968156925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-3.1036506698001178E-14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240.19940780300527</v>
      </c>
      <c r="AO114" s="62">
        <f t="shared" si="90"/>
        <v>355.71054384071715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0.83883021208961472</v>
      </c>
      <c r="AV114" s="23">
        <f>EXP(-LN(2)/25)*AV113+(1-EXP(-LN(2)/25))/(LN(2)/25)*Calculateur!AQ114*Calculateur!AS114*VLOOKUP('Données projet'!$B$10,Paramètres!$A$1:$I$89,3,0)*0.475*44/12</f>
        <v>2.6362936842388649</v>
      </c>
      <c r="AW114" s="23">
        <f>EXP(-LN(2)/2)*AW113+(1-EXP(-LN(2)/2))/(LN(2)/2)*AQ114*AT114*VLOOKUP('Données projet'!$B$10,Paramètres!$A$1:$I$89,3,0)*0.475*44/12</f>
        <v>1.0620366528980715E-11</v>
      </c>
      <c r="AX114" s="23">
        <f t="shared" si="60"/>
        <v>3.4751238963391002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-1.2710188457276673E-13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382.55387448074327</v>
      </c>
      <c r="T115" s="62">
        <f t="shared" si="88"/>
        <v>476.29465646955543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2.1297538851248685</v>
      </c>
      <c r="AA115" s="23">
        <f>EXP(-LN(2)/25)*AA114+(1-EXP(-LN(2)/25))/(LN(2)/25)*Calculateur!V115*Calculateur!X115*VLOOKUP('Données projet'!$B$9,Paramètres!$A$1:$I$89,3,0)*0.475*44/12</f>
        <v>1.4639540557528568</v>
      </c>
      <c r="AB115" s="23">
        <f>EXP(-LN(2)/2)*AB114+(1-EXP(-LN(2)/2))/(LN(2)/2)*V115*Y115*VLOOKUP('Données projet'!$B$9,Paramètres!$A$1:$I$89,3,0)*0.475*44/12</f>
        <v>6.0363925787498029E-12</v>
      </c>
      <c r="AC115" s="24">
        <f t="shared" si="57"/>
        <v>3.5937079408837618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-3.1036506698001178E-14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240.19940780300527</v>
      </c>
      <c r="AO115" s="62">
        <f t="shared" si="90"/>
        <v>355.71054384071715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0.82238126326644689</v>
      </c>
      <c r="AV115" s="23">
        <f>EXP(-LN(2)/25)*AV114+(1-EXP(-LN(2)/25))/(LN(2)/25)*Calculateur!AQ115*Calculateur!AS115*VLOOKUP('Données projet'!$B$10,Paramètres!$A$1:$I$89,3,0)*0.475*44/12</f>
        <v>2.5642040948066938</v>
      </c>
      <c r="AW115" s="23">
        <f>EXP(-LN(2)/2)*AW114+(1-EXP(-LN(2)/2))/(LN(2)/2)*AQ115*AT115*VLOOKUP('Données projet'!$B$10,Paramètres!$A$1:$I$89,3,0)*0.475*44/12</f>
        <v>7.5097331913288995E-12</v>
      </c>
      <c r="AX115" s="23">
        <f t="shared" si="60"/>
        <v>3.3865853580806502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-1.2710188457276673E-13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382.55387448074327</v>
      </c>
      <c r="T116" s="62">
        <f t="shared" si="88"/>
        <v>476.29465646955543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2.087990710459172</v>
      </c>
      <c r="AA116" s="23">
        <f>EXP(-LN(2)/25)*AA115+(1-EXP(-LN(2)/25))/(LN(2)/25)*Calculateur!V116*Calculateur!X116*VLOOKUP('Données projet'!$B$9,Paramètres!$A$1:$I$89,3,0)*0.475*44/12</f>
        <v>1.4239221551122969</v>
      </c>
      <c r="AB116" s="23">
        <f>EXP(-LN(2)/2)*AB115+(1-EXP(-LN(2)/2))/(LN(2)/2)*V116*Y116*VLOOKUP('Données projet'!$B$9,Paramètres!$A$1:$I$89,3,0)*0.475*44/12</f>
        <v>4.2683741263381362E-12</v>
      </c>
      <c r="AC116" s="24">
        <f t="shared" si="57"/>
        <v>3.5119128655757375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-3.1036506698001178E-14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240.19940780300527</v>
      </c>
      <c r="AO116" s="62">
        <f t="shared" si="90"/>
        <v>355.71054384071715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0.80625486829683324</v>
      </c>
      <c r="AV116" s="23">
        <f>EXP(-LN(2)/25)*AV115+(1-EXP(-LN(2)/25))/(LN(2)/25)*Calculateur!AQ116*Calculateur!AS116*VLOOKUP('Données projet'!$B$10,Paramètres!$A$1:$I$89,3,0)*0.475*44/12</f>
        <v>2.4940857989885719</v>
      </c>
      <c r="AW116" s="23">
        <f>EXP(-LN(2)/2)*AW115+(1-EXP(-LN(2)/2))/(LN(2)/2)*AQ116*AT116*VLOOKUP('Données projet'!$B$10,Paramètres!$A$1:$I$89,3,0)*0.475*44/12</f>
        <v>5.3101832644903575E-12</v>
      </c>
      <c r="AX116" s="23">
        <f t="shared" si="60"/>
        <v>3.300340667290715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-1.2710188457276673E-13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382.55387448074327</v>
      </c>
      <c r="T117" s="62">
        <f t="shared" si="88"/>
        <v>476.29465646955543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2.0470464861756485</v>
      </c>
      <c r="AA117" s="23">
        <f>EXP(-LN(2)/25)*AA116+(1-EXP(-LN(2)/25))/(LN(2)/25)*Calculateur!V117*Calculateur!X117*VLOOKUP('Données projet'!$B$9,Paramètres!$A$1:$I$89,3,0)*0.475*44/12</f>
        <v>1.3849849288999394</v>
      </c>
      <c r="AB117" s="23">
        <f>EXP(-LN(2)/2)*AB116+(1-EXP(-LN(2)/2))/(LN(2)/2)*V117*Y117*VLOOKUP('Données projet'!$B$9,Paramètres!$A$1:$I$89,3,0)*0.475*44/12</f>
        <v>3.0181962893749015E-12</v>
      </c>
      <c r="AC117" s="24">
        <f t="shared" si="57"/>
        <v>3.432031415078606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-3.1036506698001178E-14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240.19940780300527</v>
      </c>
      <c r="AO117" s="62">
        <f t="shared" si="90"/>
        <v>355.71054384071715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0.79044470209644402</v>
      </c>
      <c r="AV117" s="23">
        <f>EXP(-LN(2)/25)*AV116+(1-EXP(-LN(2)/25))/(LN(2)/25)*Calculateur!AQ117*Calculateur!AS117*VLOOKUP('Données projet'!$B$10,Paramètres!$A$1:$I$89,3,0)*0.475*44/12</f>
        <v>2.4258848916569575</v>
      </c>
      <c r="AW117" s="23">
        <f>EXP(-LN(2)/2)*AW116+(1-EXP(-LN(2)/2))/(LN(2)/2)*AQ117*AT117*VLOOKUP('Données projet'!$B$10,Paramètres!$A$1:$I$89,3,0)*0.475*44/12</f>
        <v>3.7548665956644497E-12</v>
      </c>
      <c r="AX117" s="23">
        <f t="shared" si="60"/>
        <v>3.2163295937571563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-1.2710188457276673E-13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382.55387448074327</v>
      </c>
      <c r="T118" s="62">
        <f t="shared" si="88"/>
        <v>476.29465646955543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2.0069051531568141</v>
      </c>
      <c r="AA118" s="23">
        <f>EXP(-LN(2)/25)*AA117+(1-EXP(-LN(2)/25))/(LN(2)/25)*Calculateur!V118*Calculateur!X118*VLOOKUP('Données projet'!$B$9,Paramètres!$A$1:$I$89,3,0)*0.475*44/12</f>
        <v>1.3471124431859787</v>
      </c>
      <c r="AB118" s="23">
        <f>EXP(-LN(2)/2)*AB117+(1-EXP(-LN(2)/2))/(LN(2)/2)*V118*Y118*VLOOKUP('Données projet'!$B$9,Paramètres!$A$1:$I$89,3,0)*0.475*44/12</f>
        <v>2.1341870631690681E-12</v>
      </c>
      <c r="AC118" s="24">
        <f t="shared" si="57"/>
        <v>3.354017596344927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-3.1036506698001178E-14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240.19940780300527</v>
      </c>
      <c r="AO118" s="62">
        <f t="shared" si="90"/>
        <v>355.71054384071715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0.77494456361199526</v>
      </c>
      <c r="AV118" s="23">
        <f>EXP(-LN(2)/25)*AV117+(1-EXP(-LN(2)/25))/(LN(2)/25)*Calculateur!AQ118*Calculateur!AS118*VLOOKUP('Données projet'!$B$10,Paramètres!$A$1:$I$89,3,0)*0.475*44/12</f>
        <v>2.3595489417228559</v>
      </c>
      <c r="AW118" s="23">
        <f>EXP(-LN(2)/2)*AW117+(1-EXP(-LN(2)/2))/(LN(2)/2)*AQ118*AT118*VLOOKUP('Données projet'!$B$10,Paramètres!$A$1:$I$89,3,0)*0.475*44/12</f>
        <v>2.6550916322451787E-12</v>
      </c>
      <c r="AX118" s="23">
        <f t="shared" si="60"/>
        <v>3.1344935053375065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-1.2710188457276673E-13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382.55387448074327</v>
      </c>
      <c r="T119" s="62">
        <f t="shared" si="88"/>
        <v>476.29465646955543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1.9675509671946834</v>
      </c>
      <c r="AA119" s="23">
        <f>EXP(-LN(2)/25)*AA118+(1-EXP(-LN(2)/25))/(LN(2)/25)*Calculateur!V119*Calculateur!X119*VLOOKUP('Données projet'!$B$9,Paramètres!$A$1:$I$89,3,0)*0.475*44/12</f>
        <v>1.3102755825854935</v>
      </c>
      <c r="AB119" s="23">
        <f>EXP(-LN(2)/2)*AB118+(1-EXP(-LN(2)/2))/(LN(2)/2)*V119*Y119*VLOOKUP('Données projet'!$B$9,Paramètres!$A$1:$I$89,3,0)*0.475*44/12</f>
        <v>1.5090981446874507E-12</v>
      </c>
      <c r="AC119" s="24">
        <f t="shared" si="57"/>
        <v>3.2778265497816861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-3.1036506698001178E-14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240.19940780300527</v>
      </c>
      <c r="AO119" s="62">
        <f t="shared" si="90"/>
        <v>355.71054384071715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0.75974837338907564</v>
      </c>
      <c r="AV119" s="23">
        <f>EXP(-LN(2)/25)*AV118+(1-EXP(-LN(2)/25))/(LN(2)/25)*Calculateur!AQ119*Calculateur!AS119*VLOOKUP('Données projet'!$B$10,Paramètres!$A$1:$I$89,3,0)*0.475*44/12</f>
        <v>2.2950269518281585</v>
      </c>
      <c r="AW119" s="23">
        <f>EXP(-LN(2)/2)*AW118+(1-EXP(-LN(2)/2))/(LN(2)/2)*AQ119*AT119*VLOOKUP('Données projet'!$B$10,Paramètres!$A$1:$I$89,3,0)*0.475*44/12</f>
        <v>1.8774332978322249E-12</v>
      </c>
      <c r="AX119" s="23">
        <f t="shared" si="60"/>
        <v>3.0547753252191119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-1.2710188457276673E-13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382.55387448074327</v>
      </c>
      <c r="T120" s="62">
        <f t="shared" si="88"/>
        <v>476.29465646955543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1.9289684928155868</v>
      </c>
      <c r="AA120" s="23">
        <f>EXP(-LN(2)/25)*AA119+(1-EXP(-LN(2)/25))/(LN(2)/25)*Calculateur!V120*Calculateur!X120*VLOOKUP('Données projet'!$B$9,Paramètres!$A$1:$I$89,3,0)*0.475*44/12</f>
        <v>1.2744460278752949</v>
      </c>
      <c r="AB120" s="23">
        <f>EXP(-LN(2)/2)*AB119+(1-EXP(-LN(2)/2))/(LN(2)/2)*V120*Y120*VLOOKUP('Données projet'!$B$9,Paramètres!$A$1:$I$89,3,0)*0.475*44/12</f>
        <v>1.067093531584534E-12</v>
      </c>
      <c r="AC120" s="24">
        <f t="shared" si="57"/>
        <v>3.2034145206919491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-3.1036506698001178E-14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240.19940780300527</v>
      </c>
      <c r="AO120" s="62">
        <f t="shared" si="90"/>
        <v>355.71054384071715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0.74485017118766661</v>
      </c>
      <c r="AV120" s="23">
        <f>EXP(-LN(2)/25)*AV119+(1-EXP(-LN(2)/25))/(LN(2)/25)*Calculateur!AQ120*Calculateur!AS120*VLOOKUP('Données projet'!$B$10,Paramètres!$A$1:$I$89,3,0)*0.475*44/12</f>
        <v>2.2322693191401957</v>
      </c>
      <c r="AW120" s="23">
        <f>EXP(-LN(2)/2)*AW119+(1-EXP(-LN(2)/2))/(LN(2)/2)*AQ120*AT120*VLOOKUP('Données projet'!$B$10,Paramètres!$A$1:$I$89,3,0)*0.475*44/12</f>
        <v>1.3275458161225894E-12</v>
      </c>
      <c r="AX120" s="23">
        <f t="shared" si="60"/>
        <v>2.9771194903291898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-1.2710188457276673E-13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382.55387448074327</v>
      </c>
      <c r="T121" s="62">
        <f t="shared" si="88"/>
        <v>476.29465646955543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1.8911425972260787</v>
      </c>
      <c r="AA121" s="23">
        <f>EXP(-LN(2)/25)*AA120+(1-EXP(-LN(2)/25))/(LN(2)/25)*Calculateur!V121*Calculateur!X121*VLOOKUP('Données projet'!$B$9,Paramètres!$A$1:$I$89,3,0)*0.475*44/12</f>
        <v>1.2395962342228413</v>
      </c>
      <c r="AB121" s="23">
        <f>EXP(-LN(2)/2)*AB120+(1-EXP(-LN(2)/2))/(LN(2)/2)*V121*Y121*VLOOKUP('Données projet'!$B$9,Paramètres!$A$1:$I$89,3,0)*0.475*44/12</f>
        <v>7.5454907234372537E-13</v>
      </c>
      <c r="AC121" s="24">
        <f t="shared" si="57"/>
        <v>3.1307388314496745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-3.1036506698001178E-14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240.19940780300527</v>
      </c>
      <c r="AO121" s="62">
        <f t="shared" si="90"/>
        <v>355.71054384071715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0.7302441136444211</v>
      </c>
      <c r="AV121" s="23">
        <f>EXP(-LN(2)/25)*AV120+(1-EXP(-LN(2)/25))/(LN(2)/25)*Calculateur!AQ121*Calculateur!AS121*VLOOKUP('Données projet'!$B$10,Paramètres!$A$1:$I$89,3,0)*0.475*44/12</f>
        <v>2.1712277972183656</v>
      </c>
      <c r="AW121" s="23">
        <f>EXP(-LN(2)/2)*AW120+(1-EXP(-LN(2)/2))/(LN(2)/2)*AQ121*AT121*VLOOKUP('Données projet'!$B$10,Paramètres!$A$1:$I$89,3,0)*0.475*44/12</f>
        <v>9.3871664891611243E-13</v>
      </c>
      <c r="AX121" s="23">
        <f t="shared" si="60"/>
        <v>2.9014719108637257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-1.2710188457276673E-13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382.55387448074327</v>
      </c>
      <c r="T122" s="62">
        <f t="shared" si="88"/>
        <v>476.29465646955543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1.8540584443775625</v>
      </c>
      <c r="AA122" s="23">
        <f>EXP(-LN(2)/25)*AA121+(1-EXP(-LN(2)/25))/(LN(2)/25)*Calculateur!V122*Calculateur!X122*VLOOKUP('Données projet'!$B$9,Paramètres!$A$1:$I$89,3,0)*0.475*44/12</f>
        <v>1.2056994100104848</v>
      </c>
      <c r="AB122" s="23">
        <f>EXP(-LN(2)/2)*AB121+(1-EXP(-LN(2)/2))/(LN(2)/2)*V122*Y122*VLOOKUP('Données projet'!$B$9,Paramètres!$A$1:$I$89,3,0)*0.475*44/12</f>
        <v>5.3354676579226702E-13</v>
      </c>
      <c r="AC122" s="24">
        <f t="shared" si="57"/>
        <v>3.0597578543885806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-3.1036506698001178E-14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240.19940780300527</v>
      </c>
      <c r="AO122" s="62">
        <f t="shared" si="90"/>
        <v>355.71054384071715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0.71592447198078324</v>
      </c>
      <c r="AV122" s="23">
        <f>EXP(-LN(2)/25)*AV121+(1-EXP(-LN(2)/25))/(LN(2)/25)*Calculateur!AQ122*Calculateur!AS122*VLOOKUP('Données projet'!$B$10,Paramètres!$A$1:$I$89,3,0)*0.475*44/12</f>
        <v>2.1118554589235221</v>
      </c>
      <c r="AW122" s="23">
        <f>EXP(-LN(2)/2)*AW121+(1-EXP(-LN(2)/2))/(LN(2)/2)*AQ122*AT122*VLOOKUP('Données projet'!$B$10,Paramètres!$A$1:$I$89,3,0)*0.475*44/12</f>
        <v>6.6377290806129468E-13</v>
      </c>
      <c r="AX122" s="23">
        <f t="shared" si="60"/>
        <v>2.8277799309049692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-1.2710188457276673E-13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382.55387448074327</v>
      </c>
      <c r="T123" s="62">
        <f t="shared" si="88"/>
        <v>476.29465646955543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1.817701489147306</v>
      </c>
      <c r="AA123" s="23">
        <f>EXP(-LN(2)/25)*AA122+(1-EXP(-LN(2)/25))/(LN(2)/25)*Calculateur!V123*Calculateur!X123*VLOOKUP('Données projet'!$B$9,Paramètres!$A$1:$I$89,3,0)*0.475*44/12</f>
        <v>1.1727294962387718</v>
      </c>
      <c r="AB123" s="23">
        <f>EXP(-LN(2)/2)*AB122+(1-EXP(-LN(2)/2))/(LN(2)/2)*V123*Y123*VLOOKUP('Données projet'!$B$9,Paramètres!$A$1:$I$89,3,0)*0.475*44/12</f>
        <v>3.7727453617186268E-13</v>
      </c>
      <c r="AC123" s="24">
        <f t="shared" si="57"/>
        <v>2.990430985386455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-3.1036506698001178E-14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240.19940780300527</v>
      </c>
      <c r="AO123" s="62">
        <f t="shared" si="90"/>
        <v>355.71054384071715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0.70188562975605029</v>
      </c>
      <c r="AV123" s="23">
        <f>EXP(-LN(2)/25)*AV122+(1-EXP(-LN(2)/25))/(LN(2)/25)*Calculateur!AQ123*Calculateur!AS123*VLOOKUP('Données projet'!$B$10,Paramètres!$A$1:$I$89,3,0)*0.475*44/12</f>
        <v>2.0541066603416067</v>
      </c>
      <c r="AW123" s="23">
        <f>EXP(-LN(2)/2)*AW122+(1-EXP(-LN(2)/2))/(LN(2)/2)*AQ123*AT123*VLOOKUP('Données projet'!$B$10,Paramètres!$A$1:$I$89,3,0)*0.475*44/12</f>
        <v>4.6935832445805622E-13</v>
      </c>
      <c r="AX123" s="23">
        <f t="shared" si="60"/>
        <v>2.7559922900981264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-1.2710188457276673E-13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382.55387448074327</v>
      </c>
      <c r="T124" s="62">
        <f t="shared" si="88"/>
        <v>476.29465646955543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1.7820574716335618</v>
      </c>
      <c r="AA124" s="23">
        <f>EXP(-LN(2)/25)*AA123+(1-EXP(-LN(2)/25))/(LN(2)/25)*Calculateur!V124*Calculateur!X124*VLOOKUP('Données projet'!$B$9,Paramètres!$A$1:$I$89,3,0)*0.475*44/12</f>
        <v>1.1406611464929586</v>
      </c>
      <c r="AB124" s="23">
        <f>EXP(-LN(2)/2)*AB123+(1-EXP(-LN(2)/2))/(LN(2)/2)*V124*Y124*VLOOKUP('Données projet'!$B$9,Paramètres!$A$1:$I$89,3,0)*0.475*44/12</f>
        <v>2.6677338289613351E-13</v>
      </c>
      <c r="AC124" s="24">
        <f t="shared" si="57"/>
        <v>2.9227186181267872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-3.1036506698001178E-14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240.19940780300527</v>
      </c>
      <c r="AO124" s="62">
        <f t="shared" si="90"/>
        <v>355.71054384071715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0.68812208066449609</v>
      </c>
      <c r="AV124" s="23">
        <f>EXP(-LN(2)/25)*AV123+(1-EXP(-LN(2)/25))/(LN(2)/25)*Calculateur!AQ124*Calculateur!AS124*VLOOKUP('Données projet'!$B$10,Paramètres!$A$1:$I$89,3,0)*0.475*44/12</f>
        <v>1.9979370056937908</v>
      </c>
      <c r="AW124" s="23">
        <f>EXP(-LN(2)/2)*AW123+(1-EXP(-LN(2)/2))/(LN(2)/2)*AQ124*AT124*VLOOKUP('Données projet'!$B$10,Paramètres!$A$1:$I$89,3,0)*0.475*44/12</f>
        <v>3.3188645403064734E-13</v>
      </c>
      <c r="AX124" s="23">
        <f t="shared" si="60"/>
        <v>2.6860590863586187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-1.2710188457276673E-13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382.55387448074327</v>
      </c>
      <c r="T125" s="62">
        <f t="shared" si="88"/>
        <v>476.29465646955543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1.747112411562558</v>
      </c>
      <c r="AA125" s="23">
        <f>EXP(-LN(2)/25)*AA124+(1-EXP(-LN(2)/25))/(LN(2)/25)*Calculateur!V125*Calculateur!X125*VLOOKUP('Données projet'!$B$9,Paramètres!$A$1:$I$89,3,0)*0.475*44/12</f>
        <v>1.1094697074573459</v>
      </c>
      <c r="AB125" s="23">
        <f>EXP(-LN(2)/2)*AB124+(1-EXP(-LN(2)/2))/(LN(2)/2)*V125*Y125*VLOOKUP('Données projet'!$B$9,Paramètres!$A$1:$I$89,3,0)*0.475*44/12</f>
        <v>1.8863726808593134E-13</v>
      </c>
      <c r="AC125" s="24">
        <f t="shared" si="57"/>
        <v>2.8565821190200924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-3.1036506698001178E-14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240.19940780300527</v>
      </c>
      <c r="AO125" s="62">
        <f t="shared" si="90"/>
        <v>355.71054384071715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0.67462842637569131</v>
      </c>
      <c r="AV125" s="23">
        <f>EXP(-LN(2)/25)*AV124+(1-EXP(-LN(2)/25))/(LN(2)/25)*Calculateur!AQ125*Calculateur!AS125*VLOOKUP('Données projet'!$B$10,Paramètres!$A$1:$I$89,3,0)*0.475*44/12</f>
        <v>1.9433033132061535</v>
      </c>
      <c r="AW125" s="23">
        <f>EXP(-LN(2)/2)*AW124+(1-EXP(-LN(2)/2))/(LN(2)/2)*AQ125*AT125*VLOOKUP('Données projet'!$B$10,Paramètres!$A$1:$I$89,3,0)*0.475*44/12</f>
        <v>2.3467916222902811E-13</v>
      </c>
      <c r="AX125" s="23">
        <f t="shared" si="60"/>
        <v>2.6179317395820791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-1.2710188457276673E-13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382.55387448074327</v>
      </c>
      <c r="T126" s="62">
        <f t="shared" si="88"/>
        <v>476.29465646955543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1.7128526028051647</v>
      </c>
      <c r="AA126" s="23">
        <f>EXP(-LN(2)/25)*AA125+(1-EXP(-LN(2)/25))/(LN(2)/25)*Calculateur!V126*Calculateur!X126*VLOOKUP('Données projet'!$B$9,Paramètres!$A$1:$I$89,3,0)*0.475*44/12</f>
        <v>1.0791311999624484</v>
      </c>
      <c r="AB126" s="23">
        <f>EXP(-LN(2)/2)*AB125+(1-EXP(-LN(2)/2))/(LN(2)/2)*V126*Y126*VLOOKUP('Données projet'!$B$9,Paramètres!$A$1:$I$89,3,0)*0.475*44/12</f>
        <v>1.3338669144806676E-13</v>
      </c>
      <c r="AC126" s="24">
        <f t="shared" si="57"/>
        <v>2.7919838027677466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-3.1036506698001178E-14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240.19940780300527</v>
      </c>
      <c r="AO126" s="62">
        <f t="shared" si="90"/>
        <v>355.71054384071715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0.66139937441717356</v>
      </c>
      <c r="AV126" s="23">
        <f>EXP(-LN(2)/25)*AV125+(1-EXP(-LN(2)/25))/(LN(2)/25)*Calculateur!AQ126*Calculateur!AS126*VLOOKUP('Données projet'!$B$10,Paramètres!$A$1:$I$89,3,0)*0.475*44/12</f>
        <v>1.8901635819126514</v>
      </c>
      <c r="AW126" s="23">
        <f>EXP(-LN(2)/2)*AW125+(1-EXP(-LN(2)/2))/(LN(2)/2)*AQ126*AT126*VLOOKUP('Données projet'!$B$10,Paramètres!$A$1:$I$89,3,0)*0.475*44/12</f>
        <v>1.6594322701532367E-13</v>
      </c>
      <c r="AX126" s="23">
        <f t="shared" si="60"/>
        <v>2.5515629563299909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-1.2710188457276673E-13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382.55387448074327</v>
      </c>
      <c r="T127" s="62">
        <f t="shared" si="88"/>
        <v>476.29465646955543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1.679264608001084</v>
      </c>
      <c r="AA127" s="23">
        <f>EXP(-LN(2)/25)*AA126+(1-EXP(-LN(2)/25))/(LN(2)/25)*Calculateur!V127*Calculateur!X127*VLOOKUP('Données projet'!$B$9,Paramètres!$A$1:$I$89,3,0)*0.475*44/12</f>
        <v>1.0496223005504319</v>
      </c>
      <c r="AB127" s="23">
        <f>EXP(-LN(2)/2)*AB126+(1-EXP(-LN(2)/2))/(LN(2)/2)*V127*Y127*VLOOKUP('Données projet'!$B$9,Paramètres!$A$1:$I$89,3,0)*0.475*44/12</f>
        <v>9.4318634042965671E-14</v>
      </c>
      <c r="AC127" s="24">
        <f t="shared" si="57"/>
        <v>2.7288869085516101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-3.1036506698001178E-14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240.19940780300527</v>
      </c>
      <c r="AO127" s="62">
        <f t="shared" si="90"/>
        <v>355.71054384071715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0.64842973609863741</v>
      </c>
      <c r="AV127" s="23">
        <f>EXP(-LN(2)/25)*AV126+(1-EXP(-LN(2)/25))/(LN(2)/25)*Calculateur!AQ127*Calculateur!AS127*VLOOKUP('Données projet'!$B$10,Paramètres!$A$1:$I$89,3,0)*0.475*44/12</f>
        <v>1.8384769593658672</v>
      </c>
      <c r="AW127" s="23">
        <f>EXP(-LN(2)/2)*AW126+(1-EXP(-LN(2)/2))/(LN(2)/2)*AQ127*AT127*VLOOKUP('Données projet'!$B$10,Paramètres!$A$1:$I$89,3,0)*0.475*44/12</f>
        <v>1.1733958111451405E-13</v>
      </c>
      <c r="AX127" s="23">
        <f t="shared" si="60"/>
        <v>2.4869066954646217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-1.2710188457276673E-13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382.55387448074327</v>
      </c>
      <c r="T128" s="62">
        <f t="shared" si="88"/>
        <v>476.29465646955543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1.6463352532884574</v>
      </c>
      <c r="AA128" s="23">
        <f>EXP(-LN(2)/25)*AA127+(1-EXP(-LN(2)/25))/(LN(2)/25)*Calculateur!V128*Calculateur!X128*VLOOKUP('Données projet'!$B$9,Paramètres!$A$1:$I$89,3,0)*0.475*44/12</f>
        <v>1.0209203235446425</v>
      </c>
      <c r="AB128" s="23">
        <f>EXP(-LN(2)/2)*AB127+(1-EXP(-LN(2)/2))/(LN(2)/2)*V128*Y128*VLOOKUP('Données projet'!$B$9,Paramètres!$A$1:$I$89,3,0)*0.475*44/12</f>
        <v>6.6693345724033378E-14</v>
      </c>
      <c r="AC128" s="24">
        <f t="shared" si="57"/>
        <v>2.6672555768331665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-3.1036506698001178E-14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240.19940780300527</v>
      </c>
      <c r="AO128" s="62">
        <f t="shared" si="90"/>
        <v>355.71054384071715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0.63571442447682946</v>
      </c>
      <c r="AV128" s="23">
        <f>EXP(-LN(2)/25)*AV127+(1-EXP(-LN(2)/25))/(LN(2)/25)*Calculateur!AQ128*Calculateur!AS128*VLOOKUP('Données projet'!$B$10,Paramètres!$A$1:$I$89,3,0)*0.475*44/12</f>
        <v>1.7882037102307062</v>
      </c>
      <c r="AW128" s="23">
        <f>EXP(-LN(2)/2)*AW127+(1-EXP(-LN(2)/2))/(LN(2)/2)*AQ128*AT128*VLOOKUP('Données projet'!$B$10,Paramètres!$A$1:$I$89,3,0)*0.475*44/12</f>
        <v>8.2971613507661835E-14</v>
      </c>
      <c r="AX128" s="23">
        <f t="shared" si="60"/>
        <v>2.4239181347076189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-1.2710188457276673E-13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382.55387448074327</v>
      </c>
      <c r="T129" s="62">
        <f t="shared" si="88"/>
        <v>476.29465646955543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1.6140516231368223</v>
      </c>
      <c r="AA129" s="23">
        <f>EXP(-LN(2)/25)*AA128+(1-EXP(-LN(2)/25))/(LN(2)/25)*Calculateur!V129*Calculateur!X129*VLOOKUP('Données projet'!$B$9,Paramètres!$A$1:$I$89,3,0)*0.475*44/12</f>
        <v>0.99300320360944772</v>
      </c>
      <c r="AB129" s="23">
        <f>EXP(-LN(2)/2)*AB128+(1-EXP(-LN(2)/2))/(LN(2)/2)*V129*Y129*VLOOKUP('Données projet'!$B$9,Paramètres!$A$1:$I$89,3,0)*0.475*44/12</f>
        <v>4.7159317021482835E-14</v>
      </c>
      <c r="AC129" s="24">
        <f t="shared" si="57"/>
        <v>2.6070548267463169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-3.1036506698001178E-14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240.19940780300527</v>
      </c>
      <c r="AO129" s="62">
        <f t="shared" si="90"/>
        <v>355.71054384071715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0.62324845236035087</v>
      </c>
      <c r="AV129" s="23">
        <f>EXP(-LN(2)/25)*AV128+(1-EXP(-LN(2)/25))/(LN(2)/25)*Calculateur!AQ129*Calculateur!AS129*VLOOKUP('Données projet'!$B$10,Paramètres!$A$1:$I$89,3,0)*0.475*44/12</f>
        <v>1.7393051857369015</v>
      </c>
      <c r="AW129" s="23">
        <f>EXP(-LN(2)/2)*AW128+(1-EXP(-LN(2)/2))/(LN(2)/2)*AQ129*AT129*VLOOKUP('Données projet'!$B$10,Paramètres!$A$1:$I$89,3,0)*0.475*44/12</f>
        <v>5.8669790557257027E-14</v>
      </c>
      <c r="AX129" s="23">
        <f t="shared" si="60"/>
        <v>2.3625536380973111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-1.2710188457276673E-13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382.55387448074327</v>
      </c>
      <c r="T130" s="62">
        <f t="shared" si="88"/>
        <v>476.29465646955543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1.5824010552813905</v>
      </c>
      <c r="AA130" s="23">
        <f>EXP(-LN(2)/25)*AA129+(1-EXP(-LN(2)/25))/(LN(2)/25)*Calculateur!V130*Calculateur!X130*VLOOKUP('Données projet'!$B$9,Paramètres!$A$1:$I$89,3,0)*0.475*44/12</f>
        <v>0.96584947878697847</v>
      </c>
      <c r="AB130" s="23">
        <f>EXP(-LN(2)/2)*AB129+(1-EXP(-LN(2)/2))/(LN(2)/2)*V130*Y130*VLOOKUP('Données projet'!$B$9,Paramètres!$A$1:$I$89,3,0)*0.475*44/12</f>
        <v>3.3346672862016689E-14</v>
      </c>
      <c r="AC130" s="24">
        <f t="shared" si="57"/>
        <v>2.5482505340684023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-3.1036506698001178E-14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240.19940780300527</v>
      </c>
      <c r="AO130" s="62">
        <f t="shared" si="90"/>
        <v>355.71054384071715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0.61102693035358424</v>
      </c>
      <c r="AV130" s="23">
        <f>EXP(-LN(2)/25)*AV129+(1-EXP(-LN(2)/25))/(LN(2)/25)*Calculateur!AQ130*Calculateur!AS130*VLOOKUP('Données projet'!$B$10,Paramètres!$A$1:$I$89,3,0)*0.475*44/12</f>
        <v>1.6917437939668414</v>
      </c>
      <c r="AW130" s="23">
        <f>EXP(-LN(2)/2)*AW129+(1-EXP(-LN(2)/2))/(LN(2)/2)*AQ130*AT130*VLOOKUP('Données projet'!$B$10,Paramètres!$A$1:$I$89,3,0)*0.475*44/12</f>
        <v>4.1485806753830918E-14</v>
      </c>
      <c r="AX130" s="23">
        <f t="shared" si="60"/>
        <v>2.3027707243204669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-1.2710188457276673E-13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382.55387448074327</v>
      </c>
      <c r="T131" s="62">
        <f t="shared" si="88"/>
        <v>476.29465646955543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1.5513711357566635</v>
      </c>
      <c r="AA131" s="23">
        <f>EXP(-LN(2)/25)*AA130+(1-EXP(-LN(2)/25))/(LN(2)/25)*Calculateur!V131*Calculateur!X131*VLOOKUP('Données projet'!$B$9,Paramètres!$A$1:$I$89,3,0)*0.475*44/12</f>
        <v>0.93943827399773194</v>
      </c>
      <c r="AB131" s="23">
        <f>EXP(-LN(2)/2)*AB130+(1-EXP(-LN(2)/2))/(LN(2)/2)*V131*Y131*VLOOKUP('Données projet'!$B$9,Paramètres!$A$1:$I$89,3,0)*0.475*44/12</f>
        <v>2.3579658510741418E-14</v>
      </c>
      <c r="AC131" s="24">
        <f t="shared" si="57"/>
        <v>2.4908094097544189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-3.1036506698001178E-14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240.19940780300527</v>
      </c>
      <c r="AO131" s="62">
        <f t="shared" si="90"/>
        <v>355.71054384071715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0.59904506493897791</v>
      </c>
      <c r="AV131" s="23">
        <f>EXP(-LN(2)/25)*AV130+(1-EXP(-LN(2)/25))/(LN(2)/25)*Calculateur!AQ131*Calculateur!AS131*VLOOKUP('Données projet'!$B$10,Paramètres!$A$1:$I$89,3,0)*0.475*44/12</f>
        <v>1.6454829709558785</v>
      </c>
      <c r="AW131" s="23">
        <f>EXP(-LN(2)/2)*AW130+(1-EXP(-LN(2)/2))/(LN(2)/2)*AQ131*AT131*VLOOKUP('Données projet'!$B$10,Paramètres!$A$1:$I$89,3,0)*0.475*44/12</f>
        <v>2.9334895278628514E-14</v>
      </c>
      <c r="AX131" s="23">
        <f t="shared" si="60"/>
        <v>2.2445280358948856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-1.2710188457276673E-13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382.55387448074327</v>
      </c>
      <c r="T132" s="62">
        <f t="shared" si="88"/>
        <v>476.29465646955543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1.5209496940274345</v>
      </c>
      <c r="AA132" s="23">
        <f>EXP(-LN(2)/25)*AA131+(1-EXP(-LN(2)/25))/(LN(2)/25)*Calculateur!V132*Calculateur!X132*VLOOKUP('Données projet'!$B$9,Paramètres!$A$1:$I$89,3,0)*0.475*44/12</f>
        <v>0.9137492849923522</v>
      </c>
      <c r="AB132" s="23">
        <f>EXP(-LN(2)/2)*AB131+(1-EXP(-LN(2)/2))/(LN(2)/2)*V132*Y132*VLOOKUP('Données projet'!$B$9,Paramètres!$A$1:$I$89,3,0)*0.475*44/12</f>
        <v>1.6673336431008344E-14</v>
      </c>
      <c r="AC132" s="24">
        <f t="shared" ref="AC132:AC153" si="111">SUM(Z132:AB132)</f>
        <v>2.4346989790198035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-3.1036506698001178E-14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240.19940780300527</v>
      </c>
      <c r="AO132" s="62">
        <f t="shared" si="90"/>
        <v>355.71054384071715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0.58729815659693574</v>
      </c>
      <c r="AV132" s="23">
        <f>EXP(-LN(2)/25)*AV131+(1-EXP(-LN(2)/25))/(LN(2)/25)*Calculateur!AQ132*Calculateur!AS132*VLOOKUP('Données projet'!$B$10,Paramètres!$A$1:$I$89,3,0)*0.475*44/12</f>
        <v>1.6004871525829014</v>
      </c>
      <c r="AW132" s="23">
        <f>EXP(-LN(2)/2)*AW131+(1-EXP(-LN(2)/2))/(LN(2)/2)*AQ132*AT132*VLOOKUP('Données projet'!$B$10,Paramètres!$A$1:$I$89,3,0)*0.475*44/12</f>
        <v>2.0742903376915459E-14</v>
      </c>
      <c r="AX132" s="23">
        <f t="shared" ref="AX132:AX153" si="114">SUM(AU132:AW132)</f>
        <v>2.187785309179858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-1.2710188457276673E-13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382.55387448074327</v>
      </c>
      <c r="T133" s="62">
        <f t="shared" ref="T133:T196" si="142">$T$3</f>
        <v>476.29465646955543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1.4911247982152682</v>
      </c>
      <c r="AA133" s="23">
        <f>EXP(-LN(2)/25)*AA132+(1-EXP(-LN(2)/25))/(LN(2)/25)*Calculateur!V133*Calculateur!X133*VLOOKUP('Données projet'!$B$9,Paramètres!$A$1:$I$89,3,0)*0.475*44/12</f>
        <v>0.88876276274224986</v>
      </c>
      <c r="AB133" s="23">
        <f>EXP(-LN(2)/2)*AB132+(1-EXP(-LN(2)/2))/(LN(2)/2)*V133*Y133*VLOOKUP('Données projet'!$B$9,Paramètres!$A$1:$I$89,3,0)*0.475*44/12</f>
        <v>1.1789829255370709E-14</v>
      </c>
      <c r="AC133" s="24">
        <f t="shared" si="111"/>
        <v>2.3798875609575298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-3.1036506698001178E-14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240.19940780300527</v>
      </c>
      <c r="AO133" s="62">
        <f t="shared" ref="AO133:AO196" si="144">$AO$3</f>
        <v>355.71054384071715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0.57578159796257444</v>
      </c>
      <c r="AV133" s="23">
        <f>EXP(-LN(2)/25)*AV132+(1-EXP(-LN(2)/25))/(LN(2)/25)*Calculateur!AQ133*Calculateur!AS133*VLOOKUP('Données projet'!$B$10,Paramètres!$A$1:$I$89,3,0)*0.475*44/12</f>
        <v>1.5567217472295607</v>
      </c>
      <c r="AW133" s="23">
        <f>EXP(-LN(2)/2)*AW132+(1-EXP(-LN(2)/2))/(LN(2)/2)*AQ133*AT133*VLOOKUP('Données projet'!$B$10,Paramètres!$A$1:$I$89,3,0)*0.475*44/12</f>
        <v>1.4667447639314257E-14</v>
      </c>
      <c r="AX133" s="23">
        <f t="shared" si="114"/>
        <v>2.1325033451921498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-1.2710188457276673E-13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382.55387448074327</v>
      </c>
      <c r="T134" s="62">
        <f t="shared" si="142"/>
        <v>476.29465646955543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1.4618847504185883</v>
      </c>
      <c r="AA134" s="23">
        <f>EXP(-LN(2)/25)*AA133+(1-EXP(-LN(2)/25))/(LN(2)/25)*Calculateur!V134*Calculateur!X134*VLOOKUP('Données projet'!$B$9,Paramètres!$A$1:$I$89,3,0)*0.475*44/12</f>
        <v>0.86445949825706059</v>
      </c>
      <c r="AB134" s="23">
        <f>EXP(-LN(2)/2)*AB133+(1-EXP(-LN(2)/2))/(LN(2)/2)*V134*Y134*VLOOKUP('Données projet'!$B$9,Paramètres!$A$1:$I$89,3,0)*0.475*44/12</f>
        <v>8.3366682155041722E-15</v>
      </c>
      <c r="AC134" s="24">
        <f t="shared" si="111"/>
        <v>2.3263442486756571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-3.1036506698001178E-14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240.19940780300527</v>
      </c>
      <c r="AO134" s="62">
        <f t="shared" si="144"/>
        <v>355.71054384071715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0.5644908720186258</v>
      </c>
      <c r="AV134" s="23">
        <f>EXP(-LN(2)/25)*AV133+(1-EXP(-LN(2)/25))/(LN(2)/25)*Calculateur!AQ134*Calculateur!AS134*VLOOKUP('Données projet'!$B$10,Paramètres!$A$1:$I$89,3,0)*0.475*44/12</f>
        <v>1.5141531091871296</v>
      </c>
      <c r="AW134" s="23">
        <f>EXP(-LN(2)/2)*AW133+(1-EXP(-LN(2)/2))/(LN(2)/2)*AQ134*AT134*VLOOKUP('Données projet'!$B$10,Paramètres!$A$1:$I$89,3,0)*0.475*44/12</f>
        <v>1.0371451688457729E-14</v>
      </c>
      <c r="AX134" s="23">
        <f t="shared" si="114"/>
        <v>2.0786439812057655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-1.2710188457276673E-13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382.55387448074327</v>
      </c>
      <c r="T135" s="62">
        <f t="shared" si="142"/>
        <v>476.29465646955543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1.4332180821245333</v>
      </c>
      <c r="AA135" s="23">
        <f>EXP(-LN(2)/25)*AA134+(1-EXP(-LN(2)/25))/(LN(2)/25)*Calculateur!V135*Calculateur!X135*VLOOKUP('Données projet'!$B$9,Paramètres!$A$1:$I$89,3,0)*0.475*44/12</f>
        <v>0.84082080781727198</v>
      </c>
      <c r="AB135" s="23">
        <f>EXP(-LN(2)/2)*AB134+(1-EXP(-LN(2)/2))/(LN(2)/2)*V135*Y135*VLOOKUP('Données projet'!$B$9,Paramètres!$A$1:$I$89,3,0)*0.475*44/12</f>
        <v>5.8949146276853544E-15</v>
      </c>
      <c r="AC135" s="24">
        <f t="shared" si="111"/>
        <v>2.2740388899418109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-3.1036506698001178E-14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240.19940780300527</v>
      </c>
      <c r="AO135" s="62">
        <f t="shared" si="144"/>
        <v>355.71054384071715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0.55342155032377516</v>
      </c>
      <c r="AV135" s="23">
        <f>EXP(-LN(2)/25)*AV134+(1-EXP(-LN(2)/25))/(LN(2)/25)*Calculateur!AQ135*Calculateur!AS135*VLOOKUP('Données projet'!$B$10,Paramètres!$A$1:$I$89,3,0)*0.475*44/12</f>
        <v>1.4727485127905562</v>
      </c>
      <c r="AW135" s="23">
        <f>EXP(-LN(2)/2)*AW134+(1-EXP(-LN(2)/2))/(LN(2)/2)*AQ135*AT135*VLOOKUP('Données projet'!$B$10,Paramètres!$A$1:$I$89,3,0)*0.475*44/12</f>
        <v>7.3337238196571284E-15</v>
      </c>
      <c r="AX135" s="23">
        <f t="shared" si="114"/>
        <v>2.0261700631143387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-1.2710188457276673E-13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382.55387448074327</v>
      </c>
      <c r="T136" s="62">
        <f t="shared" si="142"/>
        <v>476.29465646955543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1.4051135497107834</v>
      </c>
      <c r="AA136" s="23">
        <f>EXP(-LN(2)/25)*AA135+(1-EXP(-LN(2)/25))/(LN(2)/25)*Calculateur!V136*Calculateur!X136*VLOOKUP('Données projet'!$B$9,Paramètres!$A$1:$I$89,3,0)*0.475*44/12</f>
        <v>0.81782851861066408</v>
      </c>
      <c r="AB136" s="23">
        <f>EXP(-LN(2)/2)*AB135+(1-EXP(-LN(2)/2))/(LN(2)/2)*V136*Y136*VLOOKUP('Données projet'!$B$9,Paramètres!$A$1:$I$89,3,0)*0.475*44/12</f>
        <v>4.1683341077520861E-15</v>
      </c>
      <c r="AC136" s="24">
        <f t="shared" si="111"/>
        <v>2.2229420683214514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-3.1036506698001178E-14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240.19940780300527</v>
      </c>
      <c r="AO136" s="62">
        <f t="shared" si="144"/>
        <v>355.71054384071715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0.54256929127574094</v>
      </c>
      <c r="AV136" s="23">
        <f>EXP(-LN(2)/25)*AV135+(1-EXP(-LN(2)/25))/(LN(2)/25)*Calculateur!AQ136*Calculateur!AS136*VLOOKUP('Données projet'!$B$10,Paramètres!$A$1:$I$89,3,0)*0.475*44/12</f>
        <v>1.4324761272598201</v>
      </c>
      <c r="AW136" s="23">
        <f>EXP(-LN(2)/2)*AW135+(1-EXP(-LN(2)/2))/(LN(2)/2)*AQ136*AT136*VLOOKUP('Données projet'!$B$10,Paramètres!$A$1:$I$89,3,0)*0.475*44/12</f>
        <v>5.1857258442288647E-15</v>
      </c>
      <c r="AX136" s="23">
        <f t="shared" si="114"/>
        <v>1.9750454185355661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-1.2710188457276673E-13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382.55387448074327</v>
      </c>
      <c r="T137" s="62">
        <f t="shared" si="142"/>
        <v>476.29465646955543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1.3775601300355951</v>
      </c>
      <c r="AA137" s="23">
        <f>EXP(-LN(2)/25)*AA136+(1-EXP(-LN(2)/25))/(LN(2)/25)*Calculateur!V137*Calculateur!X137*VLOOKUP('Données projet'!$B$9,Paramètres!$A$1:$I$89,3,0)*0.475*44/12</f>
        <v>0.7954649547615229</v>
      </c>
      <c r="AB137" s="23">
        <f>EXP(-LN(2)/2)*AB136+(1-EXP(-LN(2)/2))/(LN(2)/2)*V137*Y137*VLOOKUP('Données projet'!$B$9,Paramètres!$A$1:$I$89,3,0)*0.475*44/12</f>
        <v>2.9474573138426772E-15</v>
      </c>
      <c r="AC137" s="24">
        <f t="shared" si="111"/>
        <v>2.1730250847971209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-3.1036506698001178E-14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240.19940780300527</v>
      </c>
      <c r="AO137" s="62">
        <f t="shared" si="144"/>
        <v>355.71054384071715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0.53192983840841424</v>
      </c>
      <c r="AV137" s="23">
        <f>EXP(-LN(2)/25)*AV136+(1-EXP(-LN(2)/25))/(LN(2)/25)*Calculateur!AQ137*Calculateur!AS137*VLOOKUP('Données projet'!$B$10,Paramètres!$A$1:$I$89,3,0)*0.475*44/12</f>
        <v>1.3933049922292549</v>
      </c>
      <c r="AW137" s="23">
        <f>EXP(-LN(2)/2)*AW136+(1-EXP(-LN(2)/2))/(LN(2)/2)*AQ137*AT137*VLOOKUP('Données projet'!$B$10,Paramètres!$A$1:$I$89,3,0)*0.475*44/12</f>
        <v>3.6668619098285642E-15</v>
      </c>
      <c r="AX137" s="23">
        <f t="shared" si="114"/>
        <v>1.9252348306376728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-1.2710188457276673E-13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382.55387448074327</v>
      </c>
      <c r="T138" s="62">
        <f t="shared" si="142"/>
        <v>476.29465646955543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1.3505470161143107</v>
      </c>
      <c r="AA138" s="23">
        <f>EXP(-LN(2)/25)*AA137+(1-EXP(-LN(2)/25))/(LN(2)/25)*Calculateur!V138*Calculateur!X138*VLOOKUP('Données projet'!$B$9,Paramètres!$A$1:$I$89,3,0)*0.475*44/12</f>
        <v>0.77371292374188516</v>
      </c>
      <c r="AB138" s="23">
        <f>EXP(-LN(2)/2)*AB137+(1-EXP(-LN(2)/2))/(LN(2)/2)*V138*Y138*VLOOKUP('Données projet'!$B$9,Paramètres!$A$1:$I$89,3,0)*0.475*44/12</f>
        <v>2.0841670538760431E-15</v>
      </c>
      <c r="AC138" s="24">
        <f t="shared" si="111"/>
        <v>2.1242599398561981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-3.1036506698001178E-14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240.19940780300527</v>
      </c>
      <c r="AO138" s="62">
        <f t="shared" si="144"/>
        <v>355.71054384071715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0.52149901872239035</v>
      </c>
      <c r="AV138" s="23">
        <f>EXP(-LN(2)/25)*AV137+(1-EXP(-LN(2)/25))/(LN(2)/25)*Calculateur!AQ138*Calculateur!AS138*VLOOKUP('Données projet'!$B$10,Paramètres!$A$1:$I$89,3,0)*0.475*44/12</f>
        <v>1.3552049939460207</v>
      </c>
      <c r="AW138" s="23">
        <f>EXP(-LN(2)/2)*AW137+(1-EXP(-LN(2)/2))/(LN(2)/2)*AQ138*AT138*VLOOKUP('Données projet'!$B$10,Paramètres!$A$1:$I$89,3,0)*0.475*44/12</f>
        <v>2.5928629221144324E-15</v>
      </c>
      <c r="AX138" s="23">
        <f t="shared" si="114"/>
        <v>1.8767040126684136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-1.2710188457276673E-13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382.55387448074327</v>
      </c>
      <c r="T139" s="62">
        <f t="shared" si="142"/>
        <v>476.29465646955543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1.3240636128806502</v>
      </c>
      <c r="AA139" s="23">
        <f>EXP(-LN(2)/25)*AA138+(1-EXP(-LN(2)/25))/(LN(2)/25)*Calculateur!V139*Calculateur!X139*VLOOKUP('Données projet'!$B$9,Paramètres!$A$1:$I$89,3,0)*0.475*44/12</f>
        <v>0.75255570315436904</v>
      </c>
      <c r="AB139" s="23">
        <f>EXP(-LN(2)/2)*AB138+(1-EXP(-LN(2)/2))/(LN(2)/2)*V139*Y139*VLOOKUP('Données projet'!$B$9,Paramètres!$A$1:$I$89,3,0)*0.475*44/12</f>
        <v>1.4737286569213386E-15</v>
      </c>
      <c r="AC139" s="24">
        <f t="shared" si="111"/>
        <v>2.0766193160350208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-3.1036506698001178E-14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240.19940780300527</v>
      </c>
      <c r="AO139" s="62">
        <f t="shared" si="144"/>
        <v>355.71054384071715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0.51127274104823761</v>
      </c>
      <c r="AV139" s="23">
        <f>EXP(-LN(2)/25)*AV138+(1-EXP(-LN(2)/25))/(LN(2)/25)*Calculateur!AQ139*Calculateur!AS139*VLOOKUP('Données projet'!$B$10,Paramètres!$A$1:$I$89,3,0)*0.475*44/12</f>
        <v>1.3181468421194336</v>
      </c>
      <c r="AW139" s="23">
        <f>EXP(-LN(2)/2)*AW138+(1-EXP(-LN(2)/2))/(LN(2)/2)*AQ139*AT139*VLOOKUP('Données projet'!$B$10,Paramètres!$A$1:$I$89,3,0)*0.475*44/12</f>
        <v>1.8334309549142821E-15</v>
      </c>
      <c r="AX139" s="23">
        <f t="shared" si="114"/>
        <v>1.8294195831676729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-1.2710188457276673E-13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382.55387448074327</v>
      </c>
      <c r="T140" s="62">
        <f t="shared" si="142"/>
        <v>476.29465646955543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1.2980995330311207</v>
      </c>
      <c r="AA140" s="23">
        <f>EXP(-LN(2)/25)*AA139+(1-EXP(-LN(2)/25))/(LN(2)/25)*Calculateur!V140*Calculateur!X140*VLOOKUP('Données projet'!$B$9,Paramètres!$A$1:$I$89,3,0)*0.475*44/12</f>
        <v>0.73197702787642838</v>
      </c>
      <c r="AB140" s="23">
        <f>EXP(-LN(2)/2)*AB139+(1-EXP(-LN(2)/2))/(LN(2)/2)*V140*Y140*VLOOKUP('Données projet'!$B$9,Paramètres!$A$1:$I$89,3,0)*0.475*44/12</f>
        <v>1.0420835269380215E-15</v>
      </c>
      <c r="AC140" s="24">
        <f t="shared" si="111"/>
        <v>2.03007656090755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-3.1036506698001178E-14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240.19940780300527</v>
      </c>
      <c r="AO140" s="62">
        <f t="shared" si="144"/>
        <v>355.71054384071715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0.50124699444186149</v>
      </c>
      <c r="AV140" s="23">
        <f>EXP(-LN(2)/25)*AV139+(1-EXP(-LN(2)/25))/(LN(2)/25)*Calculateur!AQ140*Calculateur!AS140*VLOOKUP('Données projet'!$B$10,Paramètres!$A$1:$I$89,3,0)*0.475*44/12</f>
        <v>1.282102047403348</v>
      </c>
      <c r="AW140" s="23">
        <f>EXP(-LN(2)/2)*AW139+(1-EXP(-LN(2)/2))/(LN(2)/2)*AQ140*AT140*VLOOKUP('Données projet'!$B$10,Paramètres!$A$1:$I$89,3,0)*0.475*44/12</f>
        <v>1.2964314610572162E-15</v>
      </c>
      <c r="AX140" s="23">
        <f t="shared" si="114"/>
        <v>1.7833490418452107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-1.2710188457276673E-13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382.55387448074327</v>
      </c>
      <c r="T141" s="62">
        <f t="shared" si="142"/>
        <v>476.29465646955543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1.2726445929509156</v>
      </c>
      <c r="AA141" s="23">
        <f>EXP(-LN(2)/25)*AA140+(1-EXP(-LN(2)/25))/(LN(2)/25)*Calculateur!V141*Calculateur!X141*VLOOKUP('Données projet'!$B$9,Paramètres!$A$1:$I$89,3,0)*0.475*44/12</f>
        <v>0.71196107755614846</v>
      </c>
      <c r="AB141" s="23">
        <f>EXP(-LN(2)/2)*AB140+(1-EXP(-LN(2)/2))/(LN(2)/2)*V141*Y141*VLOOKUP('Données projet'!$B$9,Paramètres!$A$1:$I$89,3,0)*0.475*44/12</f>
        <v>7.368643284606693E-16</v>
      </c>
      <c r="AC141" s="24">
        <f t="shared" si="111"/>
        <v>1.9846056705070647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-3.1036506698001178E-14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240.19940780300527</v>
      </c>
      <c r="AO141" s="62">
        <f t="shared" si="144"/>
        <v>355.71054384071715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0.49141784661133481</v>
      </c>
      <c r="AV141" s="23">
        <f>EXP(-LN(2)/25)*AV140+(1-EXP(-LN(2)/25))/(LN(2)/25)*Calculateur!AQ141*Calculateur!AS141*VLOOKUP('Données projet'!$B$10,Paramètres!$A$1:$I$89,3,0)*0.475*44/12</f>
        <v>1.247042899494287</v>
      </c>
      <c r="AW141" s="23">
        <f>EXP(-LN(2)/2)*AW140+(1-EXP(-LN(2)/2))/(LN(2)/2)*AQ141*AT141*VLOOKUP('Données projet'!$B$10,Paramètres!$A$1:$I$89,3,0)*0.475*44/12</f>
        <v>9.1671547745714105E-16</v>
      </c>
      <c r="AX141" s="23">
        <f t="shared" si="114"/>
        <v>1.7384607461056227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-1.2710188457276673E-13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382.55387448074327</v>
      </c>
      <c r="T142" s="62">
        <f t="shared" si="142"/>
        <v>476.29465646955543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1.2476888087197029</v>
      </c>
      <c r="AA142" s="23">
        <f>EXP(-LN(2)/25)*AA141+(1-EXP(-LN(2)/25))/(LN(2)/25)*Calculateur!V142*Calculateur!X142*VLOOKUP('Données projet'!$B$9,Paramètres!$A$1:$I$89,3,0)*0.475*44/12</f>
        <v>0.6924924644499697</v>
      </c>
      <c r="AB142" s="23">
        <f>EXP(-LN(2)/2)*AB141+(1-EXP(-LN(2)/2))/(LN(2)/2)*V142*Y142*VLOOKUP('Données projet'!$B$9,Paramètres!$A$1:$I$89,3,0)*0.475*44/12</f>
        <v>5.2104176346901076E-16</v>
      </c>
      <c r="AC142" s="24">
        <f t="shared" si="111"/>
        <v>1.940181273169673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-3.1036506698001178E-14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240.19940780300527</v>
      </c>
      <c r="AO142" s="62">
        <f t="shared" si="144"/>
        <v>355.71054384071715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0.48178144237457654</v>
      </c>
      <c r="AV142" s="23">
        <f>EXP(-LN(2)/25)*AV141+(1-EXP(-LN(2)/25))/(LN(2)/25)*Calculateur!AQ142*Calculateur!AS142*VLOOKUP('Données projet'!$B$10,Paramètres!$A$1:$I$89,3,0)*0.475*44/12</f>
        <v>1.2129424458284799</v>
      </c>
      <c r="AW142" s="23">
        <f>EXP(-LN(2)/2)*AW141+(1-EXP(-LN(2)/2))/(LN(2)/2)*AQ142*AT142*VLOOKUP('Données projet'!$B$10,Paramètres!$A$1:$I$89,3,0)*0.475*44/12</f>
        <v>6.4821573052860809E-16</v>
      </c>
      <c r="AX142" s="23">
        <f t="shared" si="114"/>
        <v>1.6947238882030571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-1.2710188457276673E-13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382.55387448074327</v>
      </c>
      <c r="T143" s="62">
        <f t="shared" si="142"/>
        <v>476.29465646955543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1.2232223921957388</v>
      </c>
      <c r="AA143" s="23">
        <f>EXP(-LN(2)/25)*AA142+(1-EXP(-LN(2)/25))/(LN(2)/25)*Calculateur!V143*Calculateur!X143*VLOOKUP('Données projet'!$B$9,Paramètres!$A$1:$I$89,3,0)*0.475*44/12</f>
        <v>0.67355622159298933</v>
      </c>
      <c r="AB143" s="23">
        <f>EXP(-LN(2)/2)*AB142+(1-EXP(-LN(2)/2))/(LN(2)/2)*V143*Y143*VLOOKUP('Données projet'!$B$9,Paramètres!$A$1:$I$89,3,0)*0.475*44/12</f>
        <v>3.6843216423033465E-16</v>
      </c>
      <c r="AC143" s="24">
        <f t="shared" si="111"/>
        <v>1.8967786137887286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-3.1036506698001178E-14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240.19940780300527</v>
      </c>
      <c r="AO143" s="62">
        <f t="shared" si="144"/>
        <v>355.71054384071715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0.47233400214727489</v>
      </c>
      <c r="AV143" s="23">
        <f>EXP(-LN(2)/25)*AV142+(1-EXP(-LN(2)/25))/(LN(2)/25)*Calculateur!AQ143*Calculateur!AS143*VLOOKUP('Données projet'!$B$10,Paramètres!$A$1:$I$89,3,0)*0.475*44/12</f>
        <v>1.1797744708614291</v>
      </c>
      <c r="AW143" s="23">
        <f>EXP(-LN(2)/2)*AW142+(1-EXP(-LN(2)/2))/(LN(2)/2)*AQ143*AT143*VLOOKUP('Données projet'!$B$10,Paramètres!$A$1:$I$89,3,0)*0.475*44/12</f>
        <v>4.5835773872857052E-16</v>
      </c>
      <c r="AX143" s="23">
        <f t="shared" si="114"/>
        <v>1.6521084730087043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-1.2710188457276673E-13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382.55387448074327</v>
      </c>
      <c r="T144" s="62">
        <f t="shared" si="142"/>
        <v>476.29465646955543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1.1992357471767692</v>
      </c>
      <c r="AA144" s="23">
        <f>EXP(-LN(2)/25)*AA143+(1-EXP(-LN(2)/25))/(LN(2)/25)*Calculateur!V144*Calculateur!X144*VLOOKUP('Données projet'!$B$9,Paramètres!$A$1:$I$89,3,0)*0.475*44/12</f>
        <v>0.65513779129274674</v>
      </c>
      <c r="AB144" s="23">
        <f>EXP(-LN(2)/2)*AB143+(1-EXP(-LN(2)/2))/(LN(2)/2)*V144*Y144*VLOOKUP('Données projet'!$B$9,Paramètres!$A$1:$I$89,3,0)*0.475*44/12</f>
        <v>2.6052088173450538E-16</v>
      </c>
      <c r="AC144" s="24">
        <f t="shared" si="111"/>
        <v>1.8543735384695161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-3.1036506698001178E-14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240.19940780300527</v>
      </c>
      <c r="AO144" s="62">
        <f t="shared" si="144"/>
        <v>355.71054384071715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0.46307182046046108</v>
      </c>
      <c r="AV144" s="23">
        <f>EXP(-LN(2)/25)*AV143+(1-EXP(-LN(2)/25))/(LN(2)/25)*Calculateur!AQ144*Calculateur!AS144*VLOOKUP('Données projet'!$B$10,Paramètres!$A$1:$I$89,3,0)*0.475*44/12</f>
        <v>1.1475134759140804</v>
      </c>
      <c r="AW144" s="23">
        <f>EXP(-LN(2)/2)*AW143+(1-EXP(-LN(2)/2))/(LN(2)/2)*AQ144*AT144*VLOOKUP('Données projet'!$B$10,Paramètres!$A$1:$I$89,3,0)*0.475*44/12</f>
        <v>3.2410786526430404E-16</v>
      </c>
      <c r="AX144" s="23">
        <f t="shared" si="114"/>
        <v>1.6105852963745417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-1.2710188457276673E-13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382.55387448074327</v>
      </c>
      <c r="T145" s="62">
        <f t="shared" si="142"/>
        <v>476.29465646955543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1.1757194656362127</v>
      </c>
      <c r="AA145" s="23">
        <f>EXP(-LN(2)/25)*AA144+(1-EXP(-LN(2)/25))/(LN(2)/25)*Calculateur!V145*Calculateur!X145*VLOOKUP('Données projet'!$B$9,Paramètres!$A$1:$I$89,3,0)*0.475*44/12</f>
        <v>0.63722301393764746</v>
      </c>
      <c r="AB145" s="23">
        <f>EXP(-LN(2)/2)*AB144+(1-EXP(-LN(2)/2))/(LN(2)/2)*V145*Y145*VLOOKUP('Données projet'!$B$9,Paramètres!$A$1:$I$89,3,0)*0.475*44/12</f>
        <v>1.8421608211516733E-16</v>
      </c>
      <c r="AC145" s="24">
        <f t="shared" si="111"/>
        <v>1.8129424795738605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-3.1036506698001178E-14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240.19940780300527</v>
      </c>
      <c r="AO145" s="62">
        <f t="shared" si="144"/>
        <v>355.71054384071715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0.45399126450715271</v>
      </c>
      <c r="AV145" s="23">
        <f>EXP(-LN(2)/25)*AV144+(1-EXP(-LN(2)/25))/(LN(2)/25)*Calculateur!AQ145*Calculateur!AS145*VLOOKUP('Données projet'!$B$10,Paramètres!$A$1:$I$89,3,0)*0.475*44/12</f>
        <v>1.1161346595700987</v>
      </c>
      <c r="AW145" s="23">
        <f>EXP(-LN(2)/2)*AW144+(1-EXP(-LN(2)/2))/(LN(2)/2)*AQ145*AT145*VLOOKUP('Données projet'!$B$10,Paramètres!$A$1:$I$89,3,0)*0.475*44/12</f>
        <v>2.2917886936428526E-16</v>
      </c>
      <c r="AX145" s="23">
        <f t="shared" si="114"/>
        <v>1.5701259240772516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-1.2710188457276673E-13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382.55387448074327</v>
      </c>
      <c r="T146" s="62">
        <f t="shared" si="142"/>
        <v>476.29465646955543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1.1526643240331511</v>
      </c>
      <c r="AA146" s="23">
        <f>EXP(-LN(2)/25)*AA145+(1-EXP(-LN(2)/25))/(LN(2)/25)*Calculateur!V146*Calculateur!X146*VLOOKUP('Données projet'!$B$9,Paramètres!$A$1:$I$89,3,0)*0.475*44/12</f>
        <v>0.61979811711142063</v>
      </c>
      <c r="AB146" s="23">
        <f>EXP(-LN(2)/2)*AB145+(1-EXP(-LN(2)/2))/(LN(2)/2)*V146*Y146*VLOOKUP('Données projet'!$B$9,Paramètres!$A$1:$I$89,3,0)*0.475*44/12</f>
        <v>1.3026044086725269E-16</v>
      </c>
      <c r="AC146" s="24">
        <f t="shared" si="111"/>
        <v>1.772462441144572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-3.1036506698001178E-14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240.19940780300527</v>
      </c>
      <c r="AO146" s="62">
        <f t="shared" si="144"/>
        <v>355.71054384071715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0.44508877271749647</v>
      </c>
      <c r="AV146" s="23">
        <f>EXP(-LN(2)/25)*AV145+(1-EXP(-LN(2)/25))/(LN(2)/25)*Calculateur!AQ146*Calculateur!AS146*VLOOKUP('Données projet'!$B$10,Paramètres!$A$1:$I$89,3,0)*0.475*44/12</f>
        <v>1.0856138986091837</v>
      </c>
      <c r="AW146" s="23">
        <f>EXP(-LN(2)/2)*AW145+(1-EXP(-LN(2)/2))/(LN(2)/2)*AQ146*AT146*VLOOKUP('Données projet'!$B$10,Paramètres!$A$1:$I$89,3,0)*0.475*44/12</f>
        <v>1.6205393263215202E-16</v>
      </c>
      <c r="AX146" s="23">
        <f t="shared" si="114"/>
        <v>1.5307026713266805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-1.2710188457276673E-13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382.55387448074327</v>
      </c>
      <c r="T147" s="62">
        <f t="shared" si="142"/>
        <v>476.29465646955543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1.1300612796946776</v>
      </c>
      <c r="AA147" s="23">
        <f>EXP(-LN(2)/25)*AA146+(1-EXP(-LN(2)/25))/(LN(2)/25)*Calculateur!V147*Calculateur!X147*VLOOKUP('Données projet'!$B$9,Paramètres!$A$1:$I$89,3,0)*0.475*44/12</f>
        <v>0.60284970500524238</v>
      </c>
      <c r="AB147" s="23">
        <f>EXP(-LN(2)/2)*AB146+(1-EXP(-LN(2)/2))/(LN(2)/2)*V147*Y147*VLOOKUP('Données projet'!$B$9,Paramètres!$A$1:$I$89,3,0)*0.475*44/12</f>
        <v>9.2108041057583663E-17</v>
      </c>
      <c r="AC147" s="24">
        <f t="shared" si="111"/>
        <v>1.73291098469992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-3.1036506698001178E-14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240.19940780300527</v>
      </c>
      <c r="AO147" s="62">
        <f t="shared" si="144"/>
        <v>355.71054384071715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0.43636085336185154</v>
      </c>
      <c r="AV147" s="23">
        <f>EXP(-LN(2)/25)*AV146+(1-EXP(-LN(2)/25))/(LN(2)/25)*Calculateur!AQ147*Calculateur!AS147*VLOOKUP('Données projet'!$B$10,Paramètres!$A$1:$I$89,3,0)*0.475*44/12</f>
        <v>1.0559277294617617</v>
      </c>
      <c r="AW147" s="23">
        <f>EXP(-LN(2)/2)*AW146+(1-EXP(-LN(2)/2))/(LN(2)/2)*AQ147*AT147*VLOOKUP('Données projet'!$B$10,Paramètres!$A$1:$I$89,3,0)*0.475*44/12</f>
        <v>1.1458943468214263E-16</v>
      </c>
      <c r="AX147" s="23">
        <f t="shared" si="114"/>
        <v>1.4922885828236134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-1.2710188457276673E-13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382.55387448074327</v>
      </c>
      <c r="T148" s="62">
        <f t="shared" si="142"/>
        <v>476.29465646955543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1.1079014672691858</v>
      </c>
      <c r="AA148" s="23">
        <f>EXP(-LN(2)/25)*AA147+(1-EXP(-LN(2)/25))/(LN(2)/25)*Calculateur!V148*Calculateur!X148*VLOOKUP('Données projet'!$B$9,Paramètres!$A$1:$I$89,3,0)*0.475*44/12</f>
        <v>0.58636474811938588</v>
      </c>
      <c r="AB148" s="23">
        <f>EXP(-LN(2)/2)*AB147+(1-EXP(-LN(2)/2))/(LN(2)/2)*V148*Y148*VLOOKUP('Données projet'!$B$9,Paramètres!$A$1:$I$89,3,0)*0.475*44/12</f>
        <v>6.5130220433626345E-17</v>
      </c>
      <c r="AC148" s="24">
        <f t="shared" si="111"/>
        <v>1.6942662153885717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-3.1036506698001178E-14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240.19940780300527</v>
      </c>
      <c r="AO148" s="62">
        <f t="shared" si="144"/>
        <v>355.71054384071715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0.42780408318126567</v>
      </c>
      <c r="AV148" s="23">
        <f>EXP(-LN(2)/25)*AV147+(1-EXP(-LN(2)/25))/(LN(2)/25)*Calculateur!AQ148*Calculateur!AS148*VLOOKUP('Données projet'!$B$10,Paramètres!$A$1:$I$89,3,0)*0.475*44/12</f>
        <v>1.0270533301708038</v>
      </c>
      <c r="AW148" s="23">
        <f>EXP(-LN(2)/2)*AW147+(1-EXP(-LN(2)/2))/(LN(2)/2)*AQ148*AT148*VLOOKUP('Données projet'!$B$10,Paramètres!$A$1:$I$89,3,0)*0.475*44/12</f>
        <v>8.1026966316076011E-17</v>
      </c>
      <c r="AX148" s="23">
        <f t="shared" si="114"/>
        <v>1.4548574133520695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-1.2710188457276673E-13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382.55387448074327</v>
      </c>
      <c r="T149" s="62">
        <f t="shared" si="142"/>
        <v>476.29465646955543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1.0861761952492071</v>
      </c>
      <c r="AA149" s="23">
        <f>EXP(-LN(2)/25)*AA148+(1-EXP(-LN(2)/25))/(LN(2)/25)*Calculateur!V149*Calculateur!X149*VLOOKUP('Données projet'!$B$9,Paramètres!$A$1:$I$89,3,0)*0.475*44/12</f>
        <v>0.57033057324647929</v>
      </c>
      <c r="AB149" s="23">
        <f>EXP(-LN(2)/2)*AB148+(1-EXP(-LN(2)/2))/(LN(2)/2)*V149*Y149*VLOOKUP('Données projet'!$B$9,Paramètres!$A$1:$I$89,3,0)*0.475*44/12</f>
        <v>4.6054020528791832E-17</v>
      </c>
      <c r="AC149" s="24">
        <f t="shared" si="111"/>
        <v>1.6565067684956865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-3.1036506698001178E-14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240.19940780300527</v>
      </c>
      <c r="AO149" s="62">
        <f t="shared" si="144"/>
        <v>355.71054384071715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0.41941510604480664</v>
      </c>
      <c r="AV149" s="23">
        <f>EXP(-LN(2)/25)*AV148+(1-EXP(-LN(2)/25))/(LN(2)/25)*Calculateur!AQ149*Calculateur!AS149*VLOOKUP('Données projet'!$B$10,Paramètres!$A$1:$I$89,3,0)*0.475*44/12</f>
        <v>0.99896850284689587</v>
      </c>
      <c r="AW149" s="23">
        <f>EXP(-LN(2)/2)*AW148+(1-EXP(-LN(2)/2))/(LN(2)/2)*AQ149*AT149*VLOOKUP('Données projet'!$B$10,Paramètres!$A$1:$I$89,3,0)*0.475*44/12</f>
        <v>5.7294717341071316E-17</v>
      </c>
      <c r="AX149" s="23">
        <f t="shared" si="114"/>
        <v>1.4183836088917026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-1.2710188457276673E-13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382.55387448074327</v>
      </c>
      <c r="T150" s="62">
        <f t="shared" si="142"/>
        <v>476.29465646955543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1.0648769425624325</v>
      </c>
      <c r="AA150" s="23">
        <f>EXP(-LN(2)/25)*AA149+(1-EXP(-LN(2)/25))/(LN(2)/25)*Calculateur!V150*Calculateur!X150*VLOOKUP('Données projet'!$B$9,Paramètres!$A$1:$I$89,3,0)*0.475*44/12</f>
        <v>0.55473485372867293</v>
      </c>
      <c r="AB150" s="23">
        <f>EXP(-LN(2)/2)*AB149+(1-EXP(-LN(2)/2))/(LN(2)/2)*V150*Y150*VLOOKUP('Données projet'!$B$9,Paramètres!$A$1:$I$89,3,0)*0.475*44/12</f>
        <v>3.2565110216813173E-17</v>
      </c>
      <c r="AC150" s="24">
        <f t="shared" si="111"/>
        <v>1.6196117962911054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-3.1036506698001178E-14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240.19940780300527</v>
      </c>
      <c r="AO150" s="62">
        <f t="shared" si="144"/>
        <v>355.71054384071715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0.41119063163322273</v>
      </c>
      <c r="AV150" s="23">
        <f>EXP(-LN(2)/25)*AV149+(1-EXP(-LN(2)/25))/(LN(2)/25)*Calculateur!AQ150*Calculateur!AS150*VLOOKUP('Données projet'!$B$10,Paramètres!$A$1:$I$89,3,0)*0.475*44/12</f>
        <v>0.97165165660307706</v>
      </c>
      <c r="AW150" s="23">
        <f>EXP(-LN(2)/2)*AW149+(1-EXP(-LN(2)/2))/(LN(2)/2)*AQ150*AT150*VLOOKUP('Données projet'!$B$10,Paramètres!$A$1:$I$89,3,0)*0.475*44/12</f>
        <v>4.0513483158038006E-17</v>
      </c>
      <c r="AX150" s="23">
        <f t="shared" si="114"/>
        <v>1.3828422882362998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-1.2710188457276673E-13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382.55387448074327</v>
      </c>
      <c r="T151" s="62">
        <f t="shared" si="142"/>
        <v>476.29465646955543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1.0439953552295842</v>
      </c>
      <c r="AA151" s="23">
        <f>EXP(-LN(2)/25)*AA150+(1-EXP(-LN(2)/25))/(LN(2)/25)*Calculateur!V151*Calculateur!X151*VLOOKUP('Données projet'!$B$9,Paramètres!$A$1:$I$89,3,0)*0.475*44/12</f>
        <v>0.53956559998122422</v>
      </c>
      <c r="AB151" s="23">
        <f>EXP(-LN(2)/2)*AB150+(1-EXP(-LN(2)/2))/(LN(2)/2)*V151*Y151*VLOOKUP('Données projet'!$B$9,Paramètres!$A$1:$I$89,3,0)*0.475*44/12</f>
        <v>2.3027010264395916E-17</v>
      </c>
      <c r="AC151" s="24">
        <f t="shared" si="111"/>
        <v>1.5835609552108085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-3.1036506698001178E-14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240.19940780300527</v>
      </c>
      <c r="AO151" s="62">
        <f t="shared" si="144"/>
        <v>355.71054384071715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0.40312743414841595</v>
      </c>
      <c r="AV151" s="23">
        <f>EXP(-LN(2)/25)*AV150+(1-EXP(-LN(2)/25))/(LN(2)/25)*Calculateur!AQ151*Calculateur!AS151*VLOOKUP('Données projet'!$B$10,Paramètres!$A$1:$I$89,3,0)*0.475*44/12</f>
        <v>0.94508179095632605</v>
      </c>
      <c r="AW151" s="23">
        <f>EXP(-LN(2)/2)*AW150+(1-EXP(-LN(2)/2))/(LN(2)/2)*AQ151*AT151*VLOOKUP('Données projet'!$B$10,Paramètres!$A$1:$I$89,3,0)*0.475*44/12</f>
        <v>2.8647358670535658E-17</v>
      </c>
      <c r="AX151" s="23">
        <f t="shared" si="114"/>
        <v>1.3482092251047419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-1.2710188457276673E-13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382.55387448074327</v>
      </c>
      <c r="T152" s="62">
        <f t="shared" si="142"/>
        <v>476.29465646955543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1.0235232430878225</v>
      </c>
      <c r="AA152" s="23">
        <f>EXP(-LN(2)/25)*AA151+(1-EXP(-LN(2)/25))/(LN(2)/25)*Calculateur!V152*Calculateur!X152*VLOOKUP('Données projet'!$B$9,Paramètres!$A$1:$I$89,3,0)*0.475*44/12</f>
        <v>0.52481115027521597</v>
      </c>
      <c r="AB152" s="23">
        <f>EXP(-LN(2)/2)*AB151+(1-EXP(-LN(2)/2))/(LN(2)/2)*V152*Y152*VLOOKUP('Données projet'!$B$9,Paramètres!$A$1:$I$89,3,0)*0.475*44/12</f>
        <v>1.6282555108406586E-17</v>
      </c>
      <c r="AC152" s="24">
        <f t="shared" si="111"/>
        <v>1.5483343933630385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-3.1036506698001178E-14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240.19940780300527</v>
      </c>
      <c r="AO152" s="62">
        <f t="shared" si="144"/>
        <v>355.71054384071715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0.3952223510482214</v>
      </c>
      <c r="AV152" s="23">
        <f>EXP(-LN(2)/25)*AV151+(1-EXP(-LN(2)/25))/(LN(2)/25)*Calculateur!AQ152*Calculateur!AS152*VLOOKUP('Données projet'!$B$10,Paramètres!$A$1:$I$89,3,0)*0.475*44/12</f>
        <v>0.91923847968293393</v>
      </c>
      <c r="AW152" s="23">
        <f>EXP(-LN(2)/2)*AW151+(1-EXP(-LN(2)/2))/(LN(2)/2)*AQ152*AT152*VLOOKUP('Données projet'!$B$10,Paramètres!$A$1:$I$89,3,0)*0.475*44/12</f>
        <v>2.0256741579019003E-17</v>
      </c>
      <c r="AX152" s="23">
        <f t="shared" si="114"/>
        <v>1.3144608307311554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-1.2710188457276673E-13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382.55387448074327</v>
      </c>
      <c r="T153" s="62">
        <f t="shared" si="142"/>
        <v>476.29465646955543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1.0034525765784053</v>
      </c>
      <c r="AA153" s="23">
        <f>EXP(-LN(2)/25)*AA152+(1-EXP(-LN(2)/25))/(LN(2)/25)*Calculateur!V153*Calculateur!X153*VLOOKUP('Données projet'!$B$9,Paramètres!$A$1:$I$89,3,0)*0.475*44/12</f>
        <v>0.51046016177232123</v>
      </c>
      <c r="AB153" s="23">
        <f>EXP(-LN(2)/2)*AB152+(1-EXP(-LN(2)/2))/(LN(2)/2)*V153*Y153*VLOOKUP('Données projet'!$B$9,Paramètres!$A$1:$I$89,3,0)*0.475*44/12</f>
        <v>1.1513505132197958E-17</v>
      </c>
      <c r="AC153" s="24">
        <f t="shared" si="111"/>
        <v>1.5139127383507265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-3.1036506698001178E-14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240.19940780300527</v>
      </c>
      <c r="AO153" s="62">
        <f t="shared" si="144"/>
        <v>355.71054384071715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0.38747228180599702</v>
      </c>
      <c r="AV153" s="23">
        <f>EXP(-LN(2)/25)*AV152+(1-EXP(-LN(2)/25))/(LN(2)/25)*Calculateur!AQ153*Calculateur!AS153*VLOOKUP('Données projet'!$B$10,Paramètres!$A$1:$I$89,3,0)*0.475*44/12</f>
        <v>0.89410185511535345</v>
      </c>
      <c r="AW153" s="23">
        <f>EXP(-LN(2)/2)*AW152+(1-EXP(-LN(2)/2))/(LN(2)/2)*AQ153*AT153*VLOOKUP('Données projet'!$B$10,Paramètres!$A$1:$I$89,3,0)*0.475*44/12</f>
        <v>1.4323679335267829E-17</v>
      </c>
      <c r="AX153" s="23">
        <f t="shared" si="114"/>
        <v>1.2815741369213505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-1.2710188457276673E-13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382.55387448074327</v>
      </c>
      <c r="T154" s="62">
        <f t="shared" si="142"/>
        <v>476.29465646955543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0.98377548359733991</v>
      </c>
      <c r="AA154" s="23">
        <f>EXP(-LN(2)/25)*AA153+(1-EXP(-LN(2)/25))/(LN(2)/25)*Calculateur!V154*Calculateur!X154*VLOOKUP('Données projet'!$B$9,Paramètres!$A$1:$I$89,3,0)*0.475*44/12</f>
        <v>0.49650160180472386</v>
      </c>
      <c r="AB154" s="23">
        <f>EXP(-LN(2)/2)*AB153+(1-EXP(-LN(2)/2))/(LN(2)/2)*V154*Y154*VLOOKUP('Données projet'!$B$9,Paramètres!$A$1:$I$89,3,0)*0.475*44/12</f>
        <v>8.1412775542032932E-18</v>
      </c>
      <c r="AC154" s="24">
        <f t="shared" ref="AC154:AC203" si="163">SUM(Z154:AB154)</f>
        <v>1.4802770854020637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-3.1036506698001178E-14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240.19940780300527</v>
      </c>
      <c r="AO154" s="62">
        <f t="shared" si="144"/>
        <v>355.71054384071715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0.37987418669453721</v>
      </c>
      <c r="AV154" s="23">
        <f>EXP(-LN(2)/25)*AV153+(1-EXP(-LN(2)/25))/(LN(2)/25)*Calculateur!AQ154*Calculateur!AS154*VLOOKUP('Données projet'!$B$10,Paramètres!$A$1:$I$89,3,0)*0.475*44/12</f>
        <v>0.86965259286845109</v>
      </c>
      <c r="AW154" s="23">
        <f>EXP(-LN(2)/2)*AW153+(1-EXP(-LN(2)/2))/(LN(2)/2)*AQ154*AT154*VLOOKUP('Données projet'!$B$10,Paramètres!$A$1:$I$89,3,0)*0.475*44/12</f>
        <v>1.0128370789509501E-17</v>
      </c>
      <c r="AX154" s="23">
        <f t="shared" ref="AX154:AX203" si="166">SUM(AU154:AW154)</f>
        <v>1.2495267795629883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-1.2710188457276673E-13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382.55387448074327</v>
      </c>
      <c r="T155" s="62">
        <f t="shared" si="142"/>
        <v>476.29465646955543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0.96448424640779162</v>
      </c>
      <c r="AA155" s="23">
        <f>EXP(-LN(2)/25)*AA154+(1-EXP(-LN(2)/25))/(LN(2)/25)*Calculateur!V155*Calculateur!X155*VLOOKUP('Données projet'!$B$9,Paramètres!$A$1:$I$89,3,0)*0.475*44/12</f>
        <v>0.48292473939348923</v>
      </c>
      <c r="AB155" s="23">
        <f>EXP(-LN(2)/2)*AB154+(1-EXP(-LN(2)/2))/(LN(2)/2)*V155*Y155*VLOOKUP('Données projet'!$B$9,Paramètres!$A$1:$I$89,3,0)*0.475*44/12</f>
        <v>5.7567525660989789E-18</v>
      </c>
      <c r="AC155" s="24">
        <f t="shared" si="163"/>
        <v>1.4474089858012809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-3.1036506698001178E-14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240.19940780300527</v>
      </c>
      <c r="AO155" s="62">
        <f t="shared" si="144"/>
        <v>355.71054384071715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0.37242508559383269</v>
      </c>
      <c r="AV155" s="23">
        <f>EXP(-LN(2)/25)*AV154+(1-EXP(-LN(2)/25))/(LN(2)/25)*Calculateur!AQ155*Calculateur!AS155*VLOOKUP('Données projet'!$B$10,Paramètres!$A$1:$I$89,3,0)*0.475*44/12</f>
        <v>0.84587189698342102</v>
      </c>
      <c r="AW155" s="23">
        <f>EXP(-LN(2)/2)*AW154+(1-EXP(-LN(2)/2))/(LN(2)/2)*AQ155*AT155*VLOOKUP('Données projet'!$B$10,Paramètres!$A$1:$I$89,3,0)*0.475*44/12</f>
        <v>7.1618396676339144E-18</v>
      </c>
      <c r="AX155" s="23">
        <f t="shared" si="166"/>
        <v>1.2182969825772538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-1.2710188457276673E-13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382.55387448074327</v>
      </c>
      <c r="T156" s="62">
        <f t="shared" si="142"/>
        <v>476.29465646955543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0.94557129861303757</v>
      </c>
      <c r="AA156" s="23">
        <f>EXP(-LN(2)/25)*AA155+(1-EXP(-LN(2)/25))/(LN(2)/25)*Calculateur!V156*Calculateur!X156*VLOOKUP('Données projet'!$B$9,Paramètres!$A$1:$I$89,3,0)*0.475*44/12</f>
        <v>0.46971913699886597</v>
      </c>
      <c r="AB156" s="23">
        <f>EXP(-LN(2)/2)*AB155+(1-EXP(-LN(2)/2))/(LN(2)/2)*V156*Y156*VLOOKUP('Données projet'!$B$9,Paramètres!$A$1:$I$89,3,0)*0.475*44/12</f>
        <v>4.0706387771016466E-18</v>
      </c>
      <c r="AC156" s="24">
        <f t="shared" si="163"/>
        <v>1.4152904356119036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-3.1036506698001178E-14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240.19940780300527</v>
      </c>
      <c r="AO156" s="62">
        <f t="shared" si="144"/>
        <v>355.71054384071715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0.36512205682220999</v>
      </c>
      <c r="AV156" s="23">
        <f>EXP(-LN(2)/25)*AV155+(1-EXP(-LN(2)/25))/(LN(2)/25)*Calculateur!AQ156*Calculateur!AS156*VLOOKUP('Données projet'!$B$10,Paramètres!$A$1:$I$89,3,0)*0.475*44/12</f>
        <v>0.82274148547793957</v>
      </c>
      <c r="AW156" s="23">
        <f>EXP(-LN(2)/2)*AW155+(1-EXP(-LN(2)/2))/(LN(2)/2)*AQ156*AT156*VLOOKUP('Données projet'!$B$10,Paramètres!$A$1:$I$89,3,0)*0.475*44/12</f>
        <v>5.0641853947547507E-18</v>
      </c>
      <c r="AX156" s="23">
        <f t="shared" si="166"/>
        <v>1.1878635423001496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-1.2710188457276673E-13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382.55387448074327</v>
      </c>
      <c r="T157" s="62">
        <f t="shared" si="142"/>
        <v>476.29465646955543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0.92702922218877959</v>
      </c>
      <c r="AA157" s="23">
        <f>EXP(-LN(2)/25)*AA156+(1-EXP(-LN(2)/25))/(LN(2)/25)*Calculateur!V157*Calculateur!X157*VLOOKUP('Données projet'!$B$9,Paramètres!$A$1:$I$89,3,0)*0.475*44/12</f>
        <v>0.4568746424961761</v>
      </c>
      <c r="AB157" s="23">
        <f>EXP(-LN(2)/2)*AB156+(1-EXP(-LN(2)/2))/(LN(2)/2)*V157*Y157*VLOOKUP('Données projet'!$B$9,Paramètres!$A$1:$I$89,3,0)*0.475*44/12</f>
        <v>2.8783762830494895E-18</v>
      </c>
      <c r="AC157" s="24">
        <f t="shared" si="163"/>
        <v>1.3839038646849557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-3.1036506698001178E-14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240.19940780300527</v>
      </c>
      <c r="AO157" s="62">
        <f t="shared" si="144"/>
        <v>355.71054384071715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0.35796223599039106</v>
      </c>
      <c r="AV157" s="23">
        <f>EXP(-LN(2)/25)*AV156+(1-EXP(-LN(2)/25))/(LN(2)/25)*Calculateur!AQ157*Calculateur!AS157*VLOOKUP('Données projet'!$B$10,Paramètres!$A$1:$I$89,3,0)*0.475*44/12</f>
        <v>0.80024357629145104</v>
      </c>
      <c r="AW157" s="23">
        <f>EXP(-LN(2)/2)*AW156+(1-EXP(-LN(2)/2))/(LN(2)/2)*AQ157*AT157*VLOOKUP('Données projet'!$B$10,Paramètres!$A$1:$I$89,3,0)*0.475*44/12</f>
        <v>3.5809198338169572E-18</v>
      </c>
      <c r="AX157" s="23">
        <f t="shared" si="166"/>
        <v>1.1582058122818422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-1.2710188457276673E-13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382.55387448074327</v>
      </c>
      <c r="T158" s="62">
        <f t="shared" si="142"/>
        <v>476.29465646955543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0.90885074457365134</v>
      </c>
      <c r="AA158" s="23">
        <f>EXP(-LN(2)/25)*AA157+(1-EXP(-LN(2)/25))/(LN(2)/25)*Calculateur!V158*Calculateur!X158*VLOOKUP('Données projet'!$B$9,Paramètres!$A$1:$I$89,3,0)*0.475*44/12</f>
        <v>0.44438138137112493</v>
      </c>
      <c r="AB158" s="23">
        <f>EXP(-LN(2)/2)*AB157+(1-EXP(-LN(2)/2))/(LN(2)/2)*V158*Y158*VLOOKUP('Données projet'!$B$9,Paramètres!$A$1:$I$89,3,0)*0.475*44/12</f>
        <v>2.0353193885508233E-18</v>
      </c>
      <c r="AC158" s="24">
        <f t="shared" si="163"/>
        <v>1.3532321259447762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-3.1036506698001178E-14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240.19940780300527</v>
      </c>
      <c r="AO158" s="62">
        <f t="shared" si="144"/>
        <v>355.71054384071715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0.35094281487802464</v>
      </c>
      <c r="AV158" s="23">
        <f>EXP(-LN(2)/25)*AV157+(1-EXP(-LN(2)/25))/(LN(2)/25)*Calculateur!AQ158*Calculateur!AS158*VLOOKUP('Données projet'!$B$10,Paramètres!$A$1:$I$89,3,0)*0.475*44/12</f>
        <v>0.77836087361478057</v>
      </c>
      <c r="AW158" s="23">
        <f>EXP(-LN(2)/2)*AW157+(1-EXP(-LN(2)/2))/(LN(2)/2)*AQ158*AT158*VLOOKUP('Données projet'!$B$10,Paramètres!$A$1:$I$89,3,0)*0.475*44/12</f>
        <v>2.5320926973773753E-18</v>
      </c>
      <c r="AX158" s="23">
        <f t="shared" si="166"/>
        <v>1.1293036884928052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-1.2710188457276673E-13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382.55387448074327</v>
      </c>
      <c r="T159" s="62">
        <f t="shared" si="142"/>
        <v>476.29465646955543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0.89102873581677933</v>
      </c>
      <c r="AA159" s="23">
        <f>EXP(-LN(2)/25)*AA158+(1-EXP(-LN(2)/25))/(LN(2)/25)*Calculateur!V159*Calculateur!X159*VLOOKUP('Données projet'!$B$9,Paramètres!$A$1:$I$89,3,0)*0.475*44/12</f>
        <v>0.43222974912853029</v>
      </c>
      <c r="AB159" s="23">
        <f>EXP(-LN(2)/2)*AB158+(1-EXP(-LN(2)/2))/(LN(2)/2)*V159*Y159*VLOOKUP('Données projet'!$B$9,Paramètres!$A$1:$I$89,3,0)*0.475*44/12</f>
        <v>1.4391881415247447E-18</v>
      </c>
      <c r="AC159" s="24">
        <f t="shared" si="163"/>
        <v>1.3232584849453097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-3.1036506698001178E-14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240.19940780300527</v>
      </c>
      <c r="AO159" s="62">
        <f t="shared" si="144"/>
        <v>355.71054384071715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0.3440610403322476</v>
      </c>
      <c r="AV159" s="23">
        <f>EXP(-LN(2)/25)*AV158+(1-EXP(-LN(2)/25))/(LN(2)/25)*Calculateur!AQ159*Calculateur!AS159*VLOOKUP('Données projet'!$B$10,Paramètres!$A$1:$I$89,3,0)*0.475*44/12</f>
        <v>0.75707655459356504</v>
      </c>
      <c r="AW159" s="23">
        <f>EXP(-LN(2)/2)*AW158+(1-EXP(-LN(2)/2))/(LN(2)/2)*AQ159*AT159*VLOOKUP('Données projet'!$B$10,Paramètres!$A$1:$I$89,3,0)*0.475*44/12</f>
        <v>1.7904599169084786E-18</v>
      </c>
      <c r="AX159" s="23">
        <f t="shared" si="166"/>
        <v>1.1011375949258126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-1.2710188457276673E-13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382.55387448074327</v>
      </c>
      <c r="T160" s="62">
        <f t="shared" si="142"/>
        <v>476.29465646955543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0.87355620578127757</v>
      </c>
      <c r="AA160" s="23">
        <f>EXP(-LN(2)/25)*AA159+(1-EXP(-LN(2)/25))/(LN(2)/25)*Calculateur!V160*Calculateur!X160*VLOOKUP('Données projet'!$B$9,Paramètres!$A$1:$I$89,3,0)*0.475*44/12</f>
        <v>0.42041040390863599</v>
      </c>
      <c r="AB160" s="23">
        <f>EXP(-LN(2)/2)*AB159+(1-EXP(-LN(2)/2))/(LN(2)/2)*V160*Y160*VLOOKUP('Données projet'!$B$9,Paramètres!$A$1:$I$89,3,0)*0.475*44/12</f>
        <v>1.0176596942754116E-18</v>
      </c>
      <c r="AC160" s="24">
        <f t="shared" si="163"/>
        <v>1.2939666096899136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-3.1036506698001178E-14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240.19940780300527</v>
      </c>
      <c r="AO160" s="62">
        <f t="shared" si="144"/>
        <v>355.71054384071715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0.33731421318784521</v>
      </c>
      <c r="AV160" s="23">
        <f>EXP(-LN(2)/25)*AV159+(1-EXP(-LN(2)/25))/(LN(2)/25)*Calculateur!AQ160*Calculateur!AS160*VLOOKUP('Données projet'!$B$10,Paramètres!$A$1:$I$89,3,0)*0.475*44/12</f>
        <v>0.73637425639527831</v>
      </c>
      <c r="AW160" s="23">
        <f>EXP(-LN(2)/2)*AW159+(1-EXP(-LN(2)/2))/(LN(2)/2)*AQ160*AT160*VLOOKUP('Données projet'!$B$10,Paramètres!$A$1:$I$89,3,0)*0.475*44/12</f>
        <v>1.2660463486886877E-18</v>
      </c>
      <c r="AX160" s="23">
        <f t="shared" si="166"/>
        <v>1.0736884695831235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-1.2710188457276673E-13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382.55387448074327</v>
      </c>
      <c r="T161" s="62">
        <f t="shared" si="142"/>
        <v>476.29465646955543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0.85642630140258091</v>
      </c>
      <c r="AA161" s="23">
        <f>EXP(-LN(2)/25)*AA160+(1-EXP(-LN(2)/25))/(LN(2)/25)*Calculateur!V161*Calculateur!X161*VLOOKUP('Données projet'!$B$9,Paramètres!$A$1:$I$89,3,0)*0.475*44/12</f>
        <v>0.40891425930533204</v>
      </c>
      <c r="AB161" s="23">
        <f>EXP(-LN(2)/2)*AB160+(1-EXP(-LN(2)/2))/(LN(2)/2)*V161*Y161*VLOOKUP('Données projet'!$B$9,Paramètres!$A$1:$I$89,3,0)*0.475*44/12</f>
        <v>7.1959407076237237E-19</v>
      </c>
      <c r="AC161" s="24">
        <f t="shared" si="163"/>
        <v>1.2653405607079129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-3.1036506698001178E-14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240.19940780300527</v>
      </c>
      <c r="AO161" s="62">
        <f t="shared" si="144"/>
        <v>355.71054384071715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0.33069968720858633</v>
      </c>
      <c r="AV161" s="23">
        <f>EXP(-LN(2)/25)*AV160+(1-EXP(-LN(2)/25))/(LN(2)/25)*Calculateur!AQ161*Calculateur!AS161*VLOOKUP('Données projet'!$B$10,Paramètres!$A$1:$I$89,3,0)*0.475*44/12</f>
        <v>0.71623806362991027</v>
      </c>
      <c r="AW161" s="23">
        <f>EXP(-LN(2)/2)*AW160+(1-EXP(-LN(2)/2))/(LN(2)/2)*AQ161*AT161*VLOOKUP('Données projet'!$B$10,Paramètres!$A$1:$I$89,3,0)*0.475*44/12</f>
        <v>8.9522995845423931E-19</v>
      </c>
      <c r="AX161" s="23">
        <f t="shared" si="166"/>
        <v>1.0469377508384965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-1.2710188457276673E-13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382.55387448074327</v>
      </c>
      <c r="T162" s="62">
        <f t="shared" si="142"/>
        <v>476.29465646955543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0.83963230400054056</v>
      </c>
      <c r="AA162" s="23">
        <f>EXP(-LN(2)/25)*AA161+(1-EXP(-LN(2)/25))/(LN(2)/25)*Calculateur!V162*Calculateur!X162*VLOOKUP('Données projet'!$B$9,Paramètres!$A$1:$I$89,3,0)*0.475*44/12</f>
        <v>0.39773247738076145</v>
      </c>
      <c r="AB162" s="23">
        <f>EXP(-LN(2)/2)*AB161+(1-EXP(-LN(2)/2))/(LN(2)/2)*V162*Y162*VLOOKUP('Données projet'!$B$9,Paramètres!$A$1:$I$89,3,0)*0.475*44/12</f>
        <v>5.0882984713770582E-19</v>
      </c>
      <c r="AC162" s="24">
        <f t="shared" si="163"/>
        <v>1.237364781381302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-3.1036506698001178E-14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240.19940780300527</v>
      </c>
      <c r="AO162" s="62">
        <f t="shared" si="144"/>
        <v>355.71054384071715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0.32421486804931826</v>
      </c>
      <c r="AV162" s="23">
        <f>EXP(-LN(2)/25)*AV161+(1-EXP(-LN(2)/25))/(LN(2)/25)*Calculateur!AQ162*Calculateur!AS162*VLOOKUP('Données projet'!$B$10,Paramètres!$A$1:$I$89,3,0)*0.475*44/12</f>
        <v>0.69665249611462754</v>
      </c>
      <c r="AW162" s="23">
        <f>EXP(-LN(2)/2)*AW161+(1-EXP(-LN(2)/2))/(LN(2)/2)*AQ162*AT162*VLOOKUP('Données projet'!$B$10,Paramètres!$A$1:$I$89,3,0)*0.475*44/12</f>
        <v>6.3302317434434384E-19</v>
      </c>
      <c r="AX162" s="23">
        <f t="shared" si="166"/>
        <v>1.0208673641639459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-1.2710188457276673E-13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382.55387448074327</v>
      </c>
      <c r="T163" s="62">
        <f t="shared" si="142"/>
        <v>476.29465646955543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0.82316762664422727</v>
      </c>
      <c r="AA163" s="23">
        <f>EXP(-LN(2)/25)*AA162+(1-EXP(-LN(2)/25))/(LN(2)/25)*Calculateur!V163*Calculateur!X163*VLOOKUP('Données projet'!$B$9,Paramètres!$A$1:$I$89,3,0)*0.475*44/12</f>
        <v>0.38685646187094258</v>
      </c>
      <c r="AB163" s="23">
        <f>EXP(-LN(2)/2)*AB162+(1-EXP(-LN(2)/2))/(LN(2)/2)*V163*Y163*VLOOKUP('Données projet'!$B$9,Paramètres!$A$1:$I$89,3,0)*0.475*44/12</f>
        <v>3.5979703538118618E-19</v>
      </c>
      <c r="AC163" s="24">
        <f t="shared" si="163"/>
        <v>1.2100240885151698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-3.1036506698001178E-14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240.19940780300527</v>
      </c>
      <c r="AO163" s="62">
        <f t="shared" si="144"/>
        <v>355.71054384071715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0.31785721223841429</v>
      </c>
      <c r="AV163" s="23">
        <f>EXP(-LN(2)/25)*AV162+(1-EXP(-LN(2)/25))/(LN(2)/25)*Calculateur!AQ163*Calculateur!AS163*VLOOKUP('Données projet'!$B$10,Paramètres!$A$1:$I$89,3,0)*0.475*44/12</f>
        <v>0.67760249697301045</v>
      </c>
      <c r="AW163" s="23">
        <f>EXP(-LN(2)/2)*AW162+(1-EXP(-LN(2)/2))/(LN(2)/2)*AQ163*AT163*VLOOKUP('Données projet'!$B$10,Paramètres!$A$1:$I$89,3,0)*0.475*44/12</f>
        <v>4.4761497922711965E-19</v>
      </c>
      <c r="AX163" s="23">
        <f t="shared" si="166"/>
        <v>0.99545970921142479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-1.2710188457276673E-13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382.55387448074327</v>
      </c>
      <c r="T164" s="62">
        <f t="shared" si="142"/>
        <v>476.29465646955543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0.80702581156840969</v>
      </c>
      <c r="AA164" s="23">
        <f>EXP(-LN(2)/25)*AA163+(1-EXP(-LN(2)/25))/(LN(2)/25)*Calculateur!V164*Calculateur!X164*VLOOKUP('Données projet'!$B$9,Paramètres!$A$1:$I$89,3,0)*0.475*44/12</f>
        <v>0.37627785157718452</v>
      </c>
      <c r="AB164" s="23">
        <f>EXP(-LN(2)/2)*AB163+(1-EXP(-LN(2)/2))/(LN(2)/2)*V164*Y164*VLOOKUP('Données projet'!$B$9,Paramètres!$A$1:$I$89,3,0)*0.475*44/12</f>
        <v>2.5441492356885291E-19</v>
      </c>
      <c r="AC164" s="24">
        <f t="shared" si="163"/>
        <v>1.1833036631455942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-3.1036506698001178E-14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240.19940780300527</v>
      </c>
      <c r="AO164" s="62">
        <f t="shared" si="144"/>
        <v>355.71054384071715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0.31162422618017499</v>
      </c>
      <c r="AV164" s="23">
        <f>EXP(-LN(2)/25)*AV163+(1-EXP(-LN(2)/25))/(LN(2)/25)*Calculateur!AQ164*Calculateur!AS164*VLOOKUP('Données projet'!$B$10,Paramètres!$A$1:$I$89,3,0)*0.475*44/12</f>
        <v>0.65907342105971689</v>
      </c>
      <c r="AW164" s="23">
        <f>EXP(-LN(2)/2)*AW163+(1-EXP(-LN(2)/2))/(LN(2)/2)*AQ164*AT164*VLOOKUP('Données projet'!$B$10,Paramètres!$A$1:$I$89,3,0)*0.475*44/12</f>
        <v>3.1651158717217192E-19</v>
      </c>
      <c r="AX164" s="23">
        <f t="shared" si="166"/>
        <v>0.97069764723989183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-1.2710188457276673E-13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382.55387448074327</v>
      </c>
      <c r="T165" s="62">
        <f t="shared" si="142"/>
        <v>476.29465646955543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0.79120052764069382</v>
      </c>
      <c r="AA165" s="23">
        <f>EXP(-LN(2)/25)*AA164+(1-EXP(-LN(2)/25))/(LN(2)/25)*Calculateur!V165*Calculateur!X165*VLOOKUP('Données projet'!$B$9,Paramètres!$A$1:$I$89,3,0)*0.475*44/12</f>
        <v>0.36598851393821419</v>
      </c>
      <c r="AB165" s="23">
        <f>EXP(-LN(2)/2)*AB164+(1-EXP(-LN(2)/2))/(LN(2)/2)*V165*Y165*VLOOKUP('Données projet'!$B$9,Paramètres!$A$1:$I$89,3,0)*0.475*44/12</f>
        <v>1.7989851769059309E-19</v>
      </c>
      <c r="AC165" s="24">
        <f t="shared" si="163"/>
        <v>1.1571890415789081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-3.1036506698001178E-14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240.19940780300527</v>
      </c>
      <c r="AO165" s="62">
        <f t="shared" si="144"/>
        <v>355.71054384071715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0.30551346517679168</v>
      </c>
      <c r="AV165" s="23">
        <f>EXP(-LN(2)/25)*AV164+(1-EXP(-LN(2)/25))/(LN(2)/25)*Calculateur!AQ165*Calculateur!AS165*VLOOKUP('Données projet'!$B$10,Paramètres!$A$1:$I$89,3,0)*0.475*44/12</f>
        <v>0.64105102370167411</v>
      </c>
      <c r="AW165" s="23">
        <f>EXP(-LN(2)/2)*AW164+(1-EXP(-LN(2)/2))/(LN(2)/2)*AQ165*AT165*VLOOKUP('Données projet'!$B$10,Paramètres!$A$1:$I$89,3,0)*0.475*44/12</f>
        <v>2.2380748961355983E-19</v>
      </c>
      <c r="AX165" s="23">
        <f t="shared" si="166"/>
        <v>0.94656448887846578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-1.2710188457276673E-13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382.55387448074327</v>
      </c>
      <c r="T166" s="62">
        <f t="shared" si="142"/>
        <v>476.29465646955543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0.77568556787833043</v>
      </c>
      <c r="AA166" s="23">
        <f>EXP(-LN(2)/25)*AA165+(1-EXP(-LN(2)/25))/(LN(2)/25)*Calculateur!V166*Calculateur!X166*VLOOKUP('Données projet'!$B$9,Paramètres!$A$1:$I$89,3,0)*0.475*44/12</f>
        <v>0.35598053877807423</v>
      </c>
      <c r="AB166" s="23">
        <f>EXP(-LN(2)/2)*AB165+(1-EXP(-LN(2)/2))/(LN(2)/2)*V166*Y166*VLOOKUP('Données projet'!$B$9,Paramètres!$A$1:$I$89,3,0)*0.475*44/12</f>
        <v>1.2720746178442646E-19</v>
      </c>
      <c r="AC166" s="24">
        <f t="shared" si="163"/>
        <v>1.1316661066564047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-3.1036506698001178E-14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240.19940780300527</v>
      </c>
      <c r="AO166" s="62">
        <f t="shared" si="144"/>
        <v>355.71054384071715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0.29952253246948851</v>
      </c>
      <c r="AV166" s="23">
        <f>EXP(-LN(2)/25)*AV165+(1-EXP(-LN(2)/25))/(LN(2)/25)*Calculateur!AQ166*Calculateur!AS166*VLOOKUP('Données projet'!$B$10,Paramètres!$A$1:$I$89,3,0)*0.475*44/12</f>
        <v>0.62352144974714363</v>
      </c>
      <c r="AW166" s="23">
        <f>EXP(-LN(2)/2)*AW165+(1-EXP(-LN(2)/2))/(LN(2)/2)*AQ166*AT166*VLOOKUP('Données projet'!$B$10,Paramètres!$A$1:$I$89,3,0)*0.475*44/12</f>
        <v>1.5825579358608596E-19</v>
      </c>
      <c r="AX166" s="23">
        <f t="shared" si="166"/>
        <v>0.92304398221663209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-1.2710188457276673E-13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382.55387448074327</v>
      </c>
      <c r="T167" s="62">
        <f t="shared" si="142"/>
        <v>476.29465646955543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0.76047484701371593</v>
      </c>
      <c r="AA167" s="23">
        <f>EXP(-LN(2)/25)*AA166+(1-EXP(-LN(2)/25))/(LN(2)/25)*Calculateur!V167*Calculateur!X167*VLOOKUP('Données projet'!$B$9,Paramètres!$A$1:$I$89,3,0)*0.475*44/12</f>
        <v>0.34624623222498485</v>
      </c>
      <c r="AB167" s="23">
        <f>EXP(-LN(2)/2)*AB166+(1-EXP(-LN(2)/2))/(LN(2)/2)*V167*Y167*VLOOKUP('Données projet'!$B$9,Paramètres!$A$1:$I$89,3,0)*0.475*44/12</f>
        <v>8.9949258845296546E-20</v>
      </c>
      <c r="AC167" s="24">
        <f t="shared" si="163"/>
        <v>1.1067210792387008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-3.1036506698001178E-14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240.19940780300527</v>
      </c>
      <c r="AO167" s="62">
        <f t="shared" si="144"/>
        <v>355.71054384071715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0.29364907829846743</v>
      </c>
      <c r="AV167" s="23">
        <f>EXP(-LN(2)/25)*AV166+(1-EXP(-LN(2)/25))/(LN(2)/25)*Calculateur!AQ167*Calculateur!AS167*VLOOKUP('Données projet'!$B$10,Paramètres!$A$1:$I$89,3,0)*0.475*44/12</f>
        <v>0.60647122291424005</v>
      </c>
      <c r="AW167" s="23">
        <f>EXP(-LN(2)/2)*AW166+(1-EXP(-LN(2)/2))/(LN(2)/2)*AQ167*AT167*VLOOKUP('Données projet'!$B$10,Paramètres!$A$1:$I$89,3,0)*0.475*44/12</f>
        <v>1.1190374480677991E-19</v>
      </c>
      <c r="AX167" s="23">
        <f t="shared" si="166"/>
        <v>0.90012030121270747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-1.2710188457276673E-13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382.55387448074327</v>
      </c>
      <c r="T168" s="62">
        <f t="shared" si="142"/>
        <v>476.29465646955543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0.74556239910763289</v>
      </c>
      <c r="AA168" s="23">
        <f>EXP(-LN(2)/25)*AA167+(1-EXP(-LN(2)/25))/(LN(2)/25)*Calculateur!V168*Calculateur!X168*VLOOKUP('Données projet'!$B$9,Paramètres!$A$1:$I$89,3,0)*0.475*44/12</f>
        <v>0.33677811079649467</v>
      </c>
      <c r="AB168" s="23">
        <f>EXP(-LN(2)/2)*AB167+(1-EXP(-LN(2)/2))/(LN(2)/2)*V168*Y168*VLOOKUP('Données projet'!$B$9,Paramètres!$A$1:$I$89,3,0)*0.475*44/12</f>
        <v>6.3603730892213228E-20</v>
      </c>
      <c r="AC168" s="24">
        <f t="shared" si="163"/>
        <v>1.0823405099041277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-3.1036506698001178E-14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240.19940780300527</v>
      </c>
      <c r="AO168" s="62">
        <f t="shared" si="144"/>
        <v>355.71054384071715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0.28789079898128678</v>
      </c>
      <c r="AV168" s="23">
        <f>EXP(-LN(2)/25)*AV167+(1-EXP(-LN(2)/25))/(LN(2)/25)*Calculateur!AQ168*Calculateur!AS168*VLOOKUP('Données projet'!$B$10,Paramètres!$A$1:$I$89,3,0)*0.475*44/12</f>
        <v>0.58988723543071464</v>
      </c>
      <c r="AW168" s="23">
        <f>EXP(-LN(2)/2)*AW167+(1-EXP(-LN(2)/2))/(LN(2)/2)*AQ168*AT168*VLOOKUP('Données projet'!$B$10,Paramètres!$A$1:$I$89,3,0)*0.475*44/12</f>
        <v>7.912789679304298E-20</v>
      </c>
      <c r="AX168" s="23">
        <f t="shared" si="166"/>
        <v>0.87777803441200142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-1.2710188457276673E-13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382.55387448074327</v>
      </c>
      <c r="T169" s="62">
        <f t="shared" si="142"/>
        <v>476.29465646955543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0.73094237520929306</v>
      </c>
      <c r="AA169" s="23">
        <f>EXP(-LN(2)/25)*AA168+(1-EXP(-LN(2)/25))/(LN(2)/25)*Calculateur!V169*Calculateur!X169*VLOOKUP('Données projet'!$B$9,Paramètres!$A$1:$I$89,3,0)*0.475*44/12</f>
        <v>0.32756889564637337</v>
      </c>
      <c r="AB169" s="23">
        <f>EXP(-LN(2)/2)*AB168+(1-EXP(-LN(2)/2))/(LN(2)/2)*V169*Y169*VLOOKUP('Données projet'!$B$9,Paramètres!$A$1:$I$89,3,0)*0.475*44/12</f>
        <v>4.4974629422648273E-20</v>
      </c>
      <c r="AC169" s="24">
        <f t="shared" si="163"/>
        <v>1.0585112708556665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-3.1036506698001178E-14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240.19940780300527</v>
      </c>
      <c r="AO169" s="62">
        <f t="shared" si="144"/>
        <v>355.71054384071715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0.28224543600931246</v>
      </c>
      <c r="AV169" s="23">
        <f>EXP(-LN(2)/25)*AV168+(1-EXP(-LN(2)/25))/(LN(2)/25)*Calculateur!AQ169*Calculateur!AS169*VLOOKUP('Données projet'!$B$10,Paramètres!$A$1:$I$89,3,0)*0.475*44/12</f>
        <v>0.5737567379570403</v>
      </c>
      <c r="AW169" s="23">
        <f>EXP(-LN(2)/2)*AW168+(1-EXP(-LN(2)/2))/(LN(2)/2)*AQ169*AT169*VLOOKUP('Données projet'!$B$10,Paramètres!$A$1:$I$89,3,0)*0.475*44/12</f>
        <v>5.5951872403389957E-20</v>
      </c>
      <c r="AX169" s="23">
        <f t="shared" si="166"/>
        <v>0.85600217396635281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-1.2710188457276673E-13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382.55387448074327</v>
      </c>
      <c r="T170" s="62">
        <f t="shared" si="142"/>
        <v>476.29465646955543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0.71660904106226553</v>
      </c>
      <c r="AA170" s="23">
        <f>EXP(-LN(2)/25)*AA169+(1-EXP(-LN(2)/25))/(LN(2)/25)*Calculateur!V170*Calculateur!X170*VLOOKUP('Données projet'!$B$9,Paramètres!$A$1:$I$89,3,0)*0.475*44/12</f>
        <v>0.31861150696882373</v>
      </c>
      <c r="AB170" s="23">
        <f>EXP(-LN(2)/2)*AB169+(1-EXP(-LN(2)/2))/(LN(2)/2)*V170*Y170*VLOOKUP('Données projet'!$B$9,Paramètres!$A$1:$I$89,3,0)*0.475*44/12</f>
        <v>3.1801865446106614E-20</v>
      </c>
      <c r="AC170" s="24">
        <f t="shared" si="163"/>
        <v>1.0352205480310892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-3.1036506698001178E-14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240.19940780300527</v>
      </c>
      <c r="AO170" s="62">
        <f t="shared" si="144"/>
        <v>355.71054384071715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0.27671077516188713</v>
      </c>
      <c r="AV170" s="23">
        <f>EXP(-LN(2)/25)*AV169+(1-EXP(-LN(2)/25))/(LN(2)/25)*Calculateur!AQ170*Calculateur!AS170*VLOOKUP('Données projet'!$B$10,Paramètres!$A$1:$I$89,3,0)*0.475*44/12</f>
        <v>0.55806732978504947</v>
      </c>
      <c r="AW170" s="23">
        <f>EXP(-LN(2)/2)*AW169+(1-EXP(-LN(2)/2))/(LN(2)/2)*AQ170*AT170*VLOOKUP('Données projet'!$B$10,Paramètres!$A$1:$I$89,3,0)*0.475*44/12</f>
        <v>3.956394839652149E-20</v>
      </c>
      <c r="AX170" s="23">
        <f t="shared" si="166"/>
        <v>0.83477810494693661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-1.2710188457276673E-13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382.55387448074327</v>
      </c>
      <c r="T171" s="62">
        <f t="shared" si="142"/>
        <v>476.29465646955543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0.7025567748553907</v>
      </c>
      <c r="AA171" s="23">
        <f>EXP(-LN(2)/25)*AA170+(1-EXP(-LN(2)/25))/(LN(2)/25)*Calculateur!V171*Calculateur!X171*VLOOKUP('Données projet'!$B$9,Paramètres!$A$1:$I$89,3,0)*0.475*44/12</f>
        <v>0.30989905855571032</v>
      </c>
      <c r="AB171" s="23">
        <f>EXP(-LN(2)/2)*AB170+(1-EXP(-LN(2)/2))/(LN(2)/2)*V171*Y171*VLOOKUP('Données projet'!$B$9,Paramètres!$A$1:$I$89,3,0)*0.475*44/12</f>
        <v>2.2487314711324136E-20</v>
      </c>
      <c r="AC171" s="24">
        <f t="shared" si="163"/>
        <v>1.0124558334111011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-3.1036506698001178E-14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240.19940780300527</v>
      </c>
      <c r="AO171" s="62">
        <f t="shared" si="144"/>
        <v>355.71054384071715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0.27128464563787003</v>
      </c>
      <c r="AV171" s="23">
        <f>EXP(-LN(2)/25)*AV170+(1-EXP(-LN(2)/25))/(LN(2)/25)*Calculateur!AQ171*Calculateur!AS171*VLOOKUP('Données projet'!$B$10,Paramètres!$A$1:$I$89,3,0)*0.475*44/12</f>
        <v>0.54280694930459195</v>
      </c>
      <c r="AW171" s="23">
        <f>EXP(-LN(2)/2)*AW170+(1-EXP(-LN(2)/2))/(LN(2)/2)*AQ171*AT171*VLOOKUP('Données projet'!$B$10,Paramètres!$A$1:$I$89,3,0)*0.475*44/12</f>
        <v>2.7975936201694978E-20</v>
      </c>
      <c r="AX171" s="23">
        <f t="shared" si="166"/>
        <v>0.81409159494246197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-1.2710188457276673E-13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382.55387448074327</v>
      </c>
      <c r="T172" s="62">
        <f t="shared" si="142"/>
        <v>476.29465646955543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0.68878006501779654</v>
      </c>
      <c r="AA172" s="23">
        <f>EXP(-LN(2)/25)*AA171+(1-EXP(-LN(2)/25))/(LN(2)/25)*Calculateur!V172*Calculateur!X172*VLOOKUP('Données projet'!$B$9,Paramètres!$A$1:$I$89,3,0)*0.475*44/12</f>
        <v>0.30142485250262119</v>
      </c>
      <c r="AB172" s="23">
        <f>EXP(-LN(2)/2)*AB171+(1-EXP(-LN(2)/2))/(LN(2)/2)*V172*Y172*VLOOKUP('Données projet'!$B$9,Paramètres!$A$1:$I$89,3,0)*0.475*44/12</f>
        <v>1.5900932723053307E-20</v>
      </c>
      <c r="AC172" s="24">
        <f t="shared" si="163"/>
        <v>0.99020491752041773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-3.1036506698001178E-14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240.19940780300527</v>
      </c>
      <c r="AO172" s="62">
        <f t="shared" si="144"/>
        <v>355.71054384071715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0.26596491920420667</v>
      </c>
      <c r="AV172" s="23">
        <f>EXP(-LN(2)/25)*AV171+(1-EXP(-LN(2)/25))/(LN(2)/25)*Calculateur!AQ172*Calculateur!AS172*VLOOKUP('Données projet'!$B$10,Paramètres!$A$1:$I$89,3,0)*0.475*44/12</f>
        <v>0.52796386473088097</v>
      </c>
      <c r="AW172" s="23">
        <f>EXP(-LN(2)/2)*AW171+(1-EXP(-LN(2)/2))/(LN(2)/2)*AQ172*AT172*VLOOKUP('Données projet'!$B$10,Paramètres!$A$1:$I$89,3,0)*0.475*44/12</f>
        <v>1.9781974198260745E-20</v>
      </c>
      <c r="AX172" s="23">
        <f t="shared" si="166"/>
        <v>0.7939287839350877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-1.2710188457276673E-13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382.55387448074327</v>
      </c>
      <c r="T173" s="62">
        <f t="shared" si="142"/>
        <v>476.29465646955543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0.67527350805715436</v>
      </c>
      <c r="AA173" s="23">
        <f>EXP(-LN(2)/25)*AA172+(1-EXP(-LN(2)/25))/(LN(2)/25)*Calculateur!V173*Calculateur!X173*VLOOKUP('Données projet'!$B$9,Paramètres!$A$1:$I$89,3,0)*0.475*44/12</f>
        <v>0.29318237405969294</v>
      </c>
      <c r="AB173" s="23">
        <f>EXP(-LN(2)/2)*AB172+(1-EXP(-LN(2)/2))/(LN(2)/2)*V173*Y173*VLOOKUP('Données projet'!$B$9,Paramètres!$A$1:$I$89,3,0)*0.475*44/12</f>
        <v>1.1243657355662068E-20</v>
      </c>
      <c r="AC173" s="24">
        <f t="shared" si="163"/>
        <v>0.9684558821168473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-3.1036506698001178E-14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240.19940780300527</v>
      </c>
      <c r="AO173" s="62">
        <f t="shared" si="144"/>
        <v>355.71054384071715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0.26074950936119473</v>
      </c>
      <c r="AV173" s="23">
        <f>EXP(-LN(2)/25)*AV172+(1-EXP(-LN(2)/25))/(LN(2)/25)*Calculateur!AQ173*Calculateur!AS173*VLOOKUP('Données projet'!$B$10,Paramètres!$A$1:$I$89,3,0)*0.475*44/12</f>
        <v>0.51352666508540201</v>
      </c>
      <c r="AW173" s="23">
        <f>EXP(-LN(2)/2)*AW172+(1-EXP(-LN(2)/2))/(LN(2)/2)*AQ173*AT173*VLOOKUP('Données projet'!$B$10,Paramètres!$A$1:$I$89,3,0)*0.475*44/12</f>
        <v>1.3987968100847489E-20</v>
      </c>
      <c r="AX173" s="23">
        <f t="shared" si="166"/>
        <v>0.77427617444659669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-1.2710188457276673E-13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382.55387448074327</v>
      </c>
      <c r="T174" s="62">
        <f t="shared" si="142"/>
        <v>476.29465646955543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0.66203180644032411</v>
      </c>
      <c r="AA174" s="23">
        <f>EXP(-LN(2)/25)*AA173+(1-EXP(-LN(2)/25))/(LN(2)/25)*Calculateur!V174*Calculateur!X174*VLOOKUP('Données projet'!$B$9,Paramètres!$A$1:$I$89,3,0)*0.475*44/12</f>
        <v>0.28516528662323964</v>
      </c>
      <c r="AB174" s="23">
        <f>EXP(-LN(2)/2)*AB173+(1-EXP(-LN(2)/2))/(LN(2)/2)*V174*Y174*VLOOKUP('Données projet'!$B$9,Paramètres!$A$1:$I$89,3,0)*0.475*44/12</f>
        <v>7.9504663615266535E-21</v>
      </c>
      <c r="AC174" s="24">
        <f t="shared" si="163"/>
        <v>0.94719709306356381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-3.1036506698001178E-14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240.19940780300527</v>
      </c>
      <c r="AO174" s="62">
        <f t="shared" si="144"/>
        <v>355.71054384071715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0.25563637052411836</v>
      </c>
      <c r="AV174" s="23">
        <f>EXP(-LN(2)/25)*AV173+(1-EXP(-LN(2)/25))/(LN(2)/25)*Calculateur!AQ174*Calculateur!AS174*VLOOKUP('Données projet'!$B$10,Paramètres!$A$1:$I$89,3,0)*0.475*44/12</f>
        <v>0.49948425142344804</v>
      </c>
      <c r="AW174" s="23">
        <f>EXP(-LN(2)/2)*AW173+(1-EXP(-LN(2)/2))/(LN(2)/2)*AQ174*AT174*VLOOKUP('Données projet'!$B$10,Paramètres!$A$1:$I$89,3,0)*0.475*44/12</f>
        <v>9.8909870991303725E-21</v>
      </c>
      <c r="AX174" s="23">
        <f t="shared" si="166"/>
        <v>0.75512062194756635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-1.2710188457276673E-13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382.55387448074327</v>
      </c>
      <c r="T175" s="62">
        <f t="shared" si="142"/>
        <v>476.29465646955543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0.64904976651555935</v>
      </c>
      <c r="AA175" s="23">
        <f>EXP(-LN(2)/25)*AA174+(1-EXP(-LN(2)/25))/(LN(2)/25)*Calculateur!V175*Calculateur!X175*VLOOKUP('Données projet'!$B$9,Paramètres!$A$1:$I$89,3,0)*0.475*44/12</f>
        <v>0.27736742686433646</v>
      </c>
      <c r="AB175" s="23">
        <f>EXP(-LN(2)/2)*AB174+(1-EXP(-LN(2)/2))/(LN(2)/2)*V175*Y175*VLOOKUP('Données projet'!$B$9,Paramètres!$A$1:$I$89,3,0)*0.475*44/12</f>
        <v>5.6218286778310341E-21</v>
      </c>
      <c r="AC175" s="24">
        <f t="shared" si="163"/>
        <v>0.92641719337989581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-3.1036506698001178E-14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240.19940780300527</v>
      </c>
      <c r="AO175" s="62">
        <f t="shared" si="144"/>
        <v>355.71054384071715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0.2506234972209303</v>
      </c>
      <c r="AV175" s="23">
        <f>EXP(-LN(2)/25)*AV174+(1-EXP(-LN(2)/25))/(LN(2)/25)*Calculateur!AQ175*Calculateur!AS175*VLOOKUP('Données projet'!$B$10,Paramètres!$A$1:$I$89,3,0)*0.475*44/12</f>
        <v>0.48582582830153864</v>
      </c>
      <c r="AW175" s="23">
        <f>EXP(-LN(2)/2)*AW174+(1-EXP(-LN(2)/2))/(LN(2)/2)*AQ175*AT175*VLOOKUP('Données projet'!$B$10,Paramètres!$A$1:$I$89,3,0)*0.475*44/12</f>
        <v>6.9939840504237446E-21</v>
      </c>
      <c r="AX175" s="23">
        <f t="shared" si="166"/>
        <v>0.73644932552246889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-1.2710188457276673E-13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382.55387448074327</v>
      </c>
      <c r="T176" s="62">
        <f t="shared" si="142"/>
        <v>476.29465646955543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0.63632229647545679</v>
      </c>
      <c r="AA176" s="23">
        <f>EXP(-LN(2)/25)*AA175+(1-EXP(-LN(2)/25))/(LN(2)/25)*Calculateur!V176*Calculateur!X176*VLOOKUP('Données projet'!$B$9,Paramètres!$A$1:$I$89,3,0)*0.475*44/12</f>
        <v>0.26978279999061211</v>
      </c>
      <c r="AB176" s="23">
        <f>EXP(-LN(2)/2)*AB175+(1-EXP(-LN(2)/2))/(LN(2)/2)*V176*Y176*VLOOKUP('Données projet'!$B$9,Paramètres!$A$1:$I$89,3,0)*0.475*44/12</f>
        <v>3.9752331807633267E-21</v>
      </c>
      <c r="AC176" s="24">
        <f t="shared" si="163"/>
        <v>0.90610509646606885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-3.1036506698001178E-14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240.19940780300527</v>
      </c>
      <c r="AO176" s="62">
        <f t="shared" si="144"/>
        <v>355.71054384071715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0.24570892330566699</v>
      </c>
      <c r="AV176" s="23">
        <f>EXP(-LN(2)/25)*AV175+(1-EXP(-LN(2)/25))/(LN(2)/25)*Calculateur!AQ176*Calculateur!AS176*VLOOKUP('Données projet'!$B$10,Paramètres!$A$1:$I$89,3,0)*0.475*44/12</f>
        <v>0.47254089547816314</v>
      </c>
      <c r="AW176" s="23">
        <f>EXP(-LN(2)/2)*AW175+(1-EXP(-LN(2)/2))/(LN(2)/2)*AQ176*AT176*VLOOKUP('Données projet'!$B$10,Paramètres!$A$1:$I$89,3,0)*0.475*44/12</f>
        <v>4.9454935495651862E-21</v>
      </c>
      <c r="AX176" s="23">
        <f t="shared" si="166"/>
        <v>0.7182498187838301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-1.2710188457276673E-13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382.55387448074327</v>
      </c>
      <c r="T177" s="62">
        <f t="shared" si="142"/>
        <v>476.29465646955543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0.62384440435985045</v>
      </c>
      <c r="AA177" s="23">
        <f>EXP(-LN(2)/25)*AA176+(1-EXP(-LN(2)/25))/(LN(2)/25)*Calculateur!V177*Calculateur!X177*VLOOKUP('Données projet'!$B$9,Paramètres!$A$1:$I$89,3,0)*0.475*44/12</f>
        <v>0.26240557513760798</v>
      </c>
      <c r="AB177" s="23">
        <f>EXP(-LN(2)/2)*AB176+(1-EXP(-LN(2)/2))/(LN(2)/2)*V177*Y177*VLOOKUP('Données projet'!$B$9,Paramètres!$A$1:$I$89,3,0)*0.475*44/12</f>
        <v>2.8109143389155171E-21</v>
      </c>
      <c r="AC177" s="24">
        <f t="shared" si="163"/>
        <v>0.88624997949745843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-3.1036506698001178E-14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240.19940780300527</v>
      </c>
      <c r="AO177" s="62">
        <f t="shared" si="144"/>
        <v>355.71054384071715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0.24089072118728788</v>
      </c>
      <c r="AV177" s="23">
        <f>EXP(-LN(2)/25)*AV176+(1-EXP(-LN(2)/25))/(LN(2)/25)*Calculateur!AQ177*Calculateur!AS177*VLOOKUP('Données projet'!$B$10,Paramètres!$A$1:$I$89,3,0)*0.475*44/12</f>
        <v>0.45961923984146708</v>
      </c>
      <c r="AW177" s="23">
        <f>EXP(-LN(2)/2)*AW176+(1-EXP(-LN(2)/2))/(LN(2)/2)*AQ177*AT177*VLOOKUP('Données projet'!$B$10,Paramètres!$A$1:$I$89,3,0)*0.475*44/12</f>
        <v>3.4969920252118723E-21</v>
      </c>
      <c r="AX177" s="23">
        <f t="shared" si="166"/>
        <v>0.70050996102875496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-1.2710188457276673E-13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382.55387448074327</v>
      </c>
      <c r="T178" s="62">
        <f t="shared" si="142"/>
        <v>476.29465646955543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0.6116111960978684</v>
      </c>
      <c r="AA178" s="23">
        <f>EXP(-LN(2)/25)*AA177+(1-EXP(-LN(2)/25))/(LN(2)/25)*Calculateur!V178*Calculateur!X178*VLOOKUP('Données projet'!$B$9,Paramètres!$A$1:$I$89,3,0)*0.475*44/12</f>
        <v>0.25523008088616062</v>
      </c>
      <c r="AB178" s="23">
        <f>EXP(-LN(2)/2)*AB177+(1-EXP(-LN(2)/2))/(LN(2)/2)*V178*Y178*VLOOKUP('Données projet'!$B$9,Paramètres!$A$1:$I$89,3,0)*0.475*44/12</f>
        <v>1.9876165903816634E-21</v>
      </c>
      <c r="AC178" s="24">
        <f t="shared" si="163"/>
        <v>0.86684127698402902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-3.1036506698001178E-14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240.19940780300527</v>
      </c>
      <c r="AO178" s="62">
        <f t="shared" si="144"/>
        <v>355.71054384071715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0.23616700107363708</v>
      </c>
      <c r="AV178" s="23">
        <f>EXP(-LN(2)/25)*AV177+(1-EXP(-LN(2)/25))/(LN(2)/25)*Calculateur!AQ178*Calculateur!AS178*VLOOKUP('Données projet'!$B$10,Paramètres!$A$1:$I$89,3,0)*0.475*44/12</f>
        <v>0.44705092755767684</v>
      </c>
      <c r="AW178" s="23">
        <f>EXP(-LN(2)/2)*AW177+(1-EXP(-LN(2)/2))/(LN(2)/2)*AQ178*AT178*VLOOKUP('Données projet'!$B$10,Paramètres!$A$1:$I$89,3,0)*0.475*44/12</f>
        <v>2.4727467747825931E-21</v>
      </c>
      <c r="AX178" s="23">
        <f t="shared" si="166"/>
        <v>0.68321792863131392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-1.2710188457276673E-13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382.55387448074327</v>
      </c>
      <c r="T179" s="62">
        <f t="shared" si="142"/>
        <v>476.29465646955543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0.59961787358838359</v>
      </c>
      <c r="AA179" s="23">
        <f>EXP(-LN(2)/25)*AA178+(1-EXP(-LN(2)/25))/(LN(2)/25)*Calculateur!V179*Calculateur!X179*VLOOKUP('Données projet'!$B$9,Paramètres!$A$1:$I$89,3,0)*0.475*44/12</f>
        <v>0.24825080090236193</v>
      </c>
      <c r="AB179" s="23">
        <f>EXP(-LN(2)/2)*AB178+(1-EXP(-LN(2)/2))/(LN(2)/2)*V179*Y179*VLOOKUP('Données projet'!$B$9,Paramètres!$A$1:$I$89,3,0)*0.475*44/12</f>
        <v>1.4054571694577585E-21</v>
      </c>
      <c r="AC179" s="24">
        <f t="shared" si="163"/>
        <v>0.84786867449074554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-3.1036506698001178E-14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240.19940780300527</v>
      </c>
      <c r="AO179" s="62">
        <f t="shared" si="144"/>
        <v>355.71054384071715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0.23153591023023018</v>
      </c>
      <c r="AV179" s="23">
        <f>EXP(-LN(2)/25)*AV178+(1-EXP(-LN(2)/25))/(LN(2)/25)*Calculateur!AQ179*Calculateur!AS179*VLOOKUP('Données projet'!$B$10,Paramètres!$A$1:$I$89,3,0)*0.475*44/12</f>
        <v>0.43482629643422566</v>
      </c>
      <c r="AW179" s="23">
        <f>EXP(-LN(2)/2)*AW178+(1-EXP(-LN(2)/2))/(LN(2)/2)*AQ179*AT179*VLOOKUP('Données projet'!$B$10,Paramètres!$A$1:$I$89,3,0)*0.475*44/12</f>
        <v>1.7484960126059361E-21</v>
      </c>
      <c r="AX179" s="23">
        <f t="shared" si="166"/>
        <v>0.66636220666445589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-1.2710188457276673E-13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382.55387448074327</v>
      </c>
      <c r="T180" s="62">
        <f t="shared" si="142"/>
        <v>476.29465646955543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0.58785973281810533</v>
      </c>
      <c r="AA180" s="23">
        <f>EXP(-LN(2)/25)*AA179+(1-EXP(-LN(2)/25))/(LN(2)/25)*Calculateur!V180*Calculateur!X180*VLOOKUP('Données projet'!$B$9,Paramètres!$A$1:$I$89,3,0)*0.475*44/12</f>
        <v>0.24146236969674462</v>
      </c>
      <c r="AB180" s="23">
        <f>EXP(-LN(2)/2)*AB179+(1-EXP(-LN(2)/2))/(LN(2)/2)*V180*Y180*VLOOKUP('Données projet'!$B$9,Paramètres!$A$1:$I$89,3,0)*0.475*44/12</f>
        <v>9.9380829519083169E-22</v>
      </c>
      <c r="AC180" s="24">
        <f t="shared" si="163"/>
        <v>0.82932210251484995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-3.1036506698001178E-14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240.19940780300527</v>
      </c>
      <c r="AO180" s="62">
        <f t="shared" si="144"/>
        <v>355.71054384071715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0.226995632253576</v>
      </c>
      <c r="AV180" s="23">
        <f>EXP(-LN(2)/25)*AV179+(1-EXP(-LN(2)/25))/(LN(2)/25)*Calculateur!AQ180*Calculateur!AS180*VLOOKUP('Données projet'!$B$10,Paramètres!$A$1:$I$89,3,0)*0.475*44/12</f>
        <v>0.42293594849171062</v>
      </c>
      <c r="AW180" s="23">
        <f>EXP(-LN(2)/2)*AW179+(1-EXP(-LN(2)/2))/(LN(2)/2)*AQ180*AT180*VLOOKUP('Données projet'!$B$10,Paramètres!$A$1:$I$89,3,0)*0.475*44/12</f>
        <v>1.2363733873912966E-21</v>
      </c>
      <c r="AX180" s="23">
        <f t="shared" si="166"/>
        <v>0.64993158074528656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-1.2710188457276673E-13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382.55387448074327</v>
      </c>
      <c r="T181" s="62">
        <f t="shared" si="142"/>
        <v>476.29465646955543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0.57633216201657456</v>
      </c>
      <c r="AA181" s="23">
        <f>EXP(-LN(2)/25)*AA180+(1-EXP(-LN(2)/25))/(LN(2)/25)*Calculateur!V181*Calculateur!X181*VLOOKUP('Données projet'!$B$9,Paramètres!$A$1:$I$89,3,0)*0.475*44/12</f>
        <v>0.23485956849943299</v>
      </c>
      <c r="AB181" s="23">
        <f>EXP(-LN(2)/2)*AB180+(1-EXP(-LN(2)/2))/(LN(2)/2)*V181*Y181*VLOOKUP('Données projet'!$B$9,Paramètres!$A$1:$I$89,3,0)*0.475*44/12</f>
        <v>7.0272858472887927E-22</v>
      </c>
      <c r="AC181" s="24">
        <f t="shared" si="163"/>
        <v>0.81119173051600757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-3.1036506698001178E-14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240.19940780300527</v>
      </c>
      <c r="AO181" s="62">
        <f t="shared" si="144"/>
        <v>355.71054384071715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0.22254438635874788</v>
      </c>
      <c r="AV181" s="23">
        <f>EXP(-LN(2)/25)*AV180+(1-EXP(-LN(2)/25))/(LN(2)/25)*Calculateur!AQ181*Calculateur!AS181*VLOOKUP('Données projet'!$B$10,Paramètres!$A$1:$I$89,3,0)*0.475*44/12</f>
        <v>0.4113707427389699</v>
      </c>
      <c r="AW181" s="23">
        <f>EXP(-LN(2)/2)*AW180+(1-EXP(-LN(2)/2))/(LN(2)/2)*AQ181*AT181*VLOOKUP('Données projet'!$B$10,Paramètres!$A$1:$I$89,3,0)*0.475*44/12</f>
        <v>8.7424800630296807E-22</v>
      </c>
      <c r="AX181" s="23">
        <f t="shared" si="166"/>
        <v>0.63391512909771774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-1.2710188457276673E-13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382.55387448074327</v>
      </c>
      <c r="T182" s="62">
        <f t="shared" si="142"/>
        <v>476.29465646955543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0.56503063984733781</v>
      </c>
      <c r="AA182" s="23">
        <f>EXP(-LN(2)/25)*AA181+(1-EXP(-LN(2)/25))/(LN(2)/25)*Calculateur!V182*Calculateur!X182*VLOOKUP('Données projet'!$B$9,Paramètres!$A$1:$I$89,3,0)*0.475*44/12</f>
        <v>0.22843732124808805</v>
      </c>
      <c r="AB182" s="23">
        <f>EXP(-LN(2)/2)*AB181+(1-EXP(-LN(2)/2))/(LN(2)/2)*V182*Y182*VLOOKUP('Données projet'!$B$9,Paramètres!$A$1:$I$89,3,0)*0.475*44/12</f>
        <v>4.9690414759541584E-22</v>
      </c>
      <c r="AC182" s="24">
        <f t="shared" si="163"/>
        <v>0.79346796109542583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-3.1036506698001178E-14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240.19940780300527</v>
      </c>
      <c r="AO182" s="62">
        <f t="shared" si="144"/>
        <v>355.71054384071715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0.21818042668092544</v>
      </c>
      <c r="AV182" s="23">
        <f>EXP(-LN(2)/25)*AV181+(1-EXP(-LN(2)/25))/(LN(2)/25)*Calculateur!AQ182*Calculateur!AS182*VLOOKUP('Données projet'!$B$10,Paramètres!$A$1:$I$89,3,0)*0.475*44/12</f>
        <v>0.40012178814572563</v>
      </c>
      <c r="AW182" s="23">
        <f>EXP(-LN(2)/2)*AW181+(1-EXP(-LN(2)/2))/(LN(2)/2)*AQ182*AT182*VLOOKUP('Données projet'!$B$10,Paramètres!$A$1:$I$89,3,0)*0.475*44/12</f>
        <v>6.1818669369564828E-22</v>
      </c>
      <c r="AX182" s="23">
        <f t="shared" si="166"/>
        <v>0.61830221482665104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-1.2710188457276673E-13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382.55387448074327</v>
      </c>
      <c r="T183" s="62">
        <f t="shared" si="142"/>
        <v>476.29465646955543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0.55395073363459202</v>
      </c>
      <c r="AA183" s="23">
        <f>EXP(-LN(2)/25)*AA182+(1-EXP(-LN(2)/25))/(LN(2)/25)*Calculateur!V183*Calculateur!X183*VLOOKUP('Données projet'!$B$9,Paramètres!$A$1:$I$89,3,0)*0.475*44/12</f>
        <v>0.22219069068556246</v>
      </c>
      <c r="AB183" s="23">
        <f>EXP(-LN(2)/2)*AB182+(1-EXP(-LN(2)/2))/(LN(2)/2)*V183*Y183*VLOOKUP('Données projet'!$B$9,Paramètres!$A$1:$I$89,3,0)*0.475*44/12</f>
        <v>3.5136429236443963E-22</v>
      </c>
      <c r="AC183" s="24">
        <f t="shared" si="163"/>
        <v>0.77614142432015454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-3.1036506698001178E-14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240.19940780300527</v>
      </c>
      <c r="AO183" s="62">
        <f t="shared" si="144"/>
        <v>355.71054384071715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0.2139020415906325</v>
      </c>
      <c r="AV183" s="23">
        <f>EXP(-LN(2)/25)*AV182+(1-EXP(-LN(2)/25))/(LN(2)/25)*Calculateur!AQ183*Calculateur!AS183*VLOOKUP('Données projet'!$B$10,Paramètres!$A$1:$I$89,3,0)*0.475*44/12</f>
        <v>0.3891804368073904</v>
      </c>
      <c r="AW183" s="23">
        <f>EXP(-LN(2)/2)*AW182+(1-EXP(-LN(2)/2))/(LN(2)/2)*AQ183*AT183*VLOOKUP('Données projet'!$B$10,Paramètres!$A$1:$I$89,3,0)*0.475*44/12</f>
        <v>4.3712400315148404E-22</v>
      </c>
      <c r="AX183" s="23">
        <f t="shared" si="166"/>
        <v>0.60308247839802287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-1.2710188457276673E-13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382.55387448074327</v>
      </c>
      <c r="T184" s="62">
        <f t="shared" si="142"/>
        <v>476.29465646955543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0.54308809762460264</v>
      </c>
      <c r="AA184" s="23">
        <f>EXP(-LN(2)/25)*AA183+(1-EXP(-LN(2)/25))/(LN(2)/25)*Calculateur!V184*Calculateur!X184*VLOOKUP('Données projet'!$B$9,Paramètres!$A$1:$I$89,3,0)*0.475*44/12</f>
        <v>0.21611487456426515</v>
      </c>
      <c r="AB184" s="23">
        <f>EXP(-LN(2)/2)*AB183+(1-EXP(-LN(2)/2))/(LN(2)/2)*V184*Y184*VLOOKUP('Données projet'!$B$9,Paramètres!$A$1:$I$89,3,0)*0.475*44/12</f>
        <v>2.4845207379770792E-22</v>
      </c>
      <c r="AC184" s="24">
        <f t="shared" si="163"/>
        <v>0.75920297218886779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-3.1036506698001178E-14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240.19940780300527</v>
      </c>
      <c r="AO184" s="62">
        <f t="shared" si="144"/>
        <v>355.71054384071715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0.20970755302240299</v>
      </c>
      <c r="AV184" s="23">
        <f>EXP(-LN(2)/25)*AV183+(1-EXP(-LN(2)/25))/(LN(2)/25)*Calculateur!AQ184*Calculateur!AS184*VLOOKUP('Données projet'!$B$10,Paramètres!$A$1:$I$89,3,0)*0.475*44/12</f>
        <v>0.37853827729678263</v>
      </c>
      <c r="AW184" s="23">
        <f>EXP(-LN(2)/2)*AW183+(1-EXP(-LN(2)/2))/(LN(2)/2)*AQ184*AT184*VLOOKUP('Données projet'!$B$10,Paramètres!$A$1:$I$89,3,0)*0.475*44/12</f>
        <v>3.0909334684782414E-22</v>
      </c>
      <c r="AX184" s="23">
        <f t="shared" si="166"/>
        <v>0.58824583031918565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-1.2710188457276673E-13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382.55387448074327</v>
      </c>
      <c r="T185" s="62">
        <f t="shared" si="142"/>
        <v>476.29465646955543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0.53243847128121546</v>
      </c>
      <c r="AA185" s="23">
        <f>EXP(-LN(2)/25)*AA184+(1-EXP(-LN(2)/25))/(LN(2)/25)*Calculateur!V185*Calculateur!X185*VLOOKUP('Données projet'!$B$9,Paramètres!$A$1:$I$89,3,0)*0.475*44/12</f>
        <v>0.21020520195431799</v>
      </c>
      <c r="AB185" s="23">
        <f>EXP(-LN(2)/2)*AB184+(1-EXP(-LN(2)/2))/(LN(2)/2)*V185*Y185*VLOOKUP('Données projet'!$B$9,Paramètres!$A$1:$I$89,3,0)*0.475*44/12</f>
        <v>1.7568214618221982E-22</v>
      </c>
      <c r="AC185" s="24">
        <f t="shared" si="163"/>
        <v>0.74264367323553349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-3.1036506698001178E-14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240.19940780300527</v>
      </c>
      <c r="AO185" s="62">
        <f t="shared" si="144"/>
        <v>355.71054384071715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0.20559531581661106</v>
      </c>
      <c r="AV185" s="23">
        <f>EXP(-LN(2)/25)*AV184+(1-EXP(-LN(2)/25))/(LN(2)/25)*Calculateur!AQ185*Calculateur!AS185*VLOOKUP('Données projet'!$B$10,Paramètres!$A$1:$I$89,3,0)*0.475*44/12</f>
        <v>0.36818712819763927</v>
      </c>
      <c r="AW185" s="23">
        <f>EXP(-LN(2)/2)*AW184+(1-EXP(-LN(2)/2))/(LN(2)/2)*AQ185*AT185*VLOOKUP('Données projet'!$B$10,Paramètres!$A$1:$I$89,3,0)*0.475*44/12</f>
        <v>2.1856200157574202E-22</v>
      </c>
      <c r="AX185" s="23">
        <f t="shared" si="166"/>
        <v>0.57378244401425027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-1.2710188457276673E-13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382.55387448074327</v>
      </c>
      <c r="T186" s="62">
        <f t="shared" si="142"/>
        <v>476.29465646955543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0.52199767761479143</v>
      </c>
      <c r="AA186" s="23">
        <f>EXP(-LN(2)/25)*AA185+(1-EXP(-LN(2)/25))/(LN(2)/25)*Calculateur!V186*Calculateur!X186*VLOOKUP('Données projet'!$B$9,Paramètres!$A$1:$I$89,3,0)*0.475*44/12</f>
        <v>0.20445712965266602</v>
      </c>
      <c r="AB186" s="23">
        <f>EXP(-LN(2)/2)*AB185+(1-EXP(-LN(2)/2))/(LN(2)/2)*V186*Y186*VLOOKUP('Données projet'!$B$9,Paramètres!$A$1:$I$89,3,0)*0.475*44/12</f>
        <v>1.2422603689885396E-22</v>
      </c>
      <c r="AC186" s="24">
        <f t="shared" si="163"/>
        <v>0.72645480726745748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-3.1036506698001178E-14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240.19940780300527</v>
      </c>
      <c r="AO186" s="62">
        <f t="shared" si="144"/>
        <v>355.71054384071715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0.20156371707420767</v>
      </c>
      <c r="AV186" s="23">
        <f>EXP(-LN(2)/25)*AV185+(1-EXP(-LN(2)/25))/(LN(2)/25)*Calculateur!AQ186*Calculateur!AS186*VLOOKUP('Données projet'!$B$10,Paramètres!$A$1:$I$89,3,0)*0.475*44/12</f>
        <v>0.35811903181495525</v>
      </c>
      <c r="AW186" s="23">
        <f>EXP(-LN(2)/2)*AW185+(1-EXP(-LN(2)/2))/(LN(2)/2)*AQ186*AT186*VLOOKUP('Données projet'!$B$10,Paramètres!$A$1:$I$89,3,0)*0.475*44/12</f>
        <v>1.5454667342391207E-22</v>
      </c>
      <c r="AX186" s="23">
        <f t="shared" si="166"/>
        <v>0.55968274888916292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-1.2710188457276673E-13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382.55387448074327</v>
      </c>
      <c r="T187" s="62">
        <f t="shared" si="142"/>
        <v>476.29465646955543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0.51176162154391058</v>
      </c>
      <c r="AA187" s="23">
        <f>EXP(-LN(2)/25)*AA186+(1-EXP(-LN(2)/25))/(LN(2)/25)*Calculateur!V187*Calculateur!X187*VLOOKUP('Données projet'!$B$9,Paramètres!$A$1:$I$89,3,0)*0.475*44/12</f>
        <v>0.19886623869038073</v>
      </c>
      <c r="AB187" s="23">
        <f>EXP(-LN(2)/2)*AB186+(1-EXP(-LN(2)/2))/(LN(2)/2)*V187*Y187*VLOOKUP('Données projet'!$B$9,Paramètres!$A$1:$I$89,3,0)*0.475*44/12</f>
        <v>8.7841073091109908E-23</v>
      </c>
      <c r="AC187" s="24">
        <f t="shared" si="163"/>
        <v>0.71062786023429125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-3.1036506698001178E-14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240.19940780300527</v>
      </c>
      <c r="AO187" s="62">
        <f t="shared" si="144"/>
        <v>355.71054384071715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0.19761117552411039</v>
      </c>
      <c r="AV187" s="23">
        <f>EXP(-LN(2)/25)*AV186+(1-EXP(-LN(2)/25))/(LN(2)/25)*Calculateur!AQ187*Calculateur!AS187*VLOOKUP('Données projet'!$B$10,Paramètres!$A$1:$I$89,3,0)*0.475*44/12</f>
        <v>0.34832624805731388</v>
      </c>
      <c r="AW187" s="23">
        <f>EXP(-LN(2)/2)*AW186+(1-EXP(-LN(2)/2))/(LN(2)/2)*AQ187*AT187*VLOOKUP('Données projet'!$B$10,Paramètres!$A$1:$I$89,3,0)*0.475*44/12</f>
        <v>1.0928100078787101E-22</v>
      </c>
      <c r="AX187" s="23">
        <f t="shared" si="166"/>
        <v>0.54593742358142427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-1.2710188457276673E-13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382.55387448074327</v>
      </c>
      <c r="T188" s="62">
        <f t="shared" si="142"/>
        <v>476.29465646955543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0.50172628828920196</v>
      </c>
      <c r="AA188" s="23">
        <f>EXP(-LN(2)/25)*AA187+(1-EXP(-LN(2)/25))/(LN(2)/25)*Calculateur!V188*Calculateur!X188*VLOOKUP('Données projet'!$B$9,Paramètres!$A$1:$I$89,3,0)*0.475*44/12</f>
        <v>0.19342823093547129</v>
      </c>
      <c r="AB188" s="23">
        <f>EXP(-LN(2)/2)*AB187+(1-EXP(-LN(2)/2))/(LN(2)/2)*V188*Y188*VLOOKUP('Données projet'!$B$9,Paramètres!$A$1:$I$89,3,0)*0.475*44/12</f>
        <v>6.211301844942698E-23</v>
      </c>
      <c r="AC188" s="24">
        <f t="shared" si="163"/>
        <v>0.69515451922467331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-3.1036506698001178E-14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240.19940780300527</v>
      </c>
      <c r="AO188" s="62">
        <f t="shared" si="144"/>
        <v>355.71054384071715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0.19373614090299823</v>
      </c>
      <c r="AV188" s="23">
        <f>EXP(-LN(2)/25)*AV187+(1-EXP(-LN(2)/25))/(LN(2)/25)*Calculateur!AQ188*Calculateur!AS188*VLOOKUP('Données projet'!$B$10,Paramètres!$A$1:$I$89,3,0)*0.475*44/12</f>
        <v>0.33880124848650534</v>
      </c>
      <c r="AW188" s="23">
        <f>EXP(-LN(2)/2)*AW187+(1-EXP(-LN(2)/2))/(LN(2)/2)*AQ188*AT188*VLOOKUP('Données projet'!$B$10,Paramètres!$A$1:$I$89,3,0)*0.475*44/12</f>
        <v>7.7273336711956035E-23</v>
      </c>
      <c r="AX188" s="23">
        <f t="shared" si="166"/>
        <v>0.53253738938950357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-1.2710188457276673E-13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382.55387448074327</v>
      </c>
      <c r="T189" s="62">
        <f t="shared" si="142"/>
        <v>476.29465646955543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0.49188774179866934</v>
      </c>
      <c r="AA189" s="23">
        <f>EXP(-LN(2)/25)*AA188+(1-EXP(-LN(2)/25))/(LN(2)/25)*Calculateur!V189*Calculateur!X189*VLOOKUP('Données projet'!$B$9,Paramètres!$A$1:$I$89,3,0)*0.475*44/12</f>
        <v>0.18813892578859226</v>
      </c>
      <c r="AB189" s="23">
        <f>EXP(-LN(2)/2)*AB188+(1-EXP(-LN(2)/2))/(LN(2)/2)*V189*Y189*VLOOKUP('Données projet'!$B$9,Paramètres!$A$1:$I$89,3,0)*0.475*44/12</f>
        <v>4.3920536545554954E-23</v>
      </c>
      <c r="AC189" s="24">
        <f t="shared" si="163"/>
        <v>0.6800266675872616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-3.1036506698001178E-14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240.19940780300527</v>
      </c>
      <c r="AO189" s="62">
        <f t="shared" si="144"/>
        <v>355.71054384071715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0.18993709334726833</v>
      </c>
      <c r="AV189" s="23">
        <f>EXP(-LN(2)/25)*AV188+(1-EXP(-LN(2)/25))/(LN(2)/25)*Calculateur!AQ189*Calculateur!AS189*VLOOKUP('Données projet'!$B$10,Paramètres!$A$1:$I$89,3,0)*0.475*44/12</f>
        <v>0.32953671052985856</v>
      </c>
      <c r="AW189" s="23">
        <f>EXP(-LN(2)/2)*AW188+(1-EXP(-LN(2)/2))/(LN(2)/2)*AQ189*AT189*VLOOKUP('Données projet'!$B$10,Paramètres!$A$1:$I$89,3,0)*0.475*44/12</f>
        <v>5.4640500393935505E-23</v>
      </c>
      <c r="AX189" s="23">
        <f t="shared" si="166"/>
        <v>0.51947380387712694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-1.2710188457276673E-13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382.55387448074327</v>
      </c>
      <c r="T190" s="62">
        <f t="shared" si="142"/>
        <v>476.29465646955543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0.48224212320389526</v>
      </c>
      <c r="AA190" s="23">
        <f>EXP(-LN(2)/25)*AA189+(1-EXP(-LN(2)/25))/(LN(2)/25)*Calculateur!V190*Calculateur!X190*VLOOKUP('Données projet'!$B$9,Paramètres!$A$1:$I$89,3,0)*0.475*44/12</f>
        <v>0.18299425696910709</v>
      </c>
      <c r="AB190" s="23">
        <f>EXP(-LN(2)/2)*AB189+(1-EXP(-LN(2)/2))/(LN(2)/2)*V190*Y190*VLOOKUP('Données projet'!$B$9,Paramètres!$A$1:$I$89,3,0)*0.475*44/12</f>
        <v>3.105650922471349E-23</v>
      </c>
      <c r="AC190" s="24">
        <f t="shared" si="163"/>
        <v>0.66523638017300235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-3.1036506698001178E-14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240.19940780300527</v>
      </c>
      <c r="AO190" s="62">
        <f t="shared" si="144"/>
        <v>355.71054384071715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0.18621254279691607</v>
      </c>
      <c r="AV190" s="23">
        <f>EXP(-LN(2)/25)*AV189+(1-EXP(-LN(2)/25))/(LN(2)/25)*Calculateur!AQ190*Calculateur!AS190*VLOOKUP('Données projet'!$B$10,Paramètres!$A$1:$I$89,3,0)*0.475*44/12</f>
        <v>0.32052551185083711</v>
      </c>
      <c r="AW190" s="23">
        <f>EXP(-LN(2)/2)*AW189+(1-EXP(-LN(2)/2))/(LN(2)/2)*AQ190*AT190*VLOOKUP('Données projet'!$B$10,Paramètres!$A$1:$I$89,3,0)*0.475*44/12</f>
        <v>3.8636668355978017E-23</v>
      </c>
      <c r="AX190" s="23">
        <f t="shared" si="166"/>
        <v>0.50673805464775312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-1.2710188457276673E-13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382.55387448074327</v>
      </c>
      <c r="T191" s="62">
        <f t="shared" si="142"/>
        <v>476.29465646955543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0.47278564930651823</v>
      </c>
      <c r="AA191" s="23">
        <f>EXP(-LN(2)/25)*AA190+(1-EXP(-LN(2)/25))/(LN(2)/25)*Calculateur!V191*Calculateur!X191*VLOOKUP('Données projet'!$B$9,Paramètres!$A$1:$I$89,3,0)*0.475*44/12</f>
        <v>0.17799026938903711</v>
      </c>
      <c r="AB191" s="23">
        <f>EXP(-LN(2)/2)*AB190+(1-EXP(-LN(2)/2))/(LN(2)/2)*V191*Y191*VLOOKUP('Données projet'!$B$9,Paramètres!$A$1:$I$89,3,0)*0.475*44/12</f>
        <v>2.1960268272777477E-23</v>
      </c>
      <c r="AC191" s="24">
        <f t="shared" si="163"/>
        <v>0.65077591869555529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-3.1036506698001178E-14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240.19940780300527</v>
      </c>
      <c r="AO191" s="62">
        <f t="shared" si="144"/>
        <v>355.71054384071715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0.18256102841110472</v>
      </c>
      <c r="AV191" s="23">
        <f>EXP(-LN(2)/25)*AV190+(1-EXP(-LN(2)/25))/(LN(2)/25)*Calculateur!AQ191*Calculateur!AS191*VLOOKUP('Données projet'!$B$10,Paramètres!$A$1:$I$89,3,0)*0.475*44/12</f>
        <v>0.31176072487357187</v>
      </c>
      <c r="AW191" s="23">
        <f>EXP(-LN(2)/2)*AW190+(1-EXP(-LN(2)/2))/(LN(2)/2)*AQ191*AT191*VLOOKUP('Données projet'!$B$10,Paramètres!$A$1:$I$89,3,0)*0.475*44/12</f>
        <v>2.7320250196967752E-23</v>
      </c>
      <c r="AX191" s="23">
        <f t="shared" si="166"/>
        <v>0.49432175328467659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-1.2710188457276673E-13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382.55387448074327</v>
      </c>
      <c r="T192" s="62">
        <f t="shared" si="142"/>
        <v>476.29465646955543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0.46351461109438924</v>
      </c>
      <c r="AA192" s="23">
        <f>EXP(-LN(2)/25)*AA191+(1-EXP(-LN(2)/25))/(LN(2)/25)*Calculateur!V192*Calculateur!X192*VLOOKUP('Données projet'!$B$9,Paramètres!$A$1:$I$89,3,0)*0.475*44/12</f>
        <v>0.17312311611249243</v>
      </c>
      <c r="AB192" s="23">
        <f>EXP(-LN(2)/2)*AB191+(1-EXP(-LN(2)/2))/(LN(2)/2)*V192*Y192*VLOOKUP('Données projet'!$B$9,Paramètres!$A$1:$I$89,3,0)*0.475*44/12</f>
        <v>1.5528254612356745E-23</v>
      </c>
      <c r="AC192" s="24">
        <f t="shared" si="163"/>
        <v>0.63663772720688172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-3.1036506698001178E-14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240.19940780300527</v>
      </c>
      <c r="AO192" s="62">
        <f t="shared" si="144"/>
        <v>355.71054384071715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0.17898111799519525</v>
      </c>
      <c r="AV192" s="23">
        <f>EXP(-LN(2)/25)*AV191+(1-EXP(-LN(2)/25))/(LN(2)/25)*Calculateur!AQ192*Calculateur!AS192*VLOOKUP('Données projet'!$B$10,Paramètres!$A$1:$I$89,3,0)*0.475*44/12</f>
        <v>0.30323561145712008</v>
      </c>
      <c r="AW192" s="23">
        <f>EXP(-LN(2)/2)*AW191+(1-EXP(-LN(2)/2))/(LN(2)/2)*AQ192*AT192*VLOOKUP('Données projet'!$B$10,Paramètres!$A$1:$I$89,3,0)*0.475*44/12</f>
        <v>1.9318334177989009E-23</v>
      </c>
      <c r="AX192" s="23">
        <f t="shared" si="166"/>
        <v>0.48221672945231531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-1.2710188457276673E-13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382.55387448074327</v>
      </c>
      <c r="T193" s="62">
        <f t="shared" si="142"/>
        <v>476.29465646955543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0.45442537228682517</v>
      </c>
      <c r="AA193" s="23">
        <f>EXP(-LN(2)/25)*AA192+(1-EXP(-LN(2)/25))/(LN(2)/25)*Calculateur!V193*Calculateur!X193*VLOOKUP('Données projet'!$B$9,Paramètres!$A$1:$I$89,3,0)*0.475*44/12</f>
        <v>0.16838905539824733</v>
      </c>
      <c r="AB193" s="23">
        <f>EXP(-LN(2)/2)*AB192+(1-EXP(-LN(2)/2))/(LN(2)/2)*V193*Y193*VLOOKUP('Données projet'!$B$9,Paramètres!$A$1:$I$89,3,0)*0.475*44/12</f>
        <v>1.0980134136388739E-23</v>
      </c>
      <c r="AC193" s="24">
        <f t="shared" si="163"/>
        <v>0.62281442768507245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-3.1036506698001178E-14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240.19940780300527</v>
      </c>
      <c r="AO193" s="62">
        <f t="shared" si="144"/>
        <v>355.71054384071715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0.17547140743901204</v>
      </c>
      <c r="AV193" s="23">
        <f>EXP(-LN(2)/25)*AV192+(1-EXP(-LN(2)/25))/(LN(2)/25)*Calculateur!AQ193*Calculateur!AS193*VLOOKUP('Données projet'!$B$10,Paramètres!$A$1:$I$89,3,0)*0.475*44/12</f>
        <v>0.29494361771535738</v>
      </c>
      <c r="AW193" s="23">
        <f>EXP(-LN(2)/2)*AW192+(1-EXP(-LN(2)/2))/(LN(2)/2)*AQ193*AT193*VLOOKUP('Données projet'!$B$10,Paramètres!$A$1:$I$89,3,0)*0.475*44/12</f>
        <v>1.3660125098483876E-23</v>
      </c>
      <c r="AX193" s="23">
        <f t="shared" si="166"/>
        <v>0.47041502515436939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-1.2710188457276673E-13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382.55387448074327</v>
      </c>
      <c r="T194" s="62">
        <f t="shared" si="142"/>
        <v>476.29465646955543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0.44551436790838916</v>
      </c>
      <c r="AA194" s="23">
        <f>EXP(-LN(2)/25)*AA193+(1-EXP(-LN(2)/25))/(LN(2)/25)*Calculateur!V194*Calculateur!X194*VLOOKUP('Données projet'!$B$9,Paramètres!$A$1:$I$89,3,0)*0.475*44/12</f>
        <v>0.16378444782318669</v>
      </c>
      <c r="AB194" s="23">
        <f>EXP(-LN(2)/2)*AB193+(1-EXP(-LN(2)/2))/(LN(2)/2)*V194*Y194*VLOOKUP('Données projet'!$B$9,Paramètres!$A$1:$I$89,3,0)*0.475*44/12</f>
        <v>7.7641273061783725E-24</v>
      </c>
      <c r="AC194" s="24">
        <f t="shared" si="163"/>
        <v>0.60929881573157585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-3.1036506698001178E-14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240.19940780300527</v>
      </c>
      <c r="AO194" s="62">
        <f t="shared" si="144"/>
        <v>355.71054384071715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0.17203052016612352</v>
      </c>
      <c r="AV194" s="23">
        <f>EXP(-LN(2)/25)*AV193+(1-EXP(-LN(2)/25))/(LN(2)/25)*Calculateur!AQ194*Calculateur!AS194*VLOOKUP('Données projet'!$B$10,Paramètres!$A$1:$I$89,3,0)*0.475*44/12</f>
        <v>0.28687836897852015</v>
      </c>
      <c r="AW194" s="23">
        <f>EXP(-LN(2)/2)*AW193+(1-EXP(-LN(2)/2))/(LN(2)/2)*AQ194*AT194*VLOOKUP('Données projet'!$B$10,Paramètres!$A$1:$I$89,3,0)*0.475*44/12</f>
        <v>9.6591670889945044E-24</v>
      </c>
      <c r="AX194" s="23">
        <f t="shared" si="166"/>
        <v>0.45890888914464367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-1.2710188457276673E-13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382.55387448074327</v>
      </c>
      <c r="T195" s="62">
        <f t="shared" si="142"/>
        <v>476.29465646955543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0.43677810289063829</v>
      </c>
      <c r="AA195" s="23">
        <f>EXP(-LN(2)/25)*AA194+(1-EXP(-LN(2)/25))/(LN(2)/25)*Calculateur!V195*Calculateur!X195*VLOOKUP('Données projet'!$B$9,Paramètres!$A$1:$I$89,3,0)*0.475*44/12</f>
        <v>0.15930575348441187</v>
      </c>
      <c r="AB195" s="23">
        <f>EXP(-LN(2)/2)*AB194+(1-EXP(-LN(2)/2))/(LN(2)/2)*V195*Y195*VLOOKUP('Données projet'!$B$9,Paramètres!$A$1:$I$89,3,0)*0.475*44/12</f>
        <v>5.4900670681943693E-24</v>
      </c>
      <c r="AC195" s="24">
        <f t="shared" si="163"/>
        <v>0.59608385637505013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-3.1036506698001178E-14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240.19940780300527</v>
      </c>
      <c r="AO195" s="62">
        <f t="shared" si="144"/>
        <v>355.71054384071715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0.16865710659392233</v>
      </c>
      <c r="AV195" s="23">
        <f>EXP(-LN(2)/25)*AV194+(1-EXP(-LN(2)/25))/(LN(2)/25)*Calculateur!AQ195*Calculateur!AS195*VLOOKUP('Données projet'!$B$10,Paramètres!$A$1:$I$89,3,0)*0.475*44/12</f>
        <v>0.27903366489252474</v>
      </c>
      <c r="AW195" s="23">
        <f>EXP(-LN(2)/2)*AW194+(1-EXP(-LN(2)/2))/(LN(2)/2)*AQ195*AT195*VLOOKUP('Données projet'!$B$10,Paramètres!$A$1:$I$89,3,0)*0.475*44/12</f>
        <v>6.8300625492419381E-24</v>
      </c>
      <c r="AX195" s="23">
        <f t="shared" si="166"/>
        <v>0.44769077148644709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-1.2710188457276673E-13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382.55387448074327</v>
      </c>
      <c r="T196" s="62">
        <f t="shared" si="142"/>
        <v>476.29465646955543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0.42821315070129001</v>
      </c>
      <c r="AA196" s="23">
        <f>EXP(-LN(2)/25)*AA195+(1-EXP(-LN(2)/25))/(LN(2)/25)*Calculateur!V196*Calculateur!X196*VLOOKUP('Données projet'!$B$9,Paramètres!$A$1:$I$89,3,0)*0.475*44/12</f>
        <v>0.15494952927785516</v>
      </c>
      <c r="AB196" s="23">
        <f>EXP(-LN(2)/2)*AB195+(1-EXP(-LN(2)/2))/(LN(2)/2)*V196*Y196*VLOOKUP('Données projet'!$B$9,Paramètres!$A$1:$I$89,3,0)*0.475*44/12</f>
        <v>3.8820636530891863E-24</v>
      </c>
      <c r="AC196" s="24">
        <f t="shared" si="163"/>
        <v>0.58316267997914517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-3.1036506698001178E-14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240.19940780300527</v>
      </c>
      <c r="AO196" s="62">
        <f t="shared" si="144"/>
        <v>355.71054384071715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0.16534984360429289</v>
      </c>
      <c r="AV196" s="23">
        <f>EXP(-LN(2)/25)*AV195+(1-EXP(-LN(2)/25))/(LN(2)/25)*Calculateur!AQ196*Calculateur!AS196*VLOOKUP('Données projet'!$B$10,Paramètres!$A$1:$I$89,3,0)*0.475*44/12</f>
        <v>0.27140347465229597</v>
      </c>
      <c r="AW196" s="23">
        <f>EXP(-LN(2)/2)*AW195+(1-EXP(-LN(2)/2))/(LN(2)/2)*AQ196*AT196*VLOOKUP('Données projet'!$B$10,Paramètres!$A$1:$I$89,3,0)*0.475*44/12</f>
        <v>4.8295835444972522E-24</v>
      </c>
      <c r="AX196" s="23">
        <f t="shared" si="166"/>
        <v>0.43675331825658886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-1.2710188457276673E-13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382.55387448074327</v>
      </c>
      <c r="T197" s="62">
        <f t="shared" ref="T197:T203" si="204">$T$3</f>
        <v>476.29465646955543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0.41981615200026984</v>
      </c>
      <c r="AA197" s="23">
        <f>EXP(-LN(2)/25)*AA196+(1-EXP(-LN(2)/25))/(LN(2)/25)*Calculateur!V197*Calculateur!X197*VLOOKUP('Données projet'!$B$9,Paramètres!$A$1:$I$89,3,0)*0.475*44/12</f>
        <v>0.15071242625131059</v>
      </c>
      <c r="AB197" s="23">
        <f>EXP(-LN(2)/2)*AB196+(1-EXP(-LN(2)/2))/(LN(2)/2)*V197*Y197*VLOOKUP('Données projet'!$B$9,Paramètres!$A$1:$I$89,3,0)*0.475*44/12</f>
        <v>2.7450335340971846E-24</v>
      </c>
      <c r="AC197" s="24">
        <f t="shared" si="163"/>
        <v>0.57052857825158043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-3.1036506698001178E-14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240.19940780300527</v>
      </c>
      <c r="AO197" s="62">
        <f t="shared" ref="AO197:AO203" si="205">$AO$3</f>
        <v>355.71054384071715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0.16210743402465885</v>
      </c>
      <c r="AV197" s="23">
        <f>EXP(-LN(2)/25)*AV196+(1-EXP(-LN(2)/25))/(LN(2)/25)*Calculateur!AQ197*Calculateur!AS197*VLOOKUP('Données projet'!$B$10,Paramètres!$A$1:$I$89,3,0)*0.475*44/12</f>
        <v>0.26398193236544049</v>
      </c>
      <c r="AW197" s="23">
        <f>EXP(-LN(2)/2)*AW196+(1-EXP(-LN(2)/2))/(LN(2)/2)*AQ197*AT197*VLOOKUP('Données projet'!$B$10,Paramètres!$A$1:$I$89,3,0)*0.475*44/12</f>
        <v>3.415031274620969E-24</v>
      </c>
      <c r="AX197" s="23">
        <f t="shared" si="166"/>
        <v>0.42608936639009931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-1.2710188457276673E-13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382.55387448074327</v>
      </c>
      <c r="T198" s="62">
        <f t="shared" si="204"/>
        <v>476.29465646955543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0.41158381332211319</v>
      </c>
      <c r="AA198" s="23">
        <f>EXP(-LN(2)/25)*AA197+(1-EXP(-LN(2)/25))/(LN(2)/25)*Calculateur!V198*Calculateur!X198*VLOOKUP('Données projet'!$B$9,Paramètres!$A$1:$I$89,3,0)*0.475*44/12</f>
        <v>0.14659118702984647</v>
      </c>
      <c r="AB198" s="23">
        <f>EXP(-LN(2)/2)*AB197+(1-EXP(-LN(2)/2))/(LN(2)/2)*V198*Y198*VLOOKUP('Données projet'!$B$9,Paramètres!$A$1:$I$89,3,0)*0.475*44/12</f>
        <v>1.9410318265445931E-24</v>
      </c>
      <c r="AC198" s="24">
        <f t="shared" si="163"/>
        <v>0.55817500035195966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-3.1036506698001178E-14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240.19940780300527</v>
      </c>
      <c r="AO198" s="62">
        <f t="shared" si="205"/>
        <v>355.71054384071715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0.15892860611920687</v>
      </c>
      <c r="AV198" s="23">
        <f>EXP(-LN(2)/25)*AV197+(1-EXP(-LN(2)/25))/(LN(2)/25)*Calculateur!AQ198*Calculateur!AS198*VLOOKUP('Données projet'!$B$10,Paramètres!$A$1:$I$89,3,0)*0.475*44/12</f>
        <v>0.25676333254270101</v>
      </c>
      <c r="AW198" s="23">
        <f>EXP(-LN(2)/2)*AW197+(1-EXP(-LN(2)/2))/(LN(2)/2)*AQ198*AT198*VLOOKUP('Données projet'!$B$10,Paramètres!$A$1:$I$89,3,0)*0.475*44/12</f>
        <v>2.4147917722486261E-24</v>
      </c>
      <c r="AX198" s="23">
        <f t="shared" si="166"/>
        <v>0.4156919386619079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-1.2710188457276673E-13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382.55387448074327</v>
      </c>
      <c r="T199" s="62">
        <f t="shared" si="204"/>
        <v>476.29465646955543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0.4035129057842044</v>
      </c>
      <c r="AA199" s="23">
        <f>EXP(-LN(2)/25)*AA198+(1-EXP(-LN(2)/25))/(LN(2)/25)*Calculateur!V199*Calculateur!X199*VLOOKUP('Données projet'!$B$9,Paramètres!$A$1:$I$89,3,0)*0.475*44/12</f>
        <v>0.14258264331161982</v>
      </c>
      <c r="AB199" s="23">
        <f>EXP(-LN(2)/2)*AB198+(1-EXP(-LN(2)/2))/(LN(2)/2)*V199*Y199*VLOOKUP('Données projet'!$B$9,Paramètres!$A$1:$I$89,3,0)*0.475*44/12</f>
        <v>1.3725167670485923E-24</v>
      </c>
      <c r="AC199" s="24">
        <f t="shared" si="163"/>
        <v>0.54609554909582425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-3.1036506698001178E-14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240.19940780300527</v>
      </c>
      <c r="AO199" s="62">
        <f t="shared" si="205"/>
        <v>355.71054384071715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0.15581211309008722</v>
      </c>
      <c r="AV199" s="23">
        <f>EXP(-LN(2)/25)*AV198+(1-EXP(-LN(2)/25))/(LN(2)/25)*Calculateur!AQ199*Calculateur!AS199*VLOOKUP('Données projet'!$B$10,Paramètres!$A$1:$I$89,3,0)*0.475*44/12</f>
        <v>0.24974212571172402</v>
      </c>
      <c r="AW199" s="23">
        <f>EXP(-LN(2)/2)*AW198+(1-EXP(-LN(2)/2))/(LN(2)/2)*AQ199*AT199*VLOOKUP('Données projet'!$B$10,Paramètres!$A$1:$I$89,3,0)*0.475*44/12</f>
        <v>1.7075156373104845E-24</v>
      </c>
      <c r="AX199" s="23">
        <f t="shared" si="166"/>
        <v>0.40555423880181124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-1.2710188457276673E-13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382.55387448074327</v>
      </c>
      <c r="T200" s="62">
        <f t="shared" si="204"/>
        <v>476.29465646955543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0.39560026382034646</v>
      </c>
      <c r="AA200" s="23">
        <f>EXP(-LN(2)/25)*AA199+(1-EXP(-LN(2)/25))/(LN(2)/25)*Calculateur!V200*Calculateur!X200*VLOOKUP('Données projet'!$B$9,Paramètres!$A$1:$I$89,3,0)*0.475*44/12</f>
        <v>0.13868371343216823</v>
      </c>
      <c r="AB200" s="23">
        <f>EXP(-LN(2)/2)*AB199+(1-EXP(-LN(2)/2))/(LN(2)/2)*V200*Y200*VLOOKUP('Données projet'!$B$9,Paramètres!$A$1:$I$89,3,0)*0.475*44/12</f>
        <v>9.7051591327229657E-25</v>
      </c>
      <c r="AC200" s="24">
        <f t="shared" si="163"/>
        <v>0.53428397725251475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-3.1036506698001178E-14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240.19940780300527</v>
      </c>
      <c r="AO200" s="62">
        <f t="shared" si="205"/>
        <v>355.71054384071715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0.15275673258839556</v>
      </c>
      <c r="AV200" s="23">
        <f>EXP(-LN(2)/25)*AV199+(1-EXP(-LN(2)/25))/(LN(2)/25)*Calculateur!AQ200*Calculateur!AS200*VLOOKUP('Données projet'!$B$10,Paramètres!$A$1:$I$89,3,0)*0.475*44/12</f>
        <v>0.24291291415076932</v>
      </c>
      <c r="AW200" s="23">
        <f>EXP(-LN(2)/2)*AW199+(1-EXP(-LN(2)/2))/(LN(2)/2)*AQ200*AT200*VLOOKUP('Données projet'!$B$10,Paramètres!$A$1:$I$89,3,0)*0.475*44/12</f>
        <v>1.207395886124313E-24</v>
      </c>
      <c r="AX200" s="23">
        <f t="shared" si="166"/>
        <v>0.39566964673916488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-1.2710188457276673E-13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382.55387448074327</v>
      </c>
      <c r="T201" s="62">
        <f t="shared" si="204"/>
        <v>476.29465646955543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0.38784278393916477</v>
      </c>
      <c r="AA201" s="23">
        <f>EXP(-LN(2)/25)*AA200+(1-EXP(-LN(2)/25))/(LN(2)/25)*Calculateur!V201*Calculateur!X201*VLOOKUP('Données projet'!$B$9,Paramètres!$A$1:$I$89,3,0)*0.475*44/12</f>
        <v>0.13489139999530605</v>
      </c>
      <c r="AB201" s="23">
        <f>EXP(-LN(2)/2)*AB200+(1-EXP(-LN(2)/2))/(LN(2)/2)*V201*Y201*VLOOKUP('Données projet'!$B$9,Paramètres!$A$1:$I$89,3,0)*0.475*44/12</f>
        <v>6.8625838352429616E-25</v>
      </c>
      <c r="AC201" s="24">
        <f t="shared" si="163"/>
        <v>0.5227341839344708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-3.1036506698001178E-14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240.19940780300527</v>
      </c>
      <c r="AO201" s="62">
        <f t="shared" si="205"/>
        <v>355.71054384071715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0.14976126623474398</v>
      </c>
      <c r="AV201" s="23">
        <f>EXP(-LN(2)/25)*AV200+(1-EXP(-LN(2)/25))/(LN(2)/25)*Calculateur!AQ201*Calculateur!AS201*VLOOKUP('Données projet'!$B$10,Paramètres!$A$1:$I$89,3,0)*0.475*44/12</f>
        <v>0.23627044773908157</v>
      </c>
      <c r="AW201" s="23">
        <f>EXP(-LN(2)/2)*AW200+(1-EXP(-LN(2)/2))/(LN(2)/2)*AQ201*AT201*VLOOKUP('Données projet'!$B$10,Paramètres!$A$1:$I$89,3,0)*0.475*44/12</f>
        <v>8.5375781865524226E-25</v>
      </c>
      <c r="AX201" s="23">
        <f t="shared" si="166"/>
        <v>0.38603171397382552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-1.2710188457276673E-13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382.55387448074327</v>
      </c>
      <c r="T202" s="62">
        <f t="shared" si="204"/>
        <v>476.29465646955543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0.38023742350685752</v>
      </c>
      <c r="AA202" s="23">
        <f>EXP(-LN(2)/25)*AA201+(1-EXP(-LN(2)/25))/(LN(2)/25)*Calculateur!V202*Calculateur!X202*VLOOKUP('Données projet'!$B$9,Paramètres!$A$1:$I$89,3,0)*0.475*44/12</f>
        <v>0.13120278756880399</v>
      </c>
      <c r="AB202" s="23">
        <f>EXP(-LN(2)/2)*AB201+(1-EXP(-LN(2)/2))/(LN(2)/2)*V202*Y202*VLOOKUP('Données projet'!$B$9,Paramètres!$A$1:$I$89,3,0)*0.475*44/12</f>
        <v>4.8525795663614828E-25</v>
      </c>
      <c r="AC202" s="24">
        <f t="shared" si="163"/>
        <v>0.51144021107566151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-3.1036506698001178E-14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240.19940780300527</v>
      </c>
      <c r="AO202" s="62">
        <f t="shared" si="205"/>
        <v>355.71054384071715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0.14682453914923344</v>
      </c>
      <c r="AV202" s="23">
        <f>EXP(-LN(2)/25)*AV201+(1-EXP(-LN(2)/25))/(LN(2)/25)*Calculateur!AQ202*Calculateur!AS202*VLOOKUP('Données projet'!$B$10,Paramètres!$A$1:$I$89,3,0)*0.475*44/12</f>
        <v>0.22980961992073354</v>
      </c>
      <c r="AW202" s="23">
        <f>EXP(-LN(2)/2)*AW201+(1-EXP(-LN(2)/2))/(LN(2)/2)*AQ202*AT202*VLOOKUP('Données projet'!$B$10,Paramètres!$A$1:$I$89,3,0)*0.475*44/12</f>
        <v>6.0369794306215652E-25</v>
      </c>
      <c r="AX202" s="23">
        <f t="shared" si="166"/>
        <v>0.376634159069967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-1.2710188457276673E-13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382.55387448074327</v>
      </c>
      <c r="T203" s="62">
        <f t="shared" si="204"/>
        <v>476.29465646955543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0.372781199553816</v>
      </c>
      <c r="AA203" s="23">
        <f>EXP(-LN(2)/25)*AA202+(1-EXP(-LN(2)/25))/(LN(2)/25)*Calculateur!V203*Calculateur!X203*VLOOKUP('Données projet'!$B$9,Paramètres!$A$1:$I$89,3,0)*0.475*44/12</f>
        <v>0.12761504044308031</v>
      </c>
      <c r="AB203" s="23">
        <f>EXP(-LN(2)/2)*AB202+(1-EXP(-LN(2)/2))/(LN(2)/2)*V203*Y203*VLOOKUP('Données projet'!$B$9,Paramètres!$A$1:$I$89,3,0)*0.475*44/12</f>
        <v>3.4312919176214808E-25</v>
      </c>
      <c r="AC203" s="24">
        <f t="shared" si="163"/>
        <v>0.50039623999689631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-3.1036506698001178E-14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240.19940780300527</v>
      </c>
      <c r="AO203" s="62">
        <f t="shared" si="205"/>
        <v>355.71054384071715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0.14394539949064311</v>
      </c>
      <c r="AV203" s="23">
        <f>EXP(-LN(2)/25)*AV202+(1-EXP(-LN(2)/25))/(LN(2)/25)*Calculateur!AQ203*Calculateur!AS203*VLOOKUP('Données projet'!$B$10,Paramètres!$A$1:$I$89,3,0)*0.475*44/12</f>
        <v>0.22352546377883842</v>
      </c>
      <c r="AW203" s="23">
        <f>EXP(-LN(2)/2)*AW202+(1-EXP(-LN(2)/2))/(LN(2)/2)*AQ203*AT203*VLOOKUP('Données projet'!$B$10,Paramètres!$A$1:$I$89,3,0)*0.475*44/12</f>
        <v>4.2687890932762113E-25</v>
      </c>
      <c r="AX203" s="23">
        <f t="shared" si="166"/>
        <v>0.36747086326948153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1.3070441688874561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1.5556353708263266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F13" sqref="F1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Douglas</v>
      </c>
      <c r="B6" s="155">
        <f>'Données projet'!D9</f>
        <v>1.2498499999999999</v>
      </c>
      <c r="C6" s="156">
        <f ca="1">IF(OR('Données projet'!B9="",'Données projet'!C9="",'Données projet'!C9=0%),0,Calculateur!S3)</f>
        <v>382.55387448074327</v>
      </c>
      <c r="D6" s="156">
        <f>IF(OR('Données projet'!B9="",'Données projet'!C9="",'Données projet'!C9=0%),0,Calculateur!T3)</f>
        <v>476.29465646955543</v>
      </c>
      <c r="E6" s="156">
        <f ca="1">MIN(C6,D6)</f>
        <v>382.55387448074327</v>
      </c>
      <c r="F6" s="156">
        <f ca="1">E6*B6</f>
        <v>478.13496001975693</v>
      </c>
      <c r="G6" s="156">
        <f ca="1">F6*(100%-'Données projet'!$C$24)*(100%-'Données projet'!$C$25)*(100%-'Données projet'!$C$26)*(100%-'Données projet'!$C$27)</f>
        <v>365.77324441511405</v>
      </c>
      <c r="H6" s="157">
        <f>IF(OR('Données projet'!B9="",'Données projet'!C9="",'Données projet'!C9=0%),0,AVERAGE(Calculateur!$AC$3:$AC$33)*B6)</f>
        <v>5.5823078602489646</v>
      </c>
      <c r="I6" s="158">
        <f>H6*(100%-'Données projet'!$C$24)*(100%-'Données projet'!$C$25)*(100%-'Données projet'!$C$26)*(100%-'Données projet'!$C$27)</f>
        <v>4.2704655130904579</v>
      </c>
      <c r="J6" s="159">
        <f>IF(OR('Données projet'!B9="",'Données projet'!C9="",'Données projet'!C9=0%),0,SUM(Calculateur!$V$3:$V$33)*VLOOKUP('Données projet'!$B$9,Paramètres!$A$1:$I$89,9,0)*B6)</f>
        <v>58.043033999999992</v>
      </c>
      <c r="K6" s="160">
        <f>J6*(100%-'Données projet'!$C$24)*(100%-'Données projet'!$C$25)*(100%-'Données projet'!$C$26)*(100%-'Données projet'!$C$27)</f>
        <v>44.402921009999993</v>
      </c>
      <c r="L6" s="161">
        <f ca="1">G6+I6+K6</f>
        <v>414.44663093820452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Mélèze hybride</v>
      </c>
      <c r="B7" s="163">
        <f>'Données projet'!D10</f>
        <v>0.499975</v>
      </c>
      <c r="C7" s="156">
        <f ca="1">IF(OR('Données projet'!B10="",'Données projet'!C10="",'Données projet'!C10=0%),0,Calculateur!AN3)</f>
        <v>240.19940780300527</v>
      </c>
      <c r="D7" s="156">
        <f>IF(OR('Données projet'!B10="",'Données projet'!C10="",'Données projet'!C10=0%),0,Calculateur!AO3)</f>
        <v>355.71054384071715</v>
      </c>
      <c r="E7" s="156">
        <f t="shared" ref="E7:E15" ca="1" si="0">MIN(C7,D7)</f>
        <v>240.19940780300527</v>
      </c>
      <c r="F7" s="156">
        <f t="shared" ref="F7:F15" ca="1" si="1">E7*B7</f>
        <v>120.09369891630756</v>
      </c>
      <c r="G7" s="156">
        <f ca="1">F7*(100%-'Données projet'!$C$24)*(100%-'Données projet'!$C$25)*(100%-'Données projet'!$C$26)*(100%-'Données projet'!$C$27)</f>
        <v>91.871679670975283</v>
      </c>
      <c r="H7" s="164">
        <f>IF(OR('Données projet'!B10="",'Données projet'!C10="",'Données projet'!C10=0%),0,AVERAGE(Calculateur!$AX$3:$AX$33)*B7)</f>
        <v>7.8749705822713674</v>
      </c>
      <c r="I7" s="158">
        <f>H7*(100%-'Données projet'!$C$24)*(100%-'Données projet'!$C$25)*(100%-'Données projet'!$C$26)*(100%-'Données projet'!$C$27)</f>
        <v>6.0243524954375953</v>
      </c>
      <c r="J7" s="159">
        <f>IF(OR('Données projet'!B10="",'Données projet'!C10="",'Données projet'!C10=0%),0,SUM(Calculateur!$AQ$3:$AQ$33)*VLOOKUP('Données projet'!$B$10,Paramètres!$A$1:$I$89,9,0)*B7)</f>
        <v>52.887355499999998</v>
      </c>
      <c r="K7" s="160">
        <f>J7*(100%-'Données projet'!$C$24)*(100%-'Données projet'!$C$25)*(100%-'Données projet'!$C$26)*(100%-'Données projet'!$C$27)</f>
        <v>40.458826957500001</v>
      </c>
      <c r="L7" s="161">
        <f t="shared" ref="L7:L15" ca="1" si="2">G7+I7+K7</f>
        <v>138.35485912391289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598.22865893606445</v>
      </c>
      <c r="G16" s="175">
        <f t="shared" ca="1" si="3"/>
        <v>457.6449240860893</v>
      </c>
      <c r="H16" s="176">
        <f t="shared" si="3"/>
        <v>13.457278442520332</v>
      </c>
      <c r="I16" s="176">
        <f t="shared" si="3"/>
        <v>10.294818008528054</v>
      </c>
      <c r="J16" s="177">
        <f t="shared" si="3"/>
        <v>110.93038949999999</v>
      </c>
      <c r="K16" s="177">
        <f t="shared" si="3"/>
        <v>84.861747967499994</v>
      </c>
      <c r="L16" s="178">
        <f t="shared" ca="1" si="3"/>
        <v>552.80149006211741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Mélèze hybride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S1" zoomScale="90" zoomScaleNormal="90" workbookViewId="0">
      <selection activeCell="H26" sqref="H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5803.4265982967217</v>
      </c>
      <c r="U10" s="190">
        <f>'Données projet'!D9</f>
        <v>1.2498499999999999</v>
      </c>
      <c r="V10" s="189">
        <f>U10*T10</f>
        <v>7253.4127338811568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Mélèze hybride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2529.6692755590066</v>
      </c>
      <c r="U11" s="190">
        <f>'Données projet'!D10</f>
        <v>0.499975</v>
      </c>
      <c r="V11" s="189">
        <f t="shared" ref="V11" si="0">U11*T11</f>
        <v>1264.7713960476144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40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40.000000000000021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70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2800.0000000000014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3287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649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1147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19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649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-1154.2607880109808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54</v>
      </c>
      <c r="C24" s="292">
        <v>15</v>
      </c>
      <c r="D24" s="194">
        <f t="shared" ref="D24:D42" si="2">B24*C24</f>
        <v>810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842.45063532830977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54</v>
      </c>
      <c r="C25" s="292">
        <v>20</v>
      </c>
      <c r="D25" s="194">
        <f t="shared" si="2"/>
        <v>1080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-1996.7114233392906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69</v>
      </c>
      <c r="C26" s="292">
        <v>28</v>
      </c>
      <c r="D26" s="194">
        <f t="shared" si="2"/>
        <v>1932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72</v>
      </c>
      <c r="C27" s="292">
        <v>28</v>
      </c>
      <c r="D27" s="194">
        <f t="shared" si="2"/>
        <v>2016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66</v>
      </c>
      <c r="C28" s="292">
        <v>35</v>
      </c>
      <c r="D28" s="194">
        <f t="shared" si="2"/>
        <v>2310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48</v>
      </c>
      <c r="C29" s="292">
        <v>40</v>
      </c>
      <c r="D29" s="194">
        <f t="shared" si="2"/>
        <v>1920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35</v>
      </c>
      <c r="C30" s="292">
        <v>50</v>
      </c>
      <c r="D30" s="194">
        <f t="shared" si="2"/>
        <v>1750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666</v>
      </c>
      <c r="C31" s="292">
        <v>80</v>
      </c>
      <c r="D31" s="194">
        <f t="shared" si="2"/>
        <v>53280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92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92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Mélèze hybride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10</v>
      </c>
      <c r="B54" s="193">
        <f>'Données projet'!D62</f>
        <v>26</v>
      </c>
      <c r="C54" s="204">
        <v>7</v>
      </c>
      <c r="D54" s="191">
        <f>B54*C54</f>
        <v>182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15</v>
      </c>
      <c r="B55" s="193">
        <f>'Données projet'!D63</f>
        <v>54</v>
      </c>
      <c r="C55" s="204">
        <v>8</v>
      </c>
      <c r="D55" s="191">
        <f t="shared" ref="D55:D73" si="4">B55*C55</f>
        <v>432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20</v>
      </c>
      <c r="B56" s="193">
        <f>'Données projet'!D64</f>
        <v>61</v>
      </c>
      <c r="C56" s="204">
        <v>14</v>
      </c>
      <c r="D56" s="191">
        <f t="shared" si="4"/>
        <v>854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25</v>
      </c>
      <c r="B57" s="193">
        <f>'Données projet'!D65</f>
        <v>57</v>
      </c>
      <c r="C57" s="204">
        <v>15</v>
      </c>
      <c r="D57" s="191">
        <f t="shared" si="4"/>
        <v>855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30</v>
      </c>
      <c r="B58" s="193">
        <f>'Données projet'!D66</f>
        <v>48</v>
      </c>
      <c r="C58" s="204">
        <v>17</v>
      </c>
      <c r="D58" s="191">
        <f t="shared" si="4"/>
        <v>816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35</v>
      </c>
      <c r="B59" s="193">
        <f>'Données projet'!D67</f>
        <v>38</v>
      </c>
      <c r="C59" s="204">
        <v>17</v>
      </c>
      <c r="D59" s="191">
        <f t="shared" si="4"/>
        <v>646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40</v>
      </c>
      <c r="B60" s="193">
        <f>'Données projet'!D68</f>
        <v>28</v>
      </c>
      <c r="C60" s="204">
        <v>22</v>
      </c>
      <c r="D60" s="191">
        <f t="shared" si="4"/>
        <v>616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45</v>
      </c>
      <c r="B61" s="193">
        <f>'Données projet'!D69</f>
        <v>21</v>
      </c>
      <c r="C61" s="204">
        <v>24</v>
      </c>
      <c r="D61" s="191">
        <f t="shared" si="4"/>
        <v>504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50</v>
      </c>
      <c r="B62" s="193">
        <f>'Données projet'!D70</f>
        <v>374</v>
      </c>
      <c r="C62" s="204">
        <v>30</v>
      </c>
      <c r="D62" s="191">
        <f t="shared" si="4"/>
        <v>11220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2024-05-23T10:09:42Z</dcterms:modified>
</cp:coreProperties>
</file>