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4546af64a26a65e/Bureau/"/>
    </mc:Choice>
  </mc:AlternateContent>
  <xr:revisionPtr revIDLastSave="0" documentId="8_{5C29D50D-4890-4371-8944-2909E823F96F}" xr6:coauthVersionLast="47" xr6:coauthVersionMax="47" xr10:uidLastSave="{00000000-0000-0000-0000-000000000000}"/>
  <bookViews>
    <workbookView xWindow="-105" yWindow="0" windowWidth="14610" windowHeight="1558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96" i="6"/>
  <c r="C97" i="6"/>
  <c r="C98" i="6"/>
  <c r="C99" i="6"/>
  <c r="C100" i="6"/>
  <c r="C101" i="6"/>
  <c r="C102" i="6"/>
  <c r="C103" i="6"/>
  <c r="C104" i="6"/>
  <c r="C66" i="6"/>
  <c r="C67" i="6"/>
  <c r="C68" i="6"/>
  <c r="C69" i="6"/>
  <c r="C70" i="6"/>
  <c r="C71" i="6"/>
  <c r="C72" i="6"/>
  <c r="C73" i="6"/>
  <c r="C37" i="6"/>
  <c r="C38" i="6"/>
  <c r="C39" i="6"/>
  <c r="C40" i="6"/>
  <c r="C41" i="6"/>
  <c r="C42" i="6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HI7" i="2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G10" i="2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V20" i="2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EV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G38" i="2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G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H130" i="2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EX154" i="2"/>
  <c r="AA154" i="2"/>
  <c r="EV154" i="2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Y154" i="2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DH156" i="2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D157" i="2" s="1"/>
  <c r="CN156" i="2"/>
  <c r="EX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I159" i="2"/>
  <c r="EC159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AB161" i="2"/>
  <c r="HH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C162" i="2"/>
  <c r="EW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B163" i="2"/>
  <c r="EV163" i="2"/>
  <c r="EA163" i="2"/>
  <c r="ED163" i="2" s="1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A164" i="2" l="1"/>
  <c r="DI163" i="2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D165" i="2" s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DG167" i="2"/>
  <c r="EA167" i="2"/>
  <c r="EB167" i="2"/>
  <c r="FR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EB168" i="2"/>
  <c r="DI167" i="2"/>
  <c r="DG168" i="2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D172" i="2" s="1"/>
  <c r="EW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EA174" i="2"/>
  <c r="EB174" i="2"/>
  <c r="ED174" i="2" s="1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B175" i="2" l="1"/>
  <c r="AA175" i="2"/>
  <c r="EW175" i="2"/>
  <c r="HI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Y175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D177" i="2"/>
  <c r="EB178" i="2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ED179" i="2" s="1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FS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A183" i="2" l="1"/>
  <c r="EY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HG186" i="2"/>
  <c r="ED185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B189" i="2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EY189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I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EB192" i="2"/>
  <c r="EA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DI192" i="2" l="1"/>
  <c r="EB193" i="2"/>
  <c r="EA193" i="2"/>
  <c r="ED193" i="2" s="1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HG194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Y194" i="2" l="1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EY195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EW197" i="2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B201" i="2" l="1"/>
  <c r="FS201" i="2"/>
  <c r="ED200" i="2"/>
  <c r="DI200" i="2"/>
  <c r="HG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G202" i="2" l="1"/>
  <c r="HI202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41" i="2" a="1"/>
  <c r="DN41" i="2" s="1"/>
  <c r="DN29" i="2" a="1"/>
  <c r="DN29" i="2" s="1"/>
  <c r="DN115" i="2" a="1"/>
  <c r="DN115" i="2" s="1"/>
  <c r="DN177" i="2" a="1"/>
  <c r="DN177" i="2" s="1"/>
  <c r="CS116" i="2" a="1"/>
  <c r="CS116" i="2" s="1"/>
  <c r="EI195" i="2" a="1"/>
  <c r="EI195" i="2" s="1"/>
  <c r="CS137" i="2" a="1"/>
  <c r="CS137" i="2" s="1"/>
  <c r="AH151" i="2" a="1"/>
  <c r="AH151" i="2" s="1"/>
  <c r="CS77" i="2" a="1"/>
  <c r="CS77" i="2" s="1"/>
  <c r="AH166" i="2" a="1"/>
  <c r="AH166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DN103" i="2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I203" i="2" s="1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FZ9" i="2"/>
  <c r="FZ10" i="2" s="1"/>
  <c r="FZ11" i="2" s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<sst xmlns="http://schemas.openxmlformats.org/spreadsheetml/2006/main" count="1168" uniqueCount="324">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</sst>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0"/>
      <color theme="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9" fontId="32" fillId="14" borderId="1" xfId="1" applyFont="1" applyFill="1" applyBorder="1" applyAlignment="1" applyProtection="1">
      <alignment horizontal="center" vertical="center"/>
      <protection locked="0"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2.0304005289303682</c:v>
                </c:pt>
                <c:pt idx="2">
                  <c:v>2.8369156529056316</c:v>
                </c:pt>
                <c:pt idx="3">
                  <c:v>3.9651866962811888</c:v>
                </c:pt>
                <c:pt idx="4">
                  <c:v>5.5440995941261555</c:v>
                </c:pt>
                <c:pt idx="5">
                  <c:v>7.7543636012159496</c:v>
                </c:pt>
                <c:pt idx="6">
                  <c:v>10.849421516375481</c:v>
                </c:pt>
                <c:pt idx="7">
                  <c:v>15.184823973481235</c:v>
                </c:pt>
                <c:pt idx="8">
                  <c:v>21.259503869670677</c:v>
                </c:pt>
                <c:pt idx="9">
                  <c:v>29.773785583032616</c:v>
                </c:pt>
                <c:pt idx="10">
                  <c:v>41.710932827889991</c:v>
                </c:pt>
                <c:pt idx="11">
                  <c:v>58.451812108092277</c:v>
                </c:pt>
                <c:pt idx="12">
                  <c:v>81.936154629149854</c:v>
                </c:pt>
                <c:pt idx="13">
                  <c:v>114.88940187419416</c:v>
                </c:pt>
                <c:pt idx="14">
                  <c:v>161.14187260581406</c:v>
                </c:pt>
                <c:pt idx="15">
                  <c:v>226.07791378395936</c:v>
                </c:pt>
                <c:pt idx="16">
                  <c:v>223.66777003883416</c:v>
                </c:pt>
                <c:pt idx="17">
                  <c:v>254.95565122562834</c:v>
                </c:pt>
                <c:pt idx="18">
                  <c:v>286.15657784953424</c:v>
                </c:pt>
                <c:pt idx="19">
                  <c:v>317.28135996753446</c:v>
                </c:pt>
                <c:pt idx="20">
                  <c:v>348.33851163171676</c:v>
                </c:pt>
                <c:pt idx="21">
                  <c:v>325.41022659148729</c:v>
                </c:pt>
                <c:pt idx="22">
                  <c:v>356.21233858420231</c:v>
                </c:pt>
                <c:pt idx="23">
                  <c:v>386.95613821648527</c:v>
                </c:pt>
                <c:pt idx="24">
                  <c:v>417.64690431825039</c:v>
                </c:pt>
                <c:pt idx="25">
                  <c:v>448.28907700291916</c:v>
                </c:pt>
                <c:pt idx="26">
                  <c:v>415.74505644902729</c:v>
                </c:pt>
                <c:pt idx="27">
                  <c:v>444.96580033395315</c:v>
                </c:pt>
                <c:pt idx="28">
                  <c:v>474.14546138612178</c:v>
                </c:pt>
                <c:pt idx="29">
                  <c:v>503.28692006995601</c:v>
                </c:pt>
                <c:pt idx="30">
                  <c:v>532.39269641419367</c:v>
                </c:pt>
                <c:pt idx="31">
                  <c:v>494.52465130521909</c:v>
                </c:pt>
                <c:pt idx="32">
                  <c:v>521.74823465158681</c:v>
                </c:pt>
                <c:pt idx="33">
                  <c:v>548.94188791952308</c:v>
                </c:pt>
                <c:pt idx="34">
                  <c:v>576.10730038492648</c:v>
                </c:pt>
                <c:pt idx="35">
                  <c:v>603.24598921218421</c:v>
                </c:pt>
                <c:pt idx="36">
                  <c:v>564.06341469887707</c:v>
                </c:pt>
                <c:pt idx="37">
                  <c:v>589.79789025240336</c:v>
                </c:pt>
                <c:pt idx="38">
                  <c:v>615.5089949539182</c:v>
                </c:pt>
                <c:pt idx="39">
                  <c:v>641.19784112563684</c:v>
                </c:pt>
                <c:pt idx="40">
                  <c:v>666.86544480724035</c:v>
                </c:pt>
                <c:pt idx="41">
                  <c:v>626.11711964454878</c:v>
                </c:pt>
                <c:pt idx="42">
                  <c:v>650.14854272914738</c:v>
                </c:pt>
                <c:pt idx="43">
                  <c:v>674.16165715210161</c:v>
                </c:pt>
                <c:pt idx="44">
                  <c:v>698.15720599872554</c:v>
                </c:pt>
                <c:pt idx="45">
                  <c:v>722.1358771752989</c:v>
                </c:pt>
                <c:pt idx="46">
                  <c:v>682.63264361743393</c:v>
                </c:pt>
                <c:pt idx="47">
                  <c:v>705.44659634791788</c:v>
                </c:pt>
                <c:pt idx="48">
                  <c:v>728.24546587909117</c:v>
                </c:pt>
                <c:pt idx="49">
                  <c:v>751.02979028364689</c:v>
                </c:pt>
                <c:pt idx="50">
                  <c:v>773.80007236704989</c:v>
                </c:pt>
                <c:pt idx="51">
                  <c:v>735.0587749737989</c:v>
                </c:pt>
                <c:pt idx="52">
                  <c:v>756.19539804826275</c:v>
                </c:pt>
                <c:pt idx="53">
                  <c:v>777.32002696073334</c:v>
                </c:pt>
                <c:pt idx="54">
                  <c:v>798.4330331595902</c:v>
                </c:pt>
                <c:pt idx="55">
                  <c:v>819.534766871947</c:v>
                </c:pt>
                <c:pt idx="56">
                  <c:v>779.6664839173344</c:v>
                </c:pt>
                <c:pt idx="57">
                  <c:v>799.60564429058547</c:v>
                </c:pt>
                <c:pt idx="58">
                  <c:v>819.534766871947</c:v>
                </c:pt>
                <c:pt idx="59">
                  <c:v>839.45412983330732</c:v>
                </c:pt>
                <c:pt idx="60">
                  <c:v>859.3639970853128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2.2940870949063847</c:v>
                </c:pt>
                <c:pt idx="2">
                  <c:v>3.258165228690928</c:v>
                </c:pt>
                <c:pt idx="3">
                  <c:v>4.6291674695202367</c:v>
                </c:pt>
                <c:pt idx="4">
                  <c:v>6.579555113137137</c:v>
                </c:pt>
                <c:pt idx="5">
                  <c:v>9.3551595981839544</c:v>
                </c:pt>
                <c:pt idx="6">
                  <c:v>13.306505741088722</c:v>
                </c:pt>
                <c:pt idx="7">
                  <c:v>18.933550378735188</c:v>
                </c:pt>
                <c:pt idx="8">
                  <c:v>26.949598834849215</c:v>
                </c:pt>
                <c:pt idx="9">
                  <c:v>38.372643313351738</c:v>
                </c:pt>
                <c:pt idx="10">
                  <c:v>54.655920320934996</c:v>
                </c:pt>
                <c:pt idx="11">
                  <c:v>77.874571981774324</c:v>
                </c:pt>
                <c:pt idx="12">
                  <c:v>110.99258294622179</c:v>
                </c:pt>
                <c:pt idx="13">
                  <c:v>116.23334196493688</c:v>
                </c:pt>
                <c:pt idx="14">
                  <c:v>140.54262569448233</c:v>
                </c:pt>
                <c:pt idx="15">
                  <c:v>164.75077334312189</c:v>
                </c:pt>
                <c:pt idx="16">
                  <c:v>188.874768296356</c:v>
                </c:pt>
                <c:pt idx="17">
                  <c:v>212.9268816625939</c:v>
                </c:pt>
                <c:pt idx="18">
                  <c:v>236.91637797100859</c:v>
                </c:pt>
                <c:pt idx="19">
                  <c:v>169.04021736745639</c:v>
                </c:pt>
                <c:pt idx="20">
                  <c:v>188.874768296356</c:v>
                </c:pt>
                <c:pt idx="21">
                  <c:v>208.6607526539311</c:v>
                </c:pt>
                <c:pt idx="22">
                  <c:v>228.4034245241277</c:v>
                </c:pt>
                <c:pt idx="23">
                  <c:v>248.10705443672927</c:v>
                </c:pt>
                <c:pt idx="24">
                  <c:v>267.77517870928619</c:v>
                </c:pt>
                <c:pt idx="25">
                  <c:v>208.43616413016289</c:v>
                </c:pt>
                <c:pt idx="26">
                  <c:v>225.7136276678045</c:v>
                </c:pt>
                <c:pt idx="27">
                  <c:v>242.96080175083068</c:v>
                </c:pt>
                <c:pt idx="28">
                  <c:v>260.18013918731202</c:v>
                </c:pt>
                <c:pt idx="29">
                  <c:v>277.37374145656463</c:v>
                </c:pt>
                <c:pt idx="30">
                  <c:v>294.54342815595749</c:v>
                </c:pt>
                <c:pt idx="31">
                  <c:v>245.42235893237441</c:v>
                </c:pt>
                <c:pt idx="32">
                  <c:v>260.62704337907638</c:v>
                </c:pt>
                <c:pt idx="33">
                  <c:v>275.81170051054812</c:v>
                </c:pt>
                <c:pt idx="34">
                  <c:v>290.97758824650174</c:v>
                </c:pt>
                <c:pt idx="35">
                  <c:v>306.12582263909655</c:v>
                </c:pt>
                <c:pt idx="36">
                  <c:v>321.2574002496246</c:v>
                </c:pt>
                <c:pt idx="37">
                  <c:v>275.36536664429354</c:v>
                </c:pt>
                <c:pt idx="38">
                  <c:v>289.64014717907838</c:v>
                </c:pt>
                <c:pt idx="39">
                  <c:v>303.8992084541465</c:v>
                </c:pt>
                <c:pt idx="40">
                  <c:v>318.14339197279986</c:v>
                </c:pt>
                <c:pt idx="41">
                  <c:v>332.37345771931626</c:v>
                </c:pt>
                <c:pt idx="42">
                  <c:v>346.59009528166484</c:v>
                </c:pt>
                <c:pt idx="43">
                  <c:v>303.8992084541465</c:v>
                </c:pt>
                <c:pt idx="44">
                  <c:v>317.25355162035777</c:v>
                </c:pt>
                <c:pt idx="45">
                  <c:v>330.59544737419031</c:v>
                </c:pt>
                <c:pt idx="46">
                  <c:v>343.92546889640715</c:v>
                </c:pt>
                <c:pt idx="47">
                  <c:v>357.24414130207202</c:v>
                </c:pt>
                <c:pt idx="48">
                  <c:v>370.55194735083091</c:v>
                </c:pt>
                <c:pt idx="49">
                  <c:v>333.04015745702924</c:v>
                </c:pt>
                <c:pt idx="50">
                  <c:v>344.81372791869586</c:v>
                </c:pt>
                <c:pt idx="51">
                  <c:v>356.57846961128126</c:v>
                </c:pt>
                <c:pt idx="52">
                  <c:v>368.33471495483519</c:v>
                </c:pt>
                <c:pt idx="53">
                  <c:v>380.08277341219082</c:v>
                </c:pt>
                <c:pt idx="54">
                  <c:v>391.82293375011437</c:v>
                </c:pt>
                <c:pt idx="55">
                  <c:v>356.35657300253291</c:v>
                </c:pt>
                <c:pt idx="56">
                  <c:v>368.77818468132637</c:v>
                </c:pt>
                <c:pt idx="57">
                  <c:v>381.19066877305676</c:v>
                </c:pt>
                <c:pt idx="58">
                  <c:v>393.59436441512338</c:v>
                </c:pt>
                <c:pt idx="59">
                  <c:v>405.98958762292006</c:v>
                </c:pt>
                <c:pt idx="60">
                  <c:v>418.37663353903207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1.717976552924626</c:v>
                </c:pt>
                <c:pt idx="2">
                  <c:v>2.2240299440090214</c:v>
                </c:pt>
                <c:pt idx="3">
                  <c:v>2.8797580405780443</c:v>
                </c:pt>
                <c:pt idx="4">
                  <c:v>3.7296002679201314</c:v>
                </c:pt>
                <c:pt idx="5">
                  <c:v>4.83123780824004</c:v>
                </c:pt>
                <c:pt idx="6">
                  <c:v>6.2595524240560687</c:v>
                </c:pt>
                <c:pt idx="7">
                  <c:v>34.340499100461251</c:v>
                </c:pt>
                <c:pt idx="8">
                  <c:v>69.596399363316891</c:v>
                </c:pt>
                <c:pt idx="9">
                  <c:v>111.06781871657756</c:v>
                </c:pt>
                <c:pt idx="10">
                  <c:v>151.04486212599508</c:v>
                </c:pt>
                <c:pt idx="11">
                  <c:v>197.36812151889237</c:v>
                </c:pt>
                <c:pt idx="12">
                  <c:v>240.1539339323198</c:v>
                </c:pt>
                <c:pt idx="13">
                  <c:v>286.03728369813439</c:v>
                </c:pt>
                <c:pt idx="14">
                  <c:v>325.23346359087509</c:v>
                </c:pt>
                <c:pt idx="15">
                  <c:v>365.40973944635829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5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5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5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5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5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5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5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5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5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5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5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5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5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5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5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5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5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5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82" zoomScale="80" zoomScaleNormal="80" workbookViewId="0">
      <selection activeCell="B98" sqref="B98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1" t="s">
        <v>190</v>
      </c>
      <c r="D1" s="261"/>
      <c r="E1" s="26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7" t="s">
        <v>231</v>
      </c>
      <c r="B5" s="267"/>
      <c r="C5" s="24">
        <v>10.6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18</v>
      </c>
      <c r="C9" s="32">
        <v>0.37735800000000003</v>
      </c>
      <c r="D9" s="33">
        <f t="shared" ref="D9:D18" si="0">C9*$C$5</f>
        <v>3.9999948000000001</v>
      </c>
      <c r="E9" s="34">
        <v>60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27</v>
      </c>
      <c r="C10" s="32">
        <v>0.33962300000000001</v>
      </c>
      <c r="D10" s="33">
        <f t="shared" si="0"/>
        <v>3.6000038000000001</v>
      </c>
      <c r="E10" s="34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112</v>
      </c>
      <c r="C11" s="303">
        <v>0.28301900000000002</v>
      </c>
      <c r="D11" s="33">
        <f t="shared" si="0"/>
        <v>3.0000013999999999</v>
      </c>
      <c r="E11" s="34">
        <v>15</v>
      </c>
      <c r="F11" s="35" t="str">
        <f t="array" ref="F11">IF(E11="","",IF(INDEX(A:A,MAX(IF(ISNUMBER($A$88:$A$107),ROW($A$88:$A$107),"")))&lt;&gt;E11,"Corrigez : révolution incorrecte","OK"))</f>
        <v>OK</v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10.6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Douglas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7" t="s">
        <v>186</v>
      </c>
      <c r="D34" s="257"/>
      <c r="E34" s="258" t="s">
        <v>187</v>
      </c>
      <c r="F34" s="259"/>
      <c r="G34" s="259"/>
      <c r="H34" s="260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15</v>
      </c>
      <c r="B36" s="60">
        <v>183</v>
      </c>
      <c r="C36" s="60">
        <v>1</v>
      </c>
      <c r="D36" s="60">
        <v>28</v>
      </c>
      <c r="E36" s="51">
        <v>0</v>
      </c>
      <c r="F36" s="51">
        <v>0.56000000000000005</v>
      </c>
      <c r="G36" s="51">
        <v>0.44</v>
      </c>
      <c r="H36" s="51"/>
      <c r="I36" s="49">
        <f>IFERROR(B36/A36,"")</f>
        <v>12.2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20</v>
      </c>
      <c r="B37" s="60">
        <v>285</v>
      </c>
      <c r="C37" s="60">
        <v>2</v>
      </c>
      <c r="D37" s="60">
        <v>45</v>
      </c>
      <c r="E37" s="51">
        <v>0.2</v>
      </c>
      <c r="F37" s="51">
        <v>0.45</v>
      </c>
      <c r="G37" s="51">
        <v>0.35</v>
      </c>
      <c r="H37" s="51"/>
      <c r="I37" s="53">
        <f t="shared" ref="I37:I55" si="1">IF(A37&lt;&gt;0,(B37-(B36-D36))/(A37-A36),"")</f>
        <v>26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25</v>
      </c>
      <c r="B38" s="60">
        <v>369</v>
      </c>
      <c r="C38" s="60">
        <v>3</v>
      </c>
      <c r="D38" s="60">
        <v>52</v>
      </c>
      <c r="E38" s="51">
        <v>0.2</v>
      </c>
      <c r="F38" s="51">
        <v>0.45</v>
      </c>
      <c r="G38" s="51">
        <v>0.35</v>
      </c>
      <c r="H38" s="51"/>
      <c r="I38" s="53">
        <f t="shared" si="1"/>
        <v>25.8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30</v>
      </c>
      <c r="B39" s="60">
        <v>440</v>
      </c>
      <c r="C39" s="60">
        <v>4</v>
      </c>
      <c r="D39" s="60">
        <v>55</v>
      </c>
      <c r="E39" s="51">
        <v>0.4</v>
      </c>
      <c r="F39" s="51">
        <v>0.34</v>
      </c>
      <c r="G39" s="51">
        <v>0.26</v>
      </c>
      <c r="H39" s="51"/>
      <c r="I39" s="49">
        <f t="shared" si="1"/>
        <v>24.6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35</v>
      </c>
      <c r="B40" s="60">
        <v>500</v>
      </c>
      <c r="C40" s="60">
        <v>5</v>
      </c>
      <c r="D40" s="60">
        <v>55</v>
      </c>
      <c r="E40" s="51">
        <v>0.4</v>
      </c>
      <c r="F40" s="51">
        <v>0.34</v>
      </c>
      <c r="G40" s="51">
        <v>0.26</v>
      </c>
      <c r="H40" s="51"/>
      <c r="I40" s="49">
        <f t="shared" si="1"/>
        <v>23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40</v>
      </c>
      <c r="B41" s="60">
        <v>554</v>
      </c>
      <c r="C41" s="60">
        <v>6</v>
      </c>
      <c r="D41" s="60">
        <v>55</v>
      </c>
      <c r="E41" s="51">
        <v>0.6</v>
      </c>
      <c r="F41" s="51">
        <v>0.22</v>
      </c>
      <c r="G41" s="51">
        <v>0.18</v>
      </c>
      <c r="H41" s="51"/>
      <c r="I41" s="53">
        <f t="shared" si="1"/>
        <v>21.8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45</v>
      </c>
      <c r="B42" s="60">
        <v>601</v>
      </c>
      <c r="C42" s="60">
        <v>7</v>
      </c>
      <c r="D42" s="60">
        <v>53</v>
      </c>
      <c r="E42" s="51">
        <v>0.6</v>
      </c>
      <c r="F42" s="51">
        <v>0.22</v>
      </c>
      <c r="G42" s="51">
        <v>0.18</v>
      </c>
      <c r="H42" s="51"/>
      <c r="I42" s="53">
        <f t="shared" si="1"/>
        <v>20.399999999999999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50</v>
      </c>
      <c r="B43" s="60">
        <v>645</v>
      </c>
      <c r="C43" s="60">
        <v>8</v>
      </c>
      <c r="D43" s="60">
        <v>51</v>
      </c>
      <c r="E43" s="51">
        <v>0.8</v>
      </c>
      <c r="F43" s="51">
        <v>0.11</v>
      </c>
      <c r="G43" s="51">
        <v>0.09</v>
      </c>
      <c r="H43" s="51"/>
      <c r="I43" s="49">
        <f t="shared" si="1"/>
        <v>19.399999999999999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55</v>
      </c>
      <c r="B44" s="60">
        <v>684</v>
      </c>
      <c r="C44" s="60">
        <v>9</v>
      </c>
      <c r="D44" s="60">
        <v>51</v>
      </c>
      <c r="E44" s="51">
        <v>0.8</v>
      </c>
      <c r="F44" s="51">
        <v>0.11</v>
      </c>
      <c r="G44" s="51">
        <v>0.09</v>
      </c>
      <c r="H44" s="51"/>
      <c r="I44" s="49">
        <f t="shared" si="1"/>
        <v>18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60</v>
      </c>
      <c r="B45" s="60">
        <v>718</v>
      </c>
      <c r="C45" s="60">
        <v>10</v>
      </c>
      <c r="D45" s="60">
        <v>718</v>
      </c>
      <c r="E45" s="51">
        <v>0.8</v>
      </c>
      <c r="F45" s="51">
        <v>0.11</v>
      </c>
      <c r="G45" s="51">
        <v>0.09</v>
      </c>
      <c r="H45" s="51"/>
      <c r="I45" s="49">
        <f t="shared" si="1"/>
        <v>17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Mélèze d'Europe</v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7" t="s">
        <v>186</v>
      </c>
      <c r="D60" s="257"/>
      <c r="E60" s="258" t="s">
        <v>187</v>
      </c>
      <c r="F60" s="259"/>
      <c r="G60" s="259"/>
      <c r="H60" s="260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12</v>
      </c>
      <c r="B62" s="60">
        <v>79</v>
      </c>
      <c r="C62" s="60">
        <v>1</v>
      </c>
      <c r="D62" s="60">
        <v>14</v>
      </c>
      <c r="E62" s="51">
        <v>0</v>
      </c>
      <c r="F62" s="51">
        <v>0.56000000000000005</v>
      </c>
      <c r="G62" s="51">
        <v>0.44</v>
      </c>
      <c r="H62" s="51"/>
      <c r="I62" s="53">
        <f>IFERROR(B62/A62,"")</f>
        <v>6.583333333333333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18</v>
      </c>
      <c r="B63" s="60">
        <v>172</v>
      </c>
      <c r="C63" s="60">
        <v>2</v>
      </c>
      <c r="D63" s="60">
        <v>65</v>
      </c>
      <c r="E63" s="51">
        <v>0.2</v>
      </c>
      <c r="F63" s="51">
        <v>0.45</v>
      </c>
      <c r="G63" s="51">
        <v>0.35</v>
      </c>
      <c r="H63" s="51"/>
      <c r="I63" s="49">
        <f>IF(A63&lt;&gt;0,(B63-(B62-D62))/(A63-A62),"")</f>
        <v>17.833333333333332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24</v>
      </c>
      <c r="B64" s="60">
        <v>195</v>
      </c>
      <c r="C64" s="60">
        <v>3</v>
      </c>
      <c r="D64" s="60">
        <v>57</v>
      </c>
      <c r="E64" s="51">
        <v>0.2</v>
      </c>
      <c r="F64" s="51">
        <v>0.45</v>
      </c>
      <c r="G64" s="51">
        <v>0.35</v>
      </c>
      <c r="H64" s="51"/>
      <c r="I64" s="49">
        <f>IF(A64&lt;&gt;0,(B64-(B63-D63))/(A64-A63),"")</f>
        <v>14.666666666666666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30</v>
      </c>
      <c r="B65" s="60">
        <v>215</v>
      </c>
      <c r="C65" s="60">
        <v>4</v>
      </c>
      <c r="D65" s="60">
        <v>48</v>
      </c>
      <c r="E65" s="51">
        <v>0.4</v>
      </c>
      <c r="F65" s="51">
        <v>0.34</v>
      </c>
      <c r="G65" s="51">
        <v>0.26</v>
      </c>
      <c r="H65" s="51"/>
      <c r="I65" s="49">
        <f>IF(A65&lt;&gt;0,(B65-(B64-D64))/(A65-A64),"")</f>
        <v>12.833333333333334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36</v>
      </c>
      <c r="B66" s="60">
        <v>235</v>
      </c>
      <c r="C66" s="60">
        <v>5</v>
      </c>
      <c r="D66" s="60">
        <v>45</v>
      </c>
      <c r="E66" s="51">
        <v>0.4</v>
      </c>
      <c r="F66" s="51">
        <v>0.34</v>
      </c>
      <c r="G66" s="51">
        <v>0.26</v>
      </c>
      <c r="H66" s="51"/>
      <c r="I66" s="49">
        <f t="shared" ref="I66:I81" si="2">IF(A66&lt;&gt;0,(B66-(B65-D65))/(A66-A65),"")</f>
        <v>11.333333333333334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42</v>
      </c>
      <c r="B67" s="60">
        <v>254</v>
      </c>
      <c r="C67" s="60">
        <v>6</v>
      </c>
      <c r="D67" s="60">
        <v>42</v>
      </c>
      <c r="E67" s="51">
        <v>0.6</v>
      </c>
      <c r="F67" s="51">
        <v>0.22</v>
      </c>
      <c r="G67" s="51">
        <v>0.18</v>
      </c>
      <c r="H67" s="51"/>
      <c r="I67" s="49">
        <f t="shared" si="2"/>
        <v>10.666666666666666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48</v>
      </c>
      <c r="B68" s="60">
        <v>272</v>
      </c>
      <c r="C68" s="60">
        <v>7</v>
      </c>
      <c r="D68" s="60">
        <v>37</v>
      </c>
      <c r="E68" s="51">
        <v>0.8</v>
      </c>
      <c r="F68" s="51">
        <v>0.11</v>
      </c>
      <c r="G68" s="51">
        <v>0.09</v>
      </c>
      <c r="H68" s="51"/>
      <c r="I68" s="49">
        <f t="shared" si="2"/>
        <v>10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54</v>
      </c>
      <c r="B69" s="50">
        <v>288</v>
      </c>
      <c r="C69" s="50">
        <v>8</v>
      </c>
      <c r="D69" s="50">
        <v>36</v>
      </c>
      <c r="E69" s="51">
        <v>0.8</v>
      </c>
      <c r="F69" s="51">
        <v>0.11</v>
      </c>
      <c r="G69" s="51">
        <v>0.09</v>
      </c>
      <c r="H69" s="51"/>
      <c r="I69" s="49">
        <f t="shared" si="2"/>
        <v>8.8333333333333339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60</v>
      </c>
      <c r="B70" s="50">
        <v>308</v>
      </c>
      <c r="C70" s="50">
        <v>9</v>
      </c>
      <c r="D70" s="50">
        <v>308</v>
      </c>
      <c r="E70" s="51">
        <v>0.8</v>
      </c>
      <c r="F70" s="51">
        <v>0.11</v>
      </c>
      <c r="G70" s="51">
        <v>0.09</v>
      </c>
      <c r="H70" s="51"/>
      <c r="I70" s="49">
        <f t="shared" si="2"/>
        <v>9.3333333333333339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Peuplier Koster</v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7" t="s">
        <v>186</v>
      </c>
      <c r="D86" s="257"/>
      <c r="E86" s="258" t="s">
        <v>187</v>
      </c>
      <c r="F86" s="259"/>
      <c r="G86" s="259"/>
      <c r="H86" s="26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6</v>
      </c>
      <c r="B88" s="60">
        <v>5</v>
      </c>
      <c r="C88" s="60">
        <v>0</v>
      </c>
      <c r="D88" s="60">
        <v>0</v>
      </c>
      <c r="E88" s="51">
        <v>0.47</v>
      </c>
      <c r="F88" s="51">
        <v>0.21</v>
      </c>
      <c r="G88" s="51"/>
      <c r="H88" s="87">
        <v>0.31</v>
      </c>
      <c r="I88" s="53">
        <f>IFERROR(B88/A88,"")</f>
        <v>0.83333333333333337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7</v>
      </c>
      <c r="B89" s="60">
        <v>29</v>
      </c>
      <c r="C89" s="60">
        <v>0</v>
      </c>
      <c r="D89" s="60">
        <v>0</v>
      </c>
      <c r="E89" s="51">
        <v>0.47</v>
      </c>
      <c r="F89" s="51">
        <v>0.21</v>
      </c>
      <c r="G89" s="51"/>
      <c r="H89" s="87">
        <v>0.31</v>
      </c>
      <c r="I89" s="53">
        <f t="shared" ref="I89:I107" si="3">IF(A89&lt;&gt;0,(B89-(B88-D88))/(A89-A88),"")</f>
        <v>24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8</v>
      </c>
      <c r="B90" s="60">
        <v>60</v>
      </c>
      <c r="C90" s="60">
        <v>0</v>
      </c>
      <c r="D90" s="60">
        <v>0</v>
      </c>
      <c r="E90" s="87">
        <v>0.47</v>
      </c>
      <c r="F90" s="87">
        <v>0.21</v>
      </c>
      <c r="G90" s="87"/>
      <c r="H90" s="87">
        <v>0.31</v>
      </c>
      <c r="I90" s="53">
        <f t="shared" si="3"/>
        <v>31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9</v>
      </c>
      <c r="B91" s="60">
        <v>97</v>
      </c>
      <c r="C91" s="60">
        <v>0</v>
      </c>
      <c r="D91" s="60">
        <v>0</v>
      </c>
      <c r="E91" s="87">
        <v>0.47</v>
      </c>
      <c r="F91" s="87">
        <v>0.21</v>
      </c>
      <c r="G91" s="87"/>
      <c r="H91" s="87">
        <v>0.31</v>
      </c>
      <c r="I91" s="53">
        <f t="shared" si="3"/>
        <v>37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10</v>
      </c>
      <c r="B92" s="60">
        <v>133</v>
      </c>
      <c r="C92" s="60">
        <v>0</v>
      </c>
      <c r="D92" s="60">
        <v>0</v>
      </c>
      <c r="E92" s="87">
        <v>0.47</v>
      </c>
      <c r="F92" s="87">
        <v>0.21</v>
      </c>
      <c r="G92" s="87"/>
      <c r="H92" s="87">
        <v>0.31</v>
      </c>
      <c r="I92" s="53">
        <f t="shared" si="3"/>
        <v>36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11</v>
      </c>
      <c r="B93" s="60">
        <v>175</v>
      </c>
      <c r="C93" s="60">
        <v>0</v>
      </c>
      <c r="D93" s="60">
        <v>0</v>
      </c>
      <c r="E93" s="87">
        <v>0.47</v>
      </c>
      <c r="F93" s="87">
        <v>0.21</v>
      </c>
      <c r="G93" s="87"/>
      <c r="H93" s="87">
        <v>0.31</v>
      </c>
      <c r="I93" s="53">
        <f t="shared" si="3"/>
        <v>42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12</v>
      </c>
      <c r="B94" s="60">
        <v>214</v>
      </c>
      <c r="C94" s="60">
        <v>0</v>
      </c>
      <c r="D94" s="60">
        <v>0</v>
      </c>
      <c r="E94" s="87">
        <v>0.47</v>
      </c>
      <c r="F94" s="87">
        <v>0.21</v>
      </c>
      <c r="G94" s="87"/>
      <c r="H94" s="87">
        <v>0.31</v>
      </c>
      <c r="I94" s="53">
        <f t="shared" si="3"/>
        <v>39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13</v>
      </c>
      <c r="B95" s="60">
        <v>256</v>
      </c>
      <c r="C95" s="60">
        <v>0</v>
      </c>
      <c r="D95" s="60">
        <v>0</v>
      </c>
      <c r="E95" s="87">
        <v>0.47</v>
      </c>
      <c r="F95" s="87">
        <v>0.21</v>
      </c>
      <c r="G95" s="87"/>
      <c r="H95" s="87">
        <v>0.31</v>
      </c>
      <c r="I95" s="53">
        <f t="shared" si="3"/>
        <v>42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14</v>
      </c>
      <c r="B96" s="60">
        <v>292</v>
      </c>
      <c r="C96" s="60">
        <v>0</v>
      </c>
      <c r="D96" s="60">
        <v>0</v>
      </c>
      <c r="E96" s="87">
        <v>0.47</v>
      </c>
      <c r="F96" s="87">
        <v>0.21</v>
      </c>
      <c r="G96" s="87"/>
      <c r="H96" s="87">
        <v>0.31</v>
      </c>
      <c r="I96" s="53">
        <f t="shared" si="3"/>
        <v>36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15</v>
      </c>
      <c r="B97" s="60">
        <v>329</v>
      </c>
      <c r="C97" s="60">
        <v>1</v>
      </c>
      <c r="D97" s="60">
        <v>329</v>
      </c>
      <c r="E97" s="87">
        <v>0.47</v>
      </c>
      <c r="F97" s="87">
        <v>0.21</v>
      </c>
      <c r="G97" s="87"/>
      <c r="H97" s="87">
        <v>0.31</v>
      </c>
      <c r="I97" s="53">
        <f t="shared" si="3"/>
        <v>37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7" t="s">
        <v>186</v>
      </c>
      <c r="D112" s="257"/>
      <c r="E112" s="258" t="s">
        <v>187</v>
      </c>
      <c r="F112" s="259"/>
      <c r="G112" s="259"/>
      <c r="H112" s="26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7" t="s">
        <v>186</v>
      </c>
      <c r="D138" s="257"/>
      <c r="E138" s="258" t="s">
        <v>187</v>
      </c>
      <c r="F138" s="259"/>
      <c r="G138" s="259"/>
      <c r="H138" s="26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7" t="s">
        <v>186</v>
      </c>
      <c r="D164" s="257"/>
      <c r="E164" s="258" t="s">
        <v>187</v>
      </c>
      <c r="F164" s="259"/>
      <c r="G164" s="259"/>
      <c r="H164" s="26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7" t="s">
        <v>186</v>
      </c>
      <c r="D190" s="257"/>
      <c r="E190" s="258" t="s">
        <v>187</v>
      </c>
      <c r="F190" s="259"/>
      <c r="G190" s="259"/>
      <c r="H190" s="26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7" t="s">
        <v>186</v>
      </c>
      <c r="D216" s="257"/>
      <c r="E216" s="258" t="s">
        <v>187</v>
      </c>
      <c r="F216" s="259"/>
      <c r="G216" s="259"/>
      <c r="H216" s="26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7" t="s">
        <v>186</v>
      </c>
      <c r="D242" s="257"/>
      <c r="E242" s="258" t="s">
        <v>187</v>
      </c>
      <c r="F242" s="259"/>
      <c r="G242" s="259"/>
      <c r="H242" s="26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7" t="s">
        <v>186</v>
      </c>
      <c r="D268" s="257"/>
      <c r="E268" s="258" t="s">
        <v>187</v>
      </c>
      <c r="F268" s="259"/>
      <c r="G268" s="259"/>
      <c r="H268" s="26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D1"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42578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42578125" style="4" customWidth="1"/>
    <col min="6" max="7" width="11.42578125" style="4"/>
    <col min="8" max="8" width="10.7109375" style="4" customWidth="1"/>
    <col min="9" max="9" width="9.42578125" style="4" customWidth="1"/>
    <col min="10" max="11" width="10.42578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42578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42578125" style="4" bestFit="1" customWidth="1"/>
    <col min="36" max="36" width="9.42578125" style="4" bestFit="1" customWidth="1"/>
    <col min="37" max="38" width="10.42578125" style="4" bestFit="1" customWidth="1"/>
    <col min="39" max="41" width="10.42578125" style="4" customWidth="1"/>
    <col min="42" max="42" width="9" style="4" bestFit="1" customWidth="1"/>
    <col min="43" max="43" width="10.42578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42578125" style="4" bestFit="1" customWidth="1"/>
    <col min="54" max="54" width="14.28515625" style="4" customWidth="1"/>
    <col min="55" max="55" width="14" style="4" customWidth="1"/>
    <col min="56" max="56" width="10.42578125" style="4" bestFit="1" customWidth="1"/>
    <col min="57" max="57" width="9.42578125" style="4" bestFit="1" customWidth="1"/>
    <col min="58" max="59" width="10.42578125" style="4" bestFit="1" customWidth="1"/>
    <col min="60" max="62" width="10.42578125" style="4" customWidth="1"/>
    <col min="63" max="63" width="9" style="4" bestFit="1" customWidth="1"/>
    <col min="64" max="64" width="10.42578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42578125" style="4" bestFit="1" customWidth="1"/>
    <col min="75" max="75" width="14" style="4" bestFit="1" customWidth="1"/>
    <col min="76" max="76" width="13.85546875" style="4" customWidth="1"/>
    <col min="77" max="77" width="10.42578125" style="4" bestFit="1" customWidth="1"/>
    <col min="78" max="78" width="9.42578125" style="4" bestFit="1" customWidth="1"/>
    <col min="79" max="80" width="10.42578125" style="4" bestFit="1" customWidth="1"/>
    <col min="81" max="83" width="10.42578125" style="4" customWidth="1"/>
    <col min="84" max="84" width="11.42578125" style="4"/>
    <col min="85" max="85" width="10.42578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42578125" style="4" bestFit="1" customWidth="1"/>
    <col min="99" max="99" width="9.42578125" style="4" bestFit="1" customWidth="1"/>
    <col min="100" max="101" width="10.42578125" style="4" bestFit="1" customWidth="1"/>
    <col min="102" max="104" width="10.42578125" style="4" customWidth="1"/>
    <col min="105" max="105" width="9" style="4" bestFit="1" customWidth="1"/>
    <col min="106" max="106" width="10.42578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42578125" style="4" bestFit="1" customWidth="1"/>
    <col min="117" max="117" width="14.28515625" style="4" customWidth="1"/>
    <col min="118" max="118" width="14" style="4" bestFit="1" customWidth="1"/>
    <col min="119" max="119" width="10.42578125" style="4" bestFit="1" customWidth="1"/>
    <col min="120" max="120" width="9.42578125" style="4" bestFit="1" customWidth="1"/>
    <col min="121" max="122" width="10.42578125" style="4" bestFit="1" customWidth="1"/>
    <col min="123" max="125" width="10.42578125" style="4" customWidth="1"/>
    <col min="126" max="126" width="9" style="4" bestFit="1" customWidth="1"/>
    <col min="127" max="127" width="10.42578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42578125" style="4" bestFit="1" customWidth="1"/>
    <col min="138" max="139" width="14" style="4" customWidth="1"/>
    <col min="140" max="140" width="10.42578125" style="4" bestFit="1" customWidth="1"/>
    <col min="141" max="141" width="9.42578125" style="4" bestFit="1" customWidth="1"/>
    <col min="142" max="143" width="10.42578125" style="4" bestFit="1" customWidth="1"/>
    <col min="144" max="146" width="10.42578125" style="4" customWidth="1"/>
    <col min="147" max="147" width="9" style="4" bestFit="1" customWidth="1"/>
    <col min="148" max="148" width="10.42578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42578125" style="4" bestFit="1" customWidth="1"/>
    <col min="162" max="162" width="9.42578125" style="4" bestFit="1" customWidth="1"/>
    <col min="163" max="164" width="10.42578125" style="4" bestFit="1" customWidth="1"/>
    <col min="165" max="167" width="10.42578125" style="4" customWidth="1"/>
    <col min="168" max="168" width="9" style="4" bestFit="1" customWidth="1"/>
    <col min="169" max="169" width="10.42578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42578125" style="4" bestFit="1" customWidth="1"/>
    <col min="180" max="181" width="14" style="4" bestFit="1" customWidth="1"/>
    <col min="182" max="182" width="10.42578125" style="4" bestFit="1" customWidth="1"/>
    <col min="183" max="183" width="9.42578125" style="4" bestFit="1" customWidth="1"/>
    <col min="184" max="185" width="10.42578125" style="4" bestFit="1" customWidth="1"/>
    <col min="186" max="188" width="10.42578125" style="4" customWidth="1"/>
    <col min="189" max="189" width="9" style="4" bestFit="1" customWidth="1"/>
    <col min="190" max="190" width="10.42578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42578125" style="4" bestFit="1" customWidth="1"/>
    <col min="201" max="201" width="14" style="4" customWidth="1"/>
    <col min="202" max="202" width="14.28515625" style="4" customWidth="1"/>
    <col min="203" max="203" width="10.42578125" style="4" bestFit="1" customWidth="1"/>
    <col min="204" max="204" width="9.42578125" style="4" bestFit="1" customWidth="1"/>
    <col min="205" max="206" width="10.42578125" style="4" bestFit="1" customWidth="1"/>
    <col min="207" max="209" width="10.42578125" style="4" customWidth="1"/>
    <col min="210" max="210" width="9" style="4" bestFit="1" customWidth="1"/>
    <col min="211" max="211" width="10.42578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Douglas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>Mélèze d'Europe</v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>Peuplier Koster</v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/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/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/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/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410.32666742287449</v>
      </c>
      <c r="T3" s="59">
        <f>IF('Données projet'!E9&gt;30,$R$33-$H$33,LOOKUP('Données projet'!$E$9,$A$3:$A$203,R3:R203)-LOOKUP('Données projet'!$E$9,$A$3:$A$203,$H$3:$H$203))</f>
        <v>494.36941732405256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197.20006068829753</v>
      </c>
      <c r="AO3" s="59">
        <f>IF('Données projet'!E10&gt;30,$AM$33-$H$33,LOOKUP('Données projet'!$E$10,$A$3:$A$203,AM3:AM203)-LOOKUP('Données projet'!$E$10,$A$3:$A$203,$H$3:$H$203))</f>
        <v>256.52014906581638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102.76553481871144</v>
      </c>
      <c r="BJ3" s="59">
        <f>IF('Données projet'!E11&gt;30,$BH$33-$H$33,LOOKUP('Données projet'!$E$11,$A$3:$A$203,BH3:BH203)-LOOKUP('Données projet'!$E$11,$A$3:$A$203,$H$3:$H$203))</f>
        <v>345.99919346320343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12.2</v>
      </c>
      <c r="N4" s="13">
        <f>IF('Données projet'!$A$36&gt;35,N3+M4-V3,IF(A4&lt;'Données projet'!$A$36,$K$205^A4,IF(A4='Données projet'!$A$36,'Données projet'!$B$36,N3+M4-V3)))</f>
        <v>1.4152399275904428</v>
      </c>
      <c r="O4" s="13">
        <f>N4*VLOOKUP('Données projet'!$B$9,Paramètres!$A$1:$I$89,3,0)*VLOOKUP('Données projet'!$B$9,Paramètres!$A$1:$I$89,5,0)</f>
        <v>0.79111911952305758</v>
      </c>
      <c r="P4" s="13">
        <f>EXP(-1.0587+0.8836*LN(O4)+0.284)</f>
        <v>0.37466108847523988</v>
      </c>
      <c r="Q4" s="20">
        <f t="shared" ref="Q4:Q34" si="2">(O4+P4)*0.475*44/12</f>
        <v>2.0304005289303682</v>
      </c>
      <c r="R4" s="59">
        <f t="shared" si="0"/>
        <v>295.3637338622637</v>
      </c>
      <c r="S4" s="59">
        <f ca="1">AVERAGE(OFFSET($R$3,0,0,'Données projet'!$E$9+1,1))-AVERAGE(OFFSET($H$3,0,0,'Données projet'!$E$9+1,1))</f>
        <v>410.32666742287449</v>
      </c>
      <c r="T4" s="59">
        <f>$T$3</f>
        <v>494.36941732405256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6.583333333333333</v>
      </c>
      <c r="AI4" s="13">
        <f>IF('Données projet'!$A$62&gt;35,AI3+AH4-AQ3,IF(A4&lt;'Données projet'!$A$62,$AF$205^A4,IF(A4='Données projet'!$A$62,'Données projet'!$B$62,AI3+AH4-AQ3)))</f>
        <v>1.4392478552290457</v>
      </c>
      <c r="AJ4" s="13">
        <f>AI4*VLOOKUP('Données projet'!$B$10,Paramètres!$A$1:$I$89,3,0)*VLOOKUP('Données projet'!$B$10,Paramètres!$A$1:$I$89,5,0)</f>
        <v>0.89809066166292451</v>
      </c>
      <c r="AK4" s="13">
        <f>EXP(-1.0587+0.8836*LN(AJ4)+0.284)</f>
        <v>0.41908853158476056</v>
      </c>
      <c r="AL4" s="20">
        <f t="shared" ref="AL4:AL67" si="4">(AJ4+AK4)*0.475*44/12</f>
        <v>2.2940870949063847</v>
      </c>
      <c r="AM4" s="59">
        <f t="shared" ref="AM4:AM67" si="5">AL4+(AD4+AE4)*44/12</f>
        <v>295.6274204282397</v>
      </c>
      <c r="AN4" s="59">
        <f ca="1">AVERAGE(OFFSET($AM$3,0,0,'Données projet'!$E$10+1,1))-AVERAGE(OFFSET($H$3,0,0,'Données projet'!$E$10+1,1))</f>
        <v>197.20006068829753</v>
      </c>
      <c r="AO4" s="59">
        <f>$AO$3</f>
        <v>256.52014906581638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0.83333333333333337</v>
      </c>
      <c r="BD4" s="12">
        <f>IF('Données projet'!$A$88&gt;35,BD3+BC4-BL3,IF(A4&lt;'Données projet'!$A$88,$BA$205^A4,IF(A4='Données projet'!$A$88,'Données projet'!$B$88,BD3+BC4-BL3)))</f>
        <v>1.3076604860118306</v>
      </c>
      <c r="BE4" s="13">
        <f>BD4*VLOOKUP('Données projet'!$B$11,Paramètres!$A$1:$I$89,3,0)*VLOOKUP('Données projet'!$B$11,Paramètres!$A$1:$I$89,5,0)</f>
        <v>0.66502381676617661</v>
      </c>
      <c r="BF4" s="13">
        <f>EXP(-1.0587+0.8836*LN(BE4)+0.284)</f>
        <v>0.32137420405179057</v>
      </c>
      <c r="BG4" s="20">
        <f t="shared" ref="BG4:BG67" si="7">(BE4+BF4)*0.475*44/12</f>
        <v>1.717976552924626</v>
      </c>
      <c r="BH4" s="59">
        <f t="shared" ref="BH4:BH67" si="8">BG4+(AY4+AZ4)*44/12</f>
        <v>295.05130988625797</v>
      </c>
      <c r="BI4" s="59">
        <f ca="1">AVERAGE(OFFSET($BH$3,0,0,'Données projet'!$E$11+1,1))-AVERAGE(OFFSET($H$3,0,0,'Données projet'!$E$11+1,1))</f>
        <v>102.76553481871144</v>
      </c>
      <c r="BJ4" s="59">
        <f>$BJ$3</f>
        <v>345.99919346320343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12.2</v>
      </c>
      <c r="N5" s="13">
        <f>IF('Données projet'!$A$36&gt;35,N4+M5-V4,IF(A5&lt;'Données projet'!$A$36,$K$205^A5,IF(A5='Données projet'!$A$36,'Données projet'!$B$36,N4+M5-V4)))</f>
        <v>2.0029040526462016</v>
      </c>
      <c r="O5" s="13">
        <f>N5*VLOOKUP('Données projet'!$B$9,Paramètres!$A$1:$I$89,3,0)*VLOOKUP('Données projet'!$B$9,Paramètres!$A$1:$I$89,5,0)</f>
        <v>1.1196233654292267</v>
      </c>
      <c r="P5" s="13">
        <f t="shared" ref="P5:P68" si="33">EXP(-1.0587+0.8836*LN(O5)+0.284)</f>
        <v>0.50922772714816966</v>
      </c>
      <c r="Q5" s="20">
        <f t="shared" si="2"/>
        <v>2.8369156529056316</v>
      </c>
      <c r="R5" s="59">
        <f t="shared" si="0"/>
        <v>296.17024898623896</v>
      </c>
      <c r="S5" s="59">
        <f ca="1">AVERAGE(OFFSET($R$3,0,0,'Données projet'!$E$9+1,1))-AVERAGE(OFFSET($H$3,0,0,'Données projet'!$E$9+1,1))</f>
        <v>410.32666742287449</v>
      </c>
      <c r="T5" s="59">
        <f t="shared" ref="T5:T68" si="34">$T$3</f>
        <v>494.36941732405256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6.583333333333333</v>
      </c>
      <c r="AI5" s="13">
        <f>IF('Données projet'!$A$62&gt;35,AI4+AH5-AQ4,IF(A5&lt;'Données projet'!$A$62,$AF$205^A5,IF(A5='Données projet'!$A$62,'Données projet'!$B$62,AI4+AH5-AQ4)))</f>
        <v>2.0714343887814084</v>
      </c>
      <c r="AJ5" s="13">
        <f>AI5*VLOOKUP('Données projet'!$B$10,Paramètres!$A$1:$I$89,3,0)*VLOOKUP('Données projet'!$B$10,Paramètres!$A$1:$I$89,5,0)</f>
        <v>1.2925750585995988</v>
      </c>
      <c r="AK5" s="13">
        <f t="shared" ref="AK5:AK68" si="35">EXP(-1.0587+0.8836*LN(AJ5)+0.284)</f>
        <v>0.57814181911768059</v>
      </c>
      <c r="AL5" s="20">
        <f t="shared" si="4"/>
        <v>3.258165228690928</v>
      </c>
      <c r="AM5" s="59">
        <f t="shared" si="5"/>
        <v>296.59149856202424</v>
      </c>
      <c r="AN5" s="59">
        <f ca="1">AVERAGE(OFFSET($AM$3,0,0,'Données projet'!$E$10+1,1))-AVERAGE(OFFSET($H$3,0,0,'Données projet'!$E$10+1,1))</f>
        <v>197.20006068829753</v>
      </c>
      <c r="AO5" s="59">
        <f t="shared" ref="AO5:AO68" si="36">$AO$3</f>
        <v>256.52014906581638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0.83333333333333337</v>
      </c>
      <c r="BD5" s="12">
        <f>IF('Données projet'!$A$88&gt;35,BD4+BC5-BL4,IF(A5&lt;'Données projet'!$A$88,$BA$205^A5,IF(A5='Données projet'!$A$88,'Données projet'!$B$88,BD4+BC5-BL4)))</f>
        <v>1.7099759466766971</v>
      </c>
      <c r="BE5" s="13">
        <f>BD5*VLOOKUP('Données projet'!$B$11,Paramètres!$A$1:$I$89,3,0)*VLOOKUP('Données projet'!$B$11,Paramètres!$A$1:$I$89,5,0)</f>
        <v>0.86962536744190111</v>
      </c>
      <c r="BF5" s="13">
        <f t="shared" ref="BF5:BF68" si="37">EXP(-1.0587+0.8836*LN(BE5)+0.284)</f>
        <v>0.4073296243336133</v>
      </c>
      <c r="BG5" s="20">
        <f t="shared" si="7"/>
        <v>2.2240299440090214</v>
      </c>
      <c r="BH5" s="59">
        <f t="shared" si="8"/>
        <v>295.55736327734235</v>
      </c>
      <c r="BI5" s="59">
        <f ca="1">AVERAGE(OFFSET($BH$3,0,0,'Données projet'!$E$11+1,1))-AVERAGE(OFFSET($H$3,0,0,'Données projet'!$E$11+1,1))</f>
        <v>102.76553481871144</v>
      </c>
      <c r="BJ5" s="59">
        <f t="shared" ref="BJ5:BJ68" si="38">$BJ$3</f>
        <v>345.99919346320343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12.2</v>
      </c>
      <c r="N6" s="13">
        <f>IF('Données projet'!$A$36&gt;35,N5+M6-V5,IF(A6&lt;'Données projet'!$A$36,$K$205^A6,IF(A6='Données projet'!$A$36,'Données projet'!$B$36,N5+M6-V5)))</f>
        <v>2.8345897864376148</v>
      </c>
      <c r="O6" s="13">
        <f>N6*VLOOKUP('Données projet'!$B$9,Paramètres!$A$1:$I$89,3,0)*VLOOKUP('Données projet'!$B$9,Paramètres!$A$1:$I$89,5,0)</f>
        <v>1.5845356906186268</v>
      </c>
      <c r="P6" s="13">
        <f t="shared" si="33"/>
        <v>0.69212652734186442</v>
      </c>
      <c r="Q6" s="20">
        <f t="shared" si="2"/>
        <v>3.9651866962811888</v>
      </c>
      <c r="R6" s="59">
        <f t="shared" si="0"/>
        <v>297.29852002961451</v>
      </c>
      <c r="S6" s="59">
        <f ca="1">AVERAGE(OFFSET($R$3,0,0,'Données projet'!$E$9+1,1))-AVERAGE(OFFSET($H$3,0,0,'Données projet'!$E$9+1,1))</f>
        <v>410.32666742287449</v>
      </c>
      <c r="T6" s="59">
        <f t="shared" si="34"/>
        <v>494.36941732405256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6.583333333333333</v>
      </c>
      <c r="AI6" s="13">
        <f>IF('Données projet'!$A$62&gt;35,AI5+AH6-AQ5,IF(A6&lt;'Données projet'!$A$62,$AF$205^A6,IF(A6='Données projet'!$A$62,'Données projet'!$B$62,AI5+AH6-AQ5)))</f>
        <v>2.9813075013013313</v>
      </c>
      <c r="AJ6" s="13">
        <f>AI6*VLOOKUP('Données projet'!$B$10,Paramètres!$A$1:$I$89,3,0)*VLOOKUP('Données projet'!$B$10,Paramètres!$A$1:$I$89,5,0)</f>
        <v>1.8603358808120307</v>
      </c>
      <c r="AK6" s="13">
        <f t="shared" si="35"/>
        <v>0.79755931699863136</v>
      </c>
      <c r="AL6" s="20">
        <f t="shared" si="4"/>
        <v>4.6291674695202367</v>
      </c>
      <c r="AM6" s="59">
        <f t="shared" si="5"/>
        <v>297.96250080285353</v>
      </c>
      <c r="AN6" s="59">
        <f ca="1">AVERAGE(OFFSET($AM$3,0,0,'Données projet'!$E$10+1,1))-AVERAGE(OFFSET($H$3,0,0,'Données projet'!$E$10+1,1))</f>
        <v>197.20006068829753</v>
      </c>
      <c r="AO6" s="59">
        <f t="shared" si="36"/>
        <v>256.52014906581638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0.83333333333333337</v>
      </c>
      <c r="BD6" s="12">
        <f>IF('Données projet'!$A$88&gt;35,BD5+BC6-BL5,IF(A6&lt;'Données projet'!$A$88,$BA$205^A6,IF(A6='Données projet'!$A$88,'Données projet'!$B$88,BD5+BC6-BL5)))</f>
        <v>2.2360679774997898</v>
      </c>
      <c r="BE6" s="13">
        <f>BD6*VLOOKUP('Données projet'!$B$11,Paramètres!$A$1:$I$89,3,0)*VLOOKUP('Données projet'!$B$11,Paramètres!$A$1:$I$89,5,0)</f>
        <v>1.137174730637293</v>
      </c>
      <c r="BF6" s="13">
        <f t="shared" si="37"/>
        <v>0.51627486203909612</v>
      </c>
      <c r="BG6" s="20">
        <f t="shared" si="7"/>
        <v>2.8797580405780443</v>
      </c>
      <c r="BH6" s="59">
        <f t="shared" si="8"/>
        <v>296.21309137391137</v>
      </c>
      <c r="BI6" s="59">
        <f ca="1">AVERAGE(OFFSET($BH$3,0,0,'Données projet'!$E$11+1,1))-AVERAGE(OFFSET($H$3,0,0,'Données projet'!$E$11+1,1))</f>
        <v>102.76553481871144</v>
      </c>
      <c r="BJ6" s="59">
        <f t="shared" si="38"/>
        <v>345.99919346320343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12.2</v>
      </c>
      <c r="N7" s="13">
        <f>IF('Données projet'!$A$36&gt;35,N6+M7-V6,IF(A7&lt;'Données projet'!$A$36,$K$205^A7,IF(A7='Données projet'!$A$36,'Données projet'!$B$36,N6+M7-V6)))</f>
        <v>4.0116246441065782</v>
      </c>
      <c r="O7" s="13">
        <f>N7*VLOOKUP('Données projet'!$B$9,Paramètres!$A$1:$I$89,3,0)*VLOOKUP('Données projet'!$B$9,Paramètres!$A$1:$I$89,5,0)</f>
        <v>2.2424981760555771</v>
      </c>
      <c r="P7" s="13">
        <f t="shared" si="33"/>
        <v>0.94071690191159363</v>
      </c>
      <c r="Q7" s="20">
        <f t="shared" si="2"/>
        <v>5.5440995941261555</v>
      </c>
      <c r="R7" s="59">
        <f t="shared" si="0"/>
        <v>298.87743292745949</v>
      </c>
      <c r="S7" s="59">
        <f ca="1">AVERAGE(OFFSET($R$3,0,0,'Données projet'!$E$9+1,1))-AVERAGE(OFFSET($H$3,0,0,'Données projet'!$E$9+1,1))</f>
        <v>410.32666742287449</v>
      </c>
      <c r="T7" s="59">
        <f t="shared" si="34"/>
        <v>494.36941732405256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6.583333333333333</v>
      </c>
      <c r="AI7" s="13">
        <f>IF('Données projet'!$A$62&gt;35,AI6+AH7-AQ6,IF(A7&lt;'Données projet'!$A$62,$AF$205^A7,IF(A7='Données projet'!$A$62,'Données projet'!$B$62,AI6+AH7-AQ6)))</f>
        <v>4.2908404270262066</v>
      </c>
      <c r="AJ7" s="13">
        <f>AI7*VLOOKUP('Données projet'!$B$10,Paramètres!$A$1:$I$89,3,0)*VLOOKUP('Données projet'!$B$10,Paramètres!$A$1:$I$89,5,0)</f>
        <v>2.6774844264643529</v>
      </c>
      <c r="AK7" s="13">
        <f t="shared" si="35"/>
        <v>1.1002505667244338</v>
      </c>
      <c r="AL7" s="20">
        <f t="shared" si="4"/>
        <v>6.579555113137137</v>
      </c>
      <c r="AM7" s="59">
        <f t="shared" si="5"/>
        <v>299.91288844647045</v>
      </c>
      <c r="AN7" s="59">
        <f ca="1">AVERAGE(OFFSET($AM$3,0,0,'Données projet'!$E$10+1,1))-AVERAGE(OFFSET($H$3,0,0,'Données projet'!$E$10+1,1))</f>
        <v>197.20006068829753</v>
      </c>
      <c r="AO7" s="59">
        <f t="shared" si="36"/>
        <v>256.52014906581638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0.83333333333333337</v>
      </c>
      <c r="BD7" s="12">
        <f>IF('Données projet'!$A$88&gt;35,BD6+BC7-BL6,IF(A7&lt;'Données projet'!$A$88,$BA$205^A7,IF(A7='Données projet'!$A$88,'Données projet'!$B$88,BD6+BC7-BL6)))</f>
        <v>2.9240177382128665</v>
      </c>
      <c r="BE7" s="13">
        <f>BD7*VLOOKUP('Données projet'!$B$11,Paramètres!$A$1:$I$89,3,0)*VLOOKUP('Données projet'!$B$11,Paramètres!$A$1:$I$89,5,0)</f>
        <v>1.4870384609455356</v>
      </c>
      <c r="BF7" s="13">
        <f t="shared" si="37"/>
        <v>0.65435882207080776</v>
      </c>
      <c r="BG7" s="20">
        <f t="shared" si="7"/>
        <v>3.7296002679201314</v>
      </c>
      <c r="BH7" s="59">
        <f t="shared" si="8"/>
        <v>297.06293360125346</v>
      </c>
      <c r="BI7" s="59">
        <f ca="1">AVERAGE(OFFSET($BH$3,0,0,'Données projet'!$E$11+1,1))-AVERAGE(OFFSET($H$3,0,0,'Données projet'!$E$11+1,1))</f>
        <v>102.76553481871144</v>
      </c>
      <c r="BJ7" s="59">
        <f t="shared" si="38"/>
        <v>345.99919346320343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12.2</v>
      </c>
      <c r="N8" s="13">
        <f>IF('Données projet'!$A$36&gt;35,N7+M8-V7,IF(A8&lt;'Données projet'!$A$36,$K$205^A8,IF(A8='Données projet'!$A$36,'Données projet'!$B$36,N7+M8-V7)))</f>
        <v>5.6774113708454292</v>
      </c>
      <c r="O8" s="13">
        <f>N8*VLOOKUP('Données projet'!$B$9,Paramètres!$A$1:$I$89,3,0)*VLOOKUP('Données projet'!$B$9,Paramètres!$A$1:$I$89,5,0)</f>
        <v>3.1736729563025952</v>
      </c>
      <c r="P8" s="13">
        <f t="shared" si="33"/>
        <v>1.2785932262137403</v>
      </c>
      <c r="Q8" s="20">
        <f t="shared" si="2"/>
        <v>7.7543636012159496</v>
      </c>
      <c r="R8" s="59">
        <f t="shared" si="0"/>
        <v>301.08769693454929</v>
      </c>
      <c r="S8" s="59">
        <f ca="1">AVERAGE(OFFSET($R$3,0,0,'Données projet'!$E$9+1,1))-AVERAGE(OFFSET($H$3,0,0,'Données projet'!$E$9+1,1))</f>
        <v>410.32666742287449</v>
      </c>
      <c r="T8" s="59">
        <f t="shared" si="34"/>
        <v>494.36941732405256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6.583333333333333</v>
      </c>
      <c r="AI8" s="13">
        <f>IF('Données projet'!$A$62&gt;35,AI7+AH8-AQ7,IF(A8&lt;'Données projet'!$A$62,$AF$205^A8,IF(A8='Données projet'!$A$62,'Données projet'!$B$62,AI7+AH8-AQ7)))</f>
        <v>6.1755828817275509</v>
      </c>
      <c r="AJ8" s="13">
        <f>AI8*VLOOKUP('Données projet'!$B$10,Paramètres!$A$1:$I$89,3,0)*VLOOKUP('Données projet'!$B$10,Paramètres!$A$1:$I$89,5,0)</f>
        <v>3.853563718197992</v>
      </c>
      <c r="AK8" s="13">
        <f t="shared" si="35"/>
        <v>1.5178197831516467</v>
      </c>
      <c r="AL8" s="20">
        <f t="shared" si="4"/>
        <v>9.3551595981839544</v>
      </c>
      <c r="AM8" s="59">
        <f t="shared" si="5"/>
        <v>302.68849293151726</v>
      </c>
      <c r="AN8" s="59">
        <f ca="1">AVERAGE(OFFSET($AM$3,0,0,'Données projet'!$E$10+1,1))-AVERAGE(OFFSET($H$3,0,0,'Données projet'!$E$10+1,1))</f>
        <v>197.20006068829753</v>
      </c>
      <c r="AO8" s="59">
        <f t="shared" si="36"/>
        <v>256.52014906581638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0.83333333333333337</v>
      </c>
      <c r="BD8" s="12">
        <f>IF('Données projet'!$A$88&gt;35,BD7+BC8-BL7,IF(A8&lt;'Données projet'!$A$88,$BA$205^A8,IF(A8='Données projet'!$A$88,'Données projet'!$B$88,BD7+BC8-BL7)))</f>
        <v>3.8236224566586507</v>
      </c>
      <c r="BE8" s="13">
        <f>BD8*VLOOKUP('Données projet'!$B$11,Paramètres!$A$1:$I$89,3,0)*VLOOKUP('Données projet'!$B$11,Paramètres!$A$1:$I$89,5,0)</f>
        <v>1.9445414365583238</v>
      </c>
      <c r="BF8" s="13">
        <f t="shared" si="37"/>
        <v>0.82937500836418721</v>
      </c>
      <c r="BG8" s="20">
        <f t="shared" si="7"/>
        <v>4.83123780824004</v>
      </c>
      <c r="BH8" s="59">
        <f t="shared" si="8"/>
        <v>298.16457114157333</v>
      </c>
      <c r="BI8" s="59">
        <f ca="1">AVERAGE(OFFSET($BH$3,0,0,'Données projet'!$E$11+1,1))-AVERAGE(OFFSET($H$3,0,0,'Données projet'!$E$11+1,1))</f>
        <v>102.76553481871144</v>
      </c>
      <c r="BJ8" s="59">
        <f t="shared" si="38"/>
        <v>345.99919346320343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12.2</v>
      </c>
      <c r="N9" s="13">
        <f>IF('Données projet'!$A$36&gt;35,N8+M9-V8,IF(A9&lt;'Données projet'!$A$36,$K$205^A9,IF(A9='Données projet'!$A$36,'Données projet'!$B$36,N8+M9-V8)))</f>
        <v>8.0348992573764413</v>
      </c>
      <c r="O9" s="13">
        <f>N9*VLOOKUP('Données projet'!$B$9,Paramètres!$A$1:$I$89,3,0)*VLOOKUP('Données projet'!$B$9,Paramètres!$A$1:$I$89,5,0)</f>
        <v>4.4915086848734305</v>
      </c>
      <c r="P9" s="13">
        <f t="shared" si="33"/>
        <v>1.7378242431890476</v>
      </c>
      <c r="Q9" s="20">
        <f t="shared" si="2"/>
        <v>10.849421516375481</v>
      </c>
      <c r="R9" s="59">
        <f t="shared" si="0"/>
        <v>304.18275484970877</v>
      </c>
      <c r="S9" s="59">
        <f ca="1">AVERAGE(OFFSET($R$3,0,0,'Données projet'!$E$9+1,1))-AVERAGE(OFFSET($H$3,0,0,'Données projet'!$E$9+1,1))</f>
        <v>410.32666742287449</v>
      </c>
      <c r="T9" s="59">
        <f t="shared" si="34"/>
        <v>494.36941732405256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6.583333333333333</v>
      </c>
      <c r="AI9" s="13">
        <f>IF('Données projet'!$A$62&gt;35,AI8+AH9-AQ8,IF(A9&lt;'Données projet'!$A$62,$AF$205^A9,IF(A9='Données projet'!$A$62,'Données projet'!$B$62,AI8+AH9-AQ8)))</f>
        <v>8.8881944173155869</v>
      </c>
      <c r="AJ9" s="13">
        <f>AI9*VLOOKUP('Données projet'!$B$10,Paramètres!$A$1:$I$89,3,0)*VLOOKUP('Données projet'!$B$10,Paramètres!$A$1:$I$89,5,0)</f>
        <v>5.5462333164049262</v>
      </c>
      <c r="AK9" s="13">
        <f t="shared" si="35"/>
        <v>2.093865673693863</v>
      </c>
      <c r="AL9" s="20">
        <f t="shared" si="4"/>
        <v>13.306505741088722</v>
      </c>
      <c r="AM9" s="59">
        <f t="shared" si="5"/>
        <v>306.63983907442201</v>
      </c>
      <c r="AN9" s="59">
        <f ca="1">AVERAGE(OFFSET($AM$3,0,0,'Données projet'!$E$10+1,1))-AVERAGE(OFFSET($H$3,0,0,'Données projet'!$E$10+1,1))</f>
        <v>197.20006068829753</v>
      </c>
      <c r="AO9" s="59">
        <f t="shared" si="36"/>
        <v>256.52014906581638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>
        <f>VLOOKUP(A9,'Données projet'!$A$87:$I$107,2,0)</f>
        <v>5</v>
      </c>
      <c r="BB9" s="12">
        <f>VLOOKUP(A9,'Données projet'!$A$87:$I$107,9,0)</f>
        <v>0.83333333333333337</v>
      </c>
      <c r="BC9" s="12">
        <f t="array" ref="BC9">INDEX(BB:BB,MIN(IF(ISNUMBER(BB9:BB205),ROW(BB9:BB205),"")))</f>
        <v>0.83333333333333337</v>
      </c>
      <c r="BD9" s="12">
        <f>IF('Données projet'!$A$88&gt;35,BD8+BC9-BL8,IF(A9&lt;'Données projet'!$A$88,$BA$205^A9,IF(A9='Données projet'!$A$88,'Données projet'!$B$88,BD8+BC9-BL8)))</f>
        <v>5</v>
      </c>
      <c r="BE9" s="13">
        <f>BD9*VLOOKUP('Données projet'!$B$11,Paramètres!$A$1:$I$89,3,0)*VLOOKUP('Données projet'!$B$11,Paramètres!$A$1:$I$89,5,0)</f>
        <v>2.5428000000000002</v>
      </c>
      <c r="BF9" s="13">
        <f t="shared" si="37"/>
        <v>1.0512013918025274</v>
      </c>
      <c r="BG9" s="20">
        <f t="shared" si="7"/>
        <v>6.2595524240560687</v>
      </c>
      <c r="BH9" s="59">
        <f t="shared" si="8"/>
        <v>299.59288575738941</v>
      </c>
      <c r="BI9" s="59">
        <f ca="1">AVERAGE(OFFSET($BH$3,0,0,'Données projet'!$E$11+1,1))-AVERAGE(OFFSET($H$3,0,0,'Données projet'!$E$11+1,1))</f>
        <v>102.76553481871144</v>
      </c>
      <c r="BJ9" s="59">
        <f t="shared" si="38"/>
        <v>345.99919346320343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0.28199999999999997</v>
      </c>
      <c r="BN9" s="16">
        <f>IF(ISNA(VLOOKUP(A9,'Données projet'!$A$87:$I$107,6,0)),0%,VLOOKUP(A9,'Données projet'!$A$87:$I$107,6,0)*VLOOKUP('Données projet'!$B$11,Paramètres!$A$1:$I$89,7,0))</f>
        <v>0.126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12.2</v>
      </c>
      <c r="N10" s="13">
        <f>IF('Données projet'!$A$36&gt;35,N9+M10-V9,IF(A10&lt;'Données projet'!$A$36,$K$205^A10,IF(A10='Données projet'!$A$36,'Données projet'!$B$36,N9+M10-V9)))</f>
        <v>11.371310243205938</v>
      </c>
      <c r="O10" s="13">
        <f>N10*VLOOKUP('Données projet'!$B$9,Paramètres!$A$1:$I$89,3,0)*VLOOKUP('Données projet'!$B$9,Paramètres!$A$1:$I$89,5,0)</f>
        <v>6.3565624259521201</v>
      </c>
      <c r="P10" s="13">
        <f t="shared" si="33"/>
        <v>2.3619967932715555</v>
      </c>
      <c r="Q10" s="20">
        <f t="shared" si="2"/>
        <v>15.184823973481235</v>
      </c>
      <c r="R10" s="59">
        <f t="shared" si="0"/>
        <v>308.51815730681454</v>
      </c>
      <c r="S10" s="59">
        <f ca="1">AVERAGE(OFFSET($R$3,0,0,'Données projet'!$E$9+1,1))-AVERAGE(OFFSET($H$3,0,0,'Données projet'!$E$9+1,1))</f>
        <v>410.32666742287449</v>
      </c>
      <c r="T10" s="59">
        <f t="shared" si="34"/>
        <v>494.36941732405256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6.583333333333333</v>
      </c>
      <c r="AI10" s="13">
        <f>IF('Données projet'!$A$62&gt;35,AI9+AH10-AQ9,IF(A10&lt;'Données projet'!$A$62,$AF$205^A10,IF(A10='Données projet'!$A$62,'Données projet'!$B$62,AI9+AH10-AQ9)))</f>
        <v>12.792314751980237</v>
      </c>
      <c r="AJ10" s="13">
        <f>AI10*VLOOKUP('Données projet'!$B$10,Paramètres!$A$1:$I$89,3,0)*VLOOKUP('Données projet'!$B$10,Paramètres!$A$1:$I$89,5,0)</f>
        <v>7.982404405235668</v>
      </c>
      <c r="AK10" s="13">
        <f t="shared" si="35"/>
        <v>2.888533611263004</v>
      </c>
      <c r="AL10" s="20">
        <f t="shared" si="4"/>
        <v>18.933550378735188</v>
      </c>
      <c r="AM10" s="59">
        <f t="shared" si="5"/>
        <v>312.26688371206848</v>
      </c>
      <c r="AN10" s="59">
        <f ca="1">AVERAGE(OFFSET($AM$3,0,0,'Données projet'!$E$10+1,1))-AVERAGE(OFFSET($H$3,0,0,'Données projet'!$E$10+1,1))</f>
        <v>197.20006068829753</v>
      </c>
      <c r="AO10" s="59">
        <f t="shared" si="36"/>
        <v>256.52014906581638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>
        <f>VLOOKUP(A10,'Données projet'!$A$87:$I$107,2,0)</f>
        <v>29</v>
      </c>
      <c r="BB10" s="12">
        <f>VLOOKUP(A10,'Données projet'!$A$87:$I$107,9,0)</f>
        <v>24</v>
      </c>
      <c r="BC10" s="12">
        <f t="array" ref="BC10">INDEX(BB:BB,MIN(IF(ISNUMBER(BB10:BB206),ROW(BB10:BB206),"")))</f>
        <v>24</v>
      </c>
      <c r="BD10" s="12">
        <f>IF('Données projet'!$A$88&gt;35,BD9+BC10-BL9,IF(A10&lt;'Données projet'!$A$88,$BA$205^A10,IF(A10='Données projet'!$A$88,'Données projet'!$B$88,BD9+BC10-BL9)))</f>
        <v>29</v>
      </c>
      <c r="BE10" s="13">
        <f>BD10*VLOOKUP('Données projet'!$B$11,Paramètres!$A$1:$I$89,3,0)*VLOOKUP('Données projet'!$B$11,Paramètres!$A$1:$I$89,5,0)</f>
        <v>14.748240000000001</v>
      </c>
      <c r="BF10" s="13">
        <f t="shared" si="37"/>
        <v>4.9687929763413896</v>
      </c>
      <c r="BG10" s="20">
        <f t="shared" si="7"/>
        <v>34.340499100461251</v>
      </c>
      <c r="BH10" s="59">
        <f t="shared" si="8"/>
        <v>327.67383243379459</v>
      </c>
      <c r="BI10" s="59">
        <f ca="1">AVERAGE(OFFSET($BH$3,0,0,'Données projet'!$E$11+1,1))-AVERAGE(OFFSET($H$3,0,0,'Données projet'!$E$11+1,1))</f>
        <v>102.76553481871144</v>
      </c>
      <c r="BJ10" s="59">
        <f t="shared" si="38"/>
        <v>345.99919346320343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0.28199999999999997</v>
      </c>
      <c r="BN10" s="16">
        <f>IF(ISNA(VLOOKUP(A10,'Données projet'!$A$87:$I$107,6,0)),0%,VLOOKUP(A10,'Données projet'!$A$87:$I$107,6,0)*VLOOKUP('Données projet'!$B$11,Paramètres!$A$1:$I$89,7,0))</f>
        <v>0.126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12.2</v>
      </c>
      <c r="N11" s="13">
        <f>IF('Données projet'!$A$36&gt;35,N10+M11-V10,IF(A11&lt;'Données projet'!$A$36,$K$205^A11,IF(A11='Données projet'!$A$36,'Données projet'!$B$36,N10+M11-V10)))</f>
        <v>16.093132285203229</v>
      </c>
      <c r="O11" s="13">
        <f>N11*VLOOKUP('Données projet'!$B$9,Paramètres!$A$1:$I$89,3,0)*VLOOKUP('Données projet'!$B$9,Paramètres!$A$1:$I$89,5,0)</f>
        <v>8.9960609474286048</v>
      </c>
      <c r="P11" s="13">
        <f t="shared" si="33"/>
        <v>3.2103527576454689</v>
      </c>
      <c r="Q11" s="20">
        <f t="shared" si="2"/>
        <v>21.259503869670677</v>
      </c>
      <c r="R11" s="59">
        <f t="shared" si="0"/>
        <v>314.59283720300397</v>
      </c>
      <c r="S11" s="59">
        <f ca="1">AVERAGE(OFFSET($R$3,0,0,'Données projet'!$E$9+1,1))-AVERAGE(OFFSET($H$3,0,0,'Données projet'!$E$9+1,1))</f>
        <v>410.32666742287449</v>
      </c>
      <c r="T11" s="59">
        <f t="shared" si="34"/>
        <v>494.36941732405256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6.583333333333333</v>
      </c>
      <c r="AI11" s="13">
        <f>IF('Données projet'!$A$62&gt;35,AI10+AH11-AQ10,IF(A11&lt;'Données projet'!$A$62,$AF$205^A11,IF(A11='Données projet'!$A$62,'Données projet'!$B$62,AI10+AH11-AQ10)))</f>
        <v>18.411311570202439</v>
      </c>
      <c r="AJ11" s="13">
        <f>AI11*VLOOKUP('Données projet'!$B$10,Paramètres!$A$1:$I$89,3,0)*VLOOKUP('Données projet'!$B$10,Paramètres!$A$1:$I$89,5,0)</f>
        <v>11.488658419806322</v>
      </c>
      <c r="AK11" s="13">
        <f t="shared" si="35"/>
        <v>3.9847954566621278</v>
      </c>
      <c r="AL11" s="20">
        <f t="shared" si="4"/>
        <v>26.949598834849215</v>
      </c>
      <c r="AM11" s="59">
        <f t="shared" si="5"/>
        <v>320.28293216818253</v>
      </c>
      <c r="AN11" s="59">
        <f ca="1">AVERAGE(OFFSET($AM$3,0,0,'Données projet'!$E$10+1,1))-AVERAGE(OFFSET($H$3,0,0,'Données projet'!$E$10+1,1))</f>
        <v>197.20006068829753</v>
      </c>
      <c r="AO11" s="59">
        <f t="shared" si="36"/>
        <v>256.52014906581638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>
        <f>VLOOKUP(A11,'Données projet'!$A$87:$I$107,2,0)</f>
        <v>60</v>
      </c>
      <c r="BB11" s="12">
        <f>VLOOKUP(A11,'Données projet'!$A$87:$I$107,9,0)</f>
        <v>31</v>
      </c>
      <c r="BC11" s="12">
        <f t="array" ref="BC11">INDEX(BB:BB,MIN(IF(ISNUMBER(BB11:BB207),ROW(BB11:BB207),"")))</f>
        <v>31</v>
      </c>
      <c r="BD11" s="12">
        <f>IF('Données projet'!$A$88&gt;35,BD10+BC11-BL10,IF(A11&lt;'Données projet'!$A$88,$BA$205^A11,IF(A11='Données projet'!$A$88,'Données projet'!$B$88,BD10+BC11-BL10)))</f>
        <v>60</v>
      </c>
      <c r="BE11" s="13">
        <f>BD11*VLOOKUP('Données projet'!$B$11,Paramètres!$A$1:$I$89,3,0)*VLOOKUP('Données projet'!$B$11,Paramètres!$A$1:$I$89,5,0)</f>
        <v>30.513600000000004</v>
      </c>
      <c r="BF11" s="13">
        <f t="shared" si="37"/>
        <v>9.4460551368326602</v>
      </c>
      <c r="BG11" s="20">
        <f t="shared" si="7"/>
        <v>69.596399363316891</v>
      </c>
      <c r="BH11" s="59">
        <f t="shared" si="8"/>
        <v>362.92973269665021</v>
      </c>
      <c r="BI11" s="59">
        <f ca="1">AVERAGE(OFFSET($BH$3,0,0,'Données projet'!$E$11+1,1))-AVERAGE(OFFSET($H$3,0,0,'Données projet'!$E$11+1,1))</f>
        <v>102.76553481871144</v>
      </c>
      <c r="BJ11" s="59">
        <f t="shared" si="38"/>
        <v>345.99919346320343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0.28199999999999997</v>
      </c>
      <c r="BN11" s="16">
        <f>IF(ISNA(VLOOKUP(A11,'Données projet'!$A$87:$I$107,6,0)),0%,VLOOKUP(A11,'Données projet'!$A$87:$I$107,6,0)*VLOOKUP('Données projet'!$B$11,Paramètres!$A$1:$I$89,7,0))</f>
        <v>0.126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12.2</v>
      </c>
      <c r="N12" s="13">
        <f>IF('Données projet'!$A$36&gt;35,N11+M12-V11,IF(A12&lt;'Données projet'!$A$36,$K$205^A12,IF(A12='Données projet'!$A$36,'Données projet'!$B$36,N11+M12-V11)))</f>
        <v>22.775643370014436</v>
      </c>
      <c r="O12" s="13">
        <f>N12*VLOOKUP('Données projet'!$B$9,Paramètres!$A$1:$I$89,3,0)*VLOOKUP('Données projet'!$B$9,Paramètres!$A$1:$I$89,5,0)</f>
        <v>12.731584643838069</v>
      </c>
      <c r="P12" s="13">
        <f t="shared" si="33"/>
        <v>4.363411863166303</v>
      </c>
      <c r="Q12" s="20">
        <f t="shared" si="2"/>
        <v>29.773785583032616</v>
      </c>
      <c r="R12" s="59">
        <f t="shared" si="0"/>
        <v>323.10711891636595</v>
      </c>
      <c r="S12" s="59">
        <f ca="1">AVERAGE(OFFSET($R$3,0,0,'Données projet'!$E$9+1,1))-AVERAGE(OFFSET($H$3,0,0,'Données projet'!$E$9+1,1))</f>
        <v>410.32666742287449</v>
      </c>
      <c r="T12" s="59">
        <f t="shared" si="34"/>
        <v>494.36941732405256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6.583333333333333</v>
      </c>
      <c r="AI12" s="13">
        <f>IF('Données projet'!$A$62&gt;35,AI11+AH12-AQ11,IF(A12&lt;'Données projet'!$A$62,$AF$205^A12,IF(A12='Données projet'!$A$62,'Données projet'!$B$62,AI11+AH12-AQ11)))</f>
        <v>26.498440689367577</v>
      </c>
      <c r="AJ12" s="13">
        <f>AI12*VLOOKUP('Données projet'!$B$10,Paramètres!$A$1:$I$89,3,0)*VLOOKUP('Données projet'!$B$10,Paramètres!$A$1:$I$89,5,0)</f>
        <v>16.535026990165367</v>
      </c>
      <c r="AK12" s="13">
        <f t="shared" si="35"/>
        <v>5.4971127112806055</v>
      </c>
      <c r="AL12" s="20">
        <f t="shared" si="4"/>
        <v>38.372643313351738</v>
      </c>
      <c r="AM12" s="59">
        <f t="shared" si="5"/>
        <v>331.70597664668503</v>
      </c>
      <c r="AN12" s="59">
        <f ca="1">AVERAGE(OFFSET($AM$3,0,0,'Données projet'!$E$10+1,1))-AVERAGE(OFFSET($H$3,0,0,'Données projet'!$E$10+1,1))</f>
        <v>197.20006068829753</v>
      </c>
      <c r="AO12" s="59">
        <f t="shared" si="36"/>
        <v>256.52014906581638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>
        <f>VLOOKUP(A12,'Données projet'!$A$87:$I$107,2,0)</f>
        <v>97</v>
      </c>
      <c r="BB12" s="12">
        <f>VLOOKUP(A12,'Données projet'!$A$87:$I$107,9,0)</f>
        <v>37</v>
      </c>
      <c r="BC12" s="12">
        <f t="array" ref="BC12">INDEX(BB:BB,MIN(IF(ISNUMBER(BB12:BB208),ROW(BB12:BB208),"")))</f>
        <v>37</v>
      </c>
      <c r="BD12" s="12">
        <f>IF('Données projet'!$A$88&gt;35,BD11+BC12-BL11,IF(A12&lt;'Données projet'!$A$88,$BA$205^A12,IF(A12='Données projet'!$A$88,'Données projet'!$B$88,BD11+BC12-BL11)))</f>
        <v>97</v>
      </c>
      <c r="BE12" s="13">
        <f>BD12*VLOOKUP('Données projet'!$B$11,Paramètres!$A$1:$I$89,3,0)*VLOOKUP('Données projet'!$B$11,Paramètres!$A$1:$I$89,5,0)</f>
        <v>49.33032</v>
      </c>
      <c r="BF12" s="13">
        <f t="shared" si="37"/>
        <v>14.440676392293337</v>
      </c>
      <c r="BG12" s="20">
        <f t="shared" si="7"/>
        <v>111.06781871657756</v>
      </c>
      <c r="BH12" s="59">
        <f t="shared" si="8"/>
        <v>404.40115204991088</v>
      </c>
      <c r="BI12" s="59">
        <f ca="1">AVERAGE(OFFSET($BH$3,0,0,'Données projet'!$E$11+1,1))-AVERAGE(OFFSET($H$3,0,0,'Données projet'!$E$11+1,1))</f>
        <v>102.76553481871144</v>
      </c>
      <c r="BJ12" s="59">
        <f t="shared" si="38"/>
        <v>345.99919346320343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0.28199999999999997</v>
      </c>
      <c r="BN12" s="16">
        <f>IF(ISNA(VLOOKUP(A12,'Données projet'!$A$87:$I$107,6,0)),0%,VLOOKUP(A12,'Données projet'!$A$87:$I$107,6,0)*VLOOKUP('Données projet'!$B$11,Paramètres!$A$1:$I$89,7,0))</f>
        <v>0.126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12.2</v>
      </c>
      <c r="N13" s="13">
        <f>IF('Données projet'!$A$36&gt;35,N12+M13-V12,IF(A13&lt;'Données projet'!$A$36,$K$205^A13,IF(A13='Données projet'!$A$36,'Données projet'!$B$36,N12+M13-V12)))</f>
        <v>32.232999873804978</v>
      </c>
      <c r="O13" s="13">
        <f>N13*VLOOKUP('Données projet'!$B$9,Paramètres!$A$1:$I$89,3,0)*VLOOKUP('Données projet'!$B$9,Paramètres!$A$1:$I$89,5,0)</f>
        <v>18.018246929456982</v>
      </c>
      <c r="P13" s="13">
        <f t="shared" si="33"/>
        <v>5.9306140243554522</v>
      </c>
      <c r="Q13" s="20">
        <f t="shared" si="2"/>
        <v>41.710932827889991</v>
      </c>
      <c r="R13" s="59">
        <f t="shared" si="0"/>
        <v>335.04426616122328</v>
      </c>
      <c r="S13" s="59">
        <f ca="1">AVERAGE(OFFSET($R$3,0,0,'Données projet'!$E$9+1,1))-AVERAGE(OFFSET($H$3,0,0,'Données projet'!$E$9+1,1))</f>
        <v>410.32666742287449</v>
      </c>
      <c r="T13" s="59">
        <f t="shared" si="34"/>
        <v>494.36941732405256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6.583333333333333</v>
      </c>
      <c r="AI13" s="13">
        <f>IF('Données projet'!$A$62&gt;35,AI12+AH13-AQ12,IF(A13&lt;'Données projet'!$A$62,$AF$205^A13,IF(A13='Données projet'!$A$62,'Données projet'!$B$62,AI12+AH13-AQ12)))</f>
        <v>38.137823929086366</v>
      </c>
      <c r="AJ13" s="13">
        <f>AI13*VLOOKUP('Données projet'!$B$10,Paramètres!$A$1:$I$89,3,0)*VLOOKUP('Données projet'!$B$10,Paramètres!$A$1:$I$89,5,0)</f>
        <v>23.798002131749893</v>
      </c>
      <c r="AK13" s="13">
        <f t="shared" si="35"/>
        <v>7.5833875262032135</v>
      </c>
      <c r="AL13" s="20">
        <f t="shared" si="4"/>
        <v>54.655920320934996</v>
      </c>
      <c r="AM13" s="59">
        <f t="shared" si="5"/>
        <v>347.98925365426828</v>
      </c>
      <c r="AN13" s="59">
        <f ca="1">AVERAGE(OFFSET($AM$3,0,0,'Données projet'!$E$10+1,1))-AVERAGE(OFFSET($H$3,0,0,'Données projet'!$E$10+1,1))</f>
        <v>197.20006068829753</v>
      </c>
      <c r="AO13" s="59">
        <f t="shared" si="36"/>
        <v>256.52014906581638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133</v>
      </c>
      <c r="BB13" s="12">
        <f>VLOOKUP(A13,'Données projet'!$A$87:$I$107,9,0)</f>
        <v>36</v>
      </c>
      <c r="BC13" s="12">
        <f t="array" ref="BC13">INDEX(BB:BB,MIN(IF(ISNUMBER(BB13:BB209),ROW(BB13:BB209),"")))</f>
        <v>36</v>
      </c>
      <c r="BD13" s="12">
        <f>IF('Données projet'!$A$88&gt;35,BD12+BC13-BL12,IF(A13&lt;'Données projet'!$A$88,$BA$205^A13,IF(A13='Données projet'!$A$88,'Données projet'!$B$88,BD12+BC13-BL12)))</f>
        <v>133</v>
      </c>
      <c r="BE13" s="13">
        <f>BD13*VLOOKUP('Données projet'!$B$11,Paramètres!$A$1:$I$89,3,0)*VLOOKUP('Données projet'!$B$11,Paramètres!$A$1:$I$89,5,0)</f>
        <v>67.638480000000015</v>
      </c>
      <c r="BF13" s="13">
        <f t="shared" si="37"/>
        <v>19.085842751767505</v>
      </c>
      <c r="BG13" s="20">
        <f t="shared" si="7"/>
        <v>151.04486212599508</v>
      </c>
      <c r="BH13" s="59">
        <f t="shared" si="8"/>
        <v>444.37819545932837</v>
      </c>
      <c r="BI13" s="59">
        <f ca="1">AVERAGE(OFFSET($BH$3,0,0,'Données projet'!$E$11+1,1))-AVERAGE(OFFSET($H$3,0,0,'Données projet'!$E$11+1,1))</f>
        <v>102.76553481871144</v>
      </c>
      <c r="BJ13" s="59">
        <f t="shared" si="38"/>
        <v>345.99919346320343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0.28199999999999997</v>
      </c>
      <c r="BN13" s="16">
        <f>IF(ISNA(VLOOKUP(A13,'Données projet'!$A$87:$I$107,6,0)),0%,VLOOKUP(A13,'Données projet'!$A$87:$I$107,6,0)*VLOOKUP('Données projet'!$B$11,Paramètres!$A$1:$I$89,7,0))</f>
        <v>0.126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12.2</v>
      </c>
      <c r="N14" s="13">
        <f>IF('Données projet'!$A$36&gt;35,N13+M14-V13,IF(A14&lt;'Données projet'!$A$36,$K$205^A14,IF(A14='Données projet'!$A$36,'Données projet'!$B$36,N13+M14-V13)))</f>
        <v>45.617428407426502</v>
      </c>
      <c r="O14" s="13">
        <f>N14*VLOOKUP('Données projet'!$B$9,Paramètres!$A$1:$I$89,3,0)*VLOOKUP('Données projet'!$B$9,Paramètres!$A$1:$I$89,5,0)</f>
        <v>25.500142479751414</v>
      </c>
      <c r="P14" s="13">
        <f t="shared" si="33"/>
        <v>8.0607065775264513</v>
      </c>
      <c r="Q14" s="20">
        <f t="shared" si="2"/>
        <v>58.451812108092277</v>
      </c>
      <c r="R14" s="59">
        <f t="shared" si="0"/>
        <v>351.78514544142558</v>
      </c>
      <c r="S14" s="59">
        <f ca="1">AVERAGE(OFFSET($R$3,0,0,'Données projet'!$E$9+1,1))-AVERAGE(OFFSET($H$3,0,0,'Données projet'!$E$9+1,1))</f>
        <v>410.32666742287449</v>
      </c>
      <c r="T14" s="59">
        <f t="shared" si="34"/>
        <v>494.36941732405256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6.583333333333333</v>
      </c>
      <c r="AI14" s="13">
        <f>IF('Données projet'!$A$62&gt;35,AI13+AH14-AQ13,IF(A14&lt;'Données projet'!$A$62,$AF$205^A14,IF(A14='Données projet'!$A$62,'Données projet'!$B$62,AI13+AH14-AQ13)))</f>
        <v>54.889781293040528</v>
      </c>
      <c r="AJ14" s="13">
        <f>AI14*VLOOKUP('Données projet'!$B$10,Paramètres!$A$1:$I$89,3,0)*VLOOKUP('Données projet'!$B$10,Paramètres!$A$1:$I$89,5,0)</f>
        <v>34.251223526857288</v>
      </c>
      <c r="AK14" s="13">
        <f t="shared" si="35"/>
        <v>10.461449381338499</v>
      </c>
      <c r="AL14" s="20">
        <f t="shared" si="4"/>
        <v>77.874571981774324</v>
      </c>
      <c r="AM14" s="59">
        <f t="shared" si="5"/>
        <v>371.20790531510761</v>
      </c>
      <c r="AN14" s="59">
        <f ca="1">AVERAGE(OFFSET($AM$3,0,0,'Données projet'!$E$10+1,1))-AVERAGE(OFFSET($H$3,0,0,'Données projet'!$E$10+1,1))</f>
        <v>197.20006068829753</v>
      </c>
      <c r="AO14" s="59">
        <f t="shared" si="36"/>
        <v>256.52014906581638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>
        <f>VLOOKUP(A14,'Données projet'!$A$87:$I$107,2,0)</f>
        <v>175</v>
      </c>
      <c r="BB14" s="12">
        <f>VLOOKUP(A14,'Données projet'!$A$87:$I$107,9,0)</f>
        <v>42</v>
      </c>
      <c r="BC14" s="12">
        <f t="array" ref="BC14">INDEX(BB:BB,MIN(IF(ISNUMBER(BB14:BB210),ROW(BB14:BB210),"")))</f>
        <v>42</v>
      </c>
      <c r="BD14" s="12">
        <f>IF('Données projet'!$A$88&gt;35,BD13+BC14-BL13,IF(A14&lt;'Données projet'!$A$88,$BA$205^A14,IF(A14='Données projet'!$A$88,'Données projet'!$B$88,BD13+BC14-BL13)))</f>
        <v>175</v>
      </c>
      <c r="BE14" s="13">
        <f>BD14*VLOOKUP('Données projet'!$B$11,Paramètres!$A$1:$I$89,3,0)*VLOOKUP('Données projet'!$B$11,Paramètres!$A$1:$I$89,5,0)</f>
        <v>88.998000000000005</v>
      </c>
      <c r="BF14" s="13">
        <f t="shared" si="37"/>
        <v>24.323409484531489</v>
      </c>
      <c r="BG14" s="20">
        <f t="shared" si="7"/>
        <v>197.36812151889237</v>
      </c>
      <c r="BH14" s="59">
        <f t="shared" si="8"/>
        <v>490.70145485222565</v>
      </c>
      <c r="BI14" s="59">
        <f ca="1">AVERAGE(OFFSET($BH$3,0,0,'Données projet'!$E$11+1,1))-AVERAGE(OFFSET($H$3,0,0,'Données projet'!$E$11+1,1))</f>
        <v>102.76553481871144</v>
      </c>
      <c r="BJ14" s="59">
        <f t="shared" si="38"/>
        <v>345.99919346320343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0.28199999999999997</v>
      </c>
      <c r="BN14" s="16">
        <f>IF(ISNA(VLOOKUP(A14,'Données projet'!$A$87:$I$107,6,0)),0%,VLOOKUP(A14,'Données projet'!$A$87:$I$107,6,0)*VLOOKUP('Données projet'!$B$11,Paramètres!$A$1:$I$89,7,0))</f>
        <v>0.126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12.2</v>
      </c>
      <c r="N15" s="13">
        <f>IF('Données projet'!$A$36&gt;35,N14+M15-V14,IF(A15&lt;'Données projet'!$A$36,$K$205^A15,IF(A15='Données projet'!$A$36,'Données projet'!$B$36,N14+M15-V14)))</f>
        <v>64.559606076188487</v>
      </c>
      <c r="O15" s="13">
        <f>N15*VLOOKUP('Données projet'!$B$9,Paramètres!$A$1:$I$89,3,0)*VLOOKUP('Données projet'!$B$9,Paramètres!$A$1:$I$89,5,0)</f>
        <v>36.088819796589362</v>
      </c>
      <c r="P15" s="13">
        <f t="shared" si="33"/>
        <v>10.955862287133046</v>
      </c>
      <c r="Q15" s="20">
        <f t="shared" si="2"/>
        <v>81.936154629149854</v>
      </c>
      <c r="R15" s="59">
        <f t="shared" si="0"/>
        <v>375.26948796248314</v>
      </c>
      <c r="S15" s="59">
        <f ca="1">AVERAGE(OFFSET($R$3,0,0,'Données projet'!$E$9+1,1))-AVERAGE(OFFSET($H$3,0,0,'Données projet'!$E$9+1,1))</f>
        <v>410.32666742287449</v>
      </c>
      <c r="T15" s="59">
        <f t="shared" si="34"/>
        <v>494.36941732405256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>
        <f>VLOOKUP(A15,'Données projet'!$A$61:$I$81,2,0)</f>
        <v>79</v>
      </c>
      <c r="AG15" s="12">
        <f>VLOOKUP(A15,'Données projet'!$A$61:$I$81,9,0)</f>
        <v>6.583333333333333</v>
      </c>
      <c r="AH15" s="12">
        <f t="array" ref="AH15">INDEX(AG:AG,MIN(IF(ISNUMBER(AG15:AG211),ROW(AG15:AG211),"")))</f>
        <v>6.583333333333333</v>
      </c>
      <c r="AI15" s="13">
        <f>IF('Données projet'!$A$62&gt;35,AI14+AH15-AQ14,IF(A15&lt;'Données projet'!$A$62,$AF$205^A15,IF(A15='Données projet'!$A$62,'Données projet'!$B$62,AI14+AH15-AQ14)))</f>
        <v>79</v>
      </c>
      <c r="AJ15" s="13">
        <f>AI15*VLOOKUP('Données projet'!$B$10,Paramètres!$A$1:$I$89,3,0)*VLOOKUP('Données projet'!$B$10,Paramètres!$A$1:$I$89,5,0)</f>
        <v>49.296000000000006</v>
      </c>
      <c r="AK15" s="13">
        <f t="shared" si="35"/>
        <v>14.431798820797194</v>
      </c>
      <c r="AL15" s="20">
        <f t="shared" si="4"/>
        <v>110.99258294622179</v>
      </c>
      <c r="AM15" s="59">
        <f t="shared" si="5"/>
        <v>404.32591627955509</v>
      </c>
      <c r="AN15" s="59">
        <f ca="1">AVERAGE(OFFSET($AM$3,0,0,'Données projet'!$E$10+1,1))-AVERAGE(OFFSET($H$3,0,0,'Données projet'!$E$10+1,1))</f>
        <v>197.20006068829753</v>
      </c>
      <c r="AO15" s="59">
        <f t="shared" si="36"/>
        <v>256.52014906581638</v>
      </c>
      <c r="AP15" s="15">
        <f>IF(ISNA(VLOOKUP(A15,'Données projet'!$A$61:$I$81,3,0)),0,VLOOKUP(A15,'Données projet'!$A$61:$I$81,3,0))</f>
        <v>1</v>
      </c>
      <c r="AQ15" s="15">
        <f>IF(ISNA(VLOOKUP(A15,'Données projet'!$A$61:$I$81,4,0)),0,VLOOKUP(A15,'Données projet'!$A$61:$I$81,4,0))</f>
        <v>14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0.33600000000000002</v>
      </c>
      <c r="AT15" s="16">
        <f>IF(ISNA(VLOOKUP(A15,'Données projet'!$A$61:$I$81,7,0)),0%,VLOOKUP(A15,'Données projet'!$A$61:$I$81,7,0))</f>
        <v>0.44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3.8785277318963658</v>
      </c>
      <c r="AW15" s="21">
        <f>EXP(-LN(2)/2)*AW14+(1-EXP(-LN(2)/2))/(LN(2)/2)*AQ15*AT15*VLOOKUP('Données projet'!$B$10,Paramètres!$A$1:$I$89,3,0)*0.475*44/12</f>
        <v>4.352119794524131</v>
      </c>
      <c r="AX15" s="21">
        <f t="shared" si="6"/>
        <v>8.2306475264204977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>
        <f>VLOOKUP(A15,'Données projet'!$A$87:$I$107,2,0)</f>
        <v>214</v>
      </c>
      <c r="BB15" s="12">
        <f>VLOOKUP(A15,'Données projet'!$A$87:$I$107,9,0)</f>
        <v>39</v>
      </c>
      <c r="BC15" s="12">
        <f t="array" ref="BC15">INDEX(BB:BB,MIN(IF(ISNUMBER(BB15:BB211),ROW(BB15:BB211),"")))</f>
        <v>39</v>
      </c>
      <c r="BD15" s="12">
        <f>IF('Données projet'!$A$88&gt;35,BD14+BC15-BL14,IF(A15&lt;'Données projet'!$A$88,$BA$205^A15,IF(A15='Données projet'!$A$88,'Données projet'!$B$88,BD14+BC15-BL14)))</f>
        <v>214</v>
      </c>
      <c r="BE15" s="13">
        <f>BD15*VLOOKUP('Données projet'!$B$11,Paramètres!$A$1:$I$89,3,0)*VLOOKUP('Données projet'!$B$11,Paramètres!$A$1:$I$89,5,0)</f>
        <v>108.83184</v>
      </c>
      <c r="BF15" s="13">
        <f t="shared" si="37"/>
        <v>29.055586181236279</v>
      </c>
      <c r="BG15" s="20">
        <f t="shared" si="7"/>
        <v>240.1539339323198</v>
      </c>
      <c r="BH15" s="59">
        <f t="shared" si="8"/>
        <v>533.48726726565314</v>
      </c>
      <c r="BI15" s="59">
        <f ca="1">AVERAGE(OFFSET($BH$3,0,0,'Données projet'!$E$11+1,1))-AVERAGE(OFFSET($H$3,0,0,'Données projet'!$E$11+1,1))</f>
        <v>102.76553481871144</v>
      </c>
      <c r="BJ15" s="59">
        <f t="shared" si="38"/>
        <v>345.99919346320343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0.28199999999999997</v>
      </c>
      <c r="BN15" s="16">
        <f>IF(ISNA(VLOOKUP(A15,'Données projet'!$A$87:$I$107,6,0)),0%,VLOOKUP(A15,'Données projet'!$A$87:$I$107,6,0)*VLOOKUP('Données projet'!$B$11,Paramètres!$A$1:$I$89,7,0))</f>
        <v>0.126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12.2</v>
      </c>
      <c r="N16" s="13">
        <f>IF('Données projet'!$A$36&gt;35,N15+M16-V15,IF(A16&lt;'Données projet'!$A$36,$K$205^A16,IF(A16='Données projet'!$A$36,'Données projet'!$B$36,N15+M16-V15)))</f>
        <v>91.367332228532504</v>
      </c>
      <c r="O16" s="13">
        <f>N16*VLOOKUP('Données projet'!$B$9,Paramètres!$A$1:$I$89,3,0)*VLOOKUP('Données projet'!$B$9,Paramètres!$A$1:$I$89,5,0)</f>
        <v>51.074338715749668</v>
      </c>
      <c r="P16" s="13">
        <f t="shared" si="33"/>
        <v>14.890868101969463</v>
      </c>
      <c r="Q16" s="20">
        <f t="shared" si="2"/>
        <v>114.88940187419416</v>
      </c>
      <c r="R16" s="59">
        <f t="shared" si="0"/>
        <v>408.22273520752748</v>
      </c>
      <c r="S16" s="59">
        <f ca="1">AVERAGE(OFFSET($R$3,0,0,'Données projet'!$E$9+1,1))-AVERAGE(OFFSET($H$3,0,0,'Données projet'!$E$9+1,1))</f>
        <v>410.32666742287449</v>
      </c>
      <c r="T16" s="59">
        <f t="shared" si="34"/>
        <v>494.36941732405256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17.833333333333332</v>
      </c>
      <c r="AI16" s="13">
        <f>IF('Données projet'!$A$62&gt;35,AI15+AH16-AQ15,IF(A16&lt;'Données projet'!$A$62,$AF$205^A16,IF(A16='Données projet'!$A$62,'Données projet'!$B$62,AI15+AH16-AQ15)))</f>
        <v>82.833333333333329</v>
      </c>
      <c r="AJ16" s="13">
        <f>AI16*VLOOKUP('Données projet'!$B$10,Paramètres!$A$1:$I$89,3,0)*VLOOKUP('Données projet'!$B$10,Paramètres!$A$1:$I$89,5,0)</f>
        <v>51.688000000000002</v>
      </c>
      <c r="AK16" s="13">
        <f t="shared" si="35"/>
        <v>15.048847061207777</v>
      </c>
      <c r="AL16" s="20">
        <f t="shared" si="4"/>
        <v>116.23334196493688</v>
      </c>
      <c r="AM16" s="59">
        <f t="shared" si="5"/>
        <v>409.56667529827018</v>
      </c>
      <c r="AN16" s="59">
        <f ca="1">AVERAGE(OFFSET($AM$3,0,0,'Données projet'!$E$10+1,1))-AVERAGE(OFFSET($H$3,0,0,'Données projet'!$E$10+1,1))</f>
        <v>197.20006068829753</v>
      </c>
      <c r="AO16" s="59">
        <f t="shared" si="36"/>
        <v>256.52014906581638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3.7724691871047509</v>
      </c>
      <c r="AW16" s="21">
        <f>EXP(-LN(2)/2)*AW15+(1-EXP(-LN(2)/2))/(LN(2)/2)*AQ16*AT16*VLOOKUP('Données projet'!$B$10,Paramètres!$A$1:$I$89,3,0)*0.475*44/12</f>
        <v>3.0774134192442171</v>
      </c>
      <c r="AX16" s="21">
        <f t="shared" si="6"/>
        <v>6.8498826063489684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>
        <f>VLOOKUP(A16,'Données projet'!$A$87:$I$107,2,0)</f>
        <v>256</v>
      </c>
      <c r="BB16" s="12">
        <f>VLOOKUP(A16,'Données projet'!$A$87:$I$107,9,0)</f>
        <v>42</v>
      </c>
      <c r="BC16" s="12">
        <f t="array" ref="BC16">INDEX(BB:BB,MIN(IF(ISNUMBER(BB16:BB212),ROW(BB16:BB212),"")))</f>
        <v>42</v>
      </c>
      <c r="BD16" s="12">
        <f>IF('Données projet'!$A$88&gt;35,BD15+BC16-BL15,IF(A16&lt;'Données projet'!$A$88,$BA$205^A16,IF(A16='Données projet'!$A$88,'Données projet'!$B$88,BD15+BC16-BL15)))</f>
        <v>256</v>
      </c>
      <c r="BE16" s="13">
        <f>BD16*VLOOKUP('Données projet'!$B$11,Paramètres!$A$1:$I$89,3,0)*VLOOKUP('Données projet'!$B$11,Paramètres!$A$1:$I$89,5,0)</f>
        <v>130.19136</v>
      </c>
      <c r="BF16" s="13">
        <f t="shared" si="37"/>
        <v>34.040573223809218</v>
      </c>
      <c r="BG16" s="20">
        <f t="shared" si="7"/>
        <v>286.03728369813439</v>
      </c>
      <c r="BH16" s="59">
        <f t="shared" si="8"/>
        <v>579.37061703146765</v>
      </c>
      <c r="BI16" s="59">
        <f ca="1">AVERAGE(OFFSET($BH$3,0,0,'Données projet'!$E$11+1,1))-AVERAGE(OFFSET($H$3,0,0,'Données projet'!$E$11+1,1))</f>
        <v>102.76553481871144</v>
      </c>
      <c r="BJ16" s="59">
        <f t="shared" si="38"/>
        <v>345.99919346320343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0.28199999999999997</v>
      </c>
      <c r="BN16" s="16">
        <f>IF(ISNA(VLOOKUP(A16,'Données projet'!$A$87:$I$107,6,0)),0%,VLOOKUP(A16,'Données projet'!$A$87:$I$107,6,0)*VLOOKUP('Données projet'!$B$11,Paramètres!$A$1:$I$89,7,0))</f>
        <v>0.126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12.2</v>
      </c>
      <c r="N17" s="13">
        <f>IF('Données projet'!$A$36&gt;35,N16+M17-V16,IF(A17&lt;'Données projet'!$A$36,$K$205^A17,IF(A17='Données projet'!$A$36,'Données projet'!$B$36,N16+M17-V16)))</f>
        <v>129.30669664724024</v>
      </c>
      <c r="O17" s="13">
        <f>N17*VLOOKUP('Données projet'!$B$9,Paramètres!$A$1:$I$89,3,0)*VLOOKUP('Données projet'!$B$9,Paramètres!$A$1:$I$89,5,0)</f>
        <v>72.282443425807301</v>
      </c>
      <c r="P17" s="13">
        <f t="shared" si="33"/>
        <v>20.23920591724384</v>
      </c>
      <c r="Q17" s="20">
        <f t="shared" si="2"/>
        <v>161.14187260581406</v>
      </c>
      <c r="R17" s="59">
        <f t="shared" si="0"/>
        <v>454.47520593914737</v>
      </c>
      <c r="S17" s="59">
        <f ca="1">AVERAGE(OFFSET($R$3,0,0,'Données projet'!$E$9+1,1))-AVERAGE(OFFSET($H$3,0,0,'Données projet'!$E$9+1,1))</f>
        <v>410.32666742287449</v>
      </c>
      <c r="T17" s="59">
        <f t="shared" si="34"/>
        <v>494.36941732405256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17.833333333333332</v>
      </c>
      <c r="AI17" s="13">
        <f>IF('Données projet'!$A$62&gt;35,AI16+AH17-AQ16,IF(A17&lt;'Données projet'!$A$62,$AF$205^A17,IF(A17='Données projet'!$A$62,'Données projet'!$B$62,AI16+AH17-AQ16)))</f>
        <v>100.66666666666666</v>
      </c>
      <c r="AJ17" s="13">
        <f>AI17*VLOOKUP('Données projet'!$B$10,Paramètres!$A$1:$I$89,3,0)*VLOOKUP('Données projet'!$B$10,Paramètres!$A$1:$I$89,5,0)</f>
        <v>62.815999999999995</v>
      </c>
      <c r="AK17" s="13">
        <f t="shared" si="35"/>
        <v>17.878330542286516</v>
      </c>
      <c r="AL17" s="20">
        <f t="shared" si="4"/>
        <v>140.54262569448233</v>
      </c>
      <c r="AM17" s="59">
        <f t="shared" si="5"/>
        <v>433.87595902781561</v>
      </c>
      <c r="AN17" s="59">
        <f ca="1">AVERAGE(OFFSET($AM$3,0,0,'Données projet'!$E$10+1,1))-AVERAGE(OFFSET($H$3,0,0,'Données projet'!$E$10+1,1))</f>
        <v>197.20006068829753</v>
      </c>
      <c r="AO17" s="59">
        <f t="shared" si="36"/>
        <v>256.52014906581638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3.6693108187978392</v>
      </c>
      <c r="AW17" s="21">
        <f>EXP(-LN(2)/2)*AW16+(1-EXP(-LN(2)/2))/(LN(2)/2)*AQ17*AT17*VLOOKUP('Données projet'!$B$10,Paramètres!$A$1:$I$89,3,0)*0.475*44/12</f>
        <v>2.1760598972620659</v>
      </c>
      <c r="AX17" s="21">
        <f t="shared" si="6"/>
        <v>5.8453707160599055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>
        <f>VLOOKUP(A17,'Données projet'!$A$87:$I$107,2,0)</f>
        <v>292</v>
      </c>
      <c r="BB17" s="12">
        <f>VLOOKUP(A17,'Données projet'!$A$87:$I$107,9,0)</f>
        <v>36</v>
      </c>
      <c r="BC17" s="12">
        <f t="array" ref="BC17">INDEX(BB:BB,MIN(IF(ISNUMBER(BB17:BB213),ROW(BB17:BB213),"")))</f>
        <v>36</v>
      </c>
      <c r="BD17" s="12">
        <f>IF('Données projet'!$A$88&gt;35,BD16+BC17-BL16,IF(A17&lt;'Données projet'!$A$88,$BA$205^A17,IF(A17='Données projet'!$A$88,'Données projet'!$B$88,BD16+BC17-BL16)))</f>
        <v>292</v>
      </c>
      <c r="BE17" s="13">
        <f>BD17*VLOOKUP('Données projet'!$B$11,Paramètres!$A$1:$I$89,3,0)*VLOOKUP('Données projet'!$B$11,Paramètres!$A$1:$I$89,5,0)</f>
        <v>148.49952000000002</v>
      </c>
      <c r="BF17" s="13">
        <f t="shared" si="37"/>
        <v>38.237396894282334</v>
      </c>
      <c r="BG17" s="20">
        <f t="shared" si="7"/>
        <v>325.23346359087509</v>
      </c>
      <c r="BH17" s="59">
        <f t="shared" si="8"/>
        <v>618.56679692420835</v>
      </c>
      <c r="BI17" s="59">
        <f ca="1">AVERAGE(OFFSET($BH$3,0,0,'Données projet'!$E$11+1,1))-AVERAGE(OFFSET($H$3,0,0,'Données projet'!$E$11+1,1))</f>
        <v>102.76553481871144</v>
      </c>
      <c r="BJ17" s="59">
        <f t="shared" si="38"/>
        <v>345.99919346320343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0.28199999999999997</v>
      </c>
      <c r="BN17" s="16">
        <f>IF(ISNA(VLOOKUP(A17,'Données projet'!$A$87:$I$107,6,0)),0%,VLOOKUP(A17,'Données projet'!$A$87:$I$107,6,0)*VLOOKUP('Données projet'!$B$11,Paramètres!$A$1:$I$89,7,0))</f>
        <v>0.126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183</v>
      </c>
      <c r="L18" s="12">
        <f>VLOOKUP(A18,'Données projet'!$A$35:$I$55,9,0)</f>
        <v>12.2</v>
      </c>
      <c r="M18" s="12">
        <f t="array" ref="M18">INDEX(L:L,MIN(IF(ISNUMBER(L18:L214),ROW(L18:L214),"")))</f>
        <v>12.2</v>
      </c>
      <c r="N18" s="13">
        <f>IF('Données projet'!$A$36&gt;35,N17+M18-V17,IF(A18&lt;'Données projet'!$A$36,$K$205^A18,IF(A18='Données projet'!$A$36,'Données projet'!$B$36,N17+M18-V17)))</f>
        <v>183</v>
      </c>
      <c r="O18" s="13">
        <f>N18*VLOOKUP('Données projet'!$B$9,Paramètres!$A$1:$I$89,3,0)*VLOOKUP('Données projet'!$B$9,Paramètres!$A$1:$I$89,5,0)</f>
        <v>102.297</v>
      </c>
      <c r="P18" s="13">
        <f t="shared" si="33"/>
        <v>27.508500737201572</v>
      </c>
      <c r="Q18" s="20">
        <f t="shared" si="2"/>
        <v>226.07791378395936</v>
      </c>
      <c r="R18" s="59">
        <f t="shared" si="0"/>
        <v>519.41124711729265</v>
      </c>
      <c r="S18" s="59">
        <f ca="1">AVERAGE(OFFSET($R$3,0,0,'Données projet'!$E$9+1,1))-AVERAGE(OFFSET($H$3,0,0,'Données projet'!$E$9+1,1))</f>
        <v>410.32666742287449</v>
      </c>
      <c r="T18" s="59">
        <f t="shared" si="34"/>
        <v>494.36941732405256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28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0.30800000000000005</v>
      </c>
      <c r="Y18" s="16">
        <f>IF(ISNA(VLOOKUP(A18,'Données projet'!$A$35:$I$55,7,0)),0%,VLOOKUP(A18,'Données projet'!$A$35:$I$55,7,0))</f>
        <v>0.44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6.3699431152325729</v>
      </c>
      <c r="AB18" s="21">
        <f>EXP(-LN(2)/2)*AB17+(1-EXP(-LN(2)/2))/(LN(2)/2)*V18*Y18*VLOOKUP('Données projet'!$B$9,Paramètres!$A$1:$I$89,3,0)*0.475*44/12</f>
        <v>7.797547965189068</v>
      </c>
      <c r="AC18" s="22">
        <f t="shared" si="3"/>
        <v>14.167491080421641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17.833333333333332</v>
      </c>
      <c r="AI18" s="13">
        <f>IF('Données projet'!$A$62&gt;35,AI17+AH18-AQ17,IF(A18&lt;'Données projet'!$A$62,$AF$205^A18,IF(A18='Données projet'!$A$62,'Données projet'!$B$62,AI17+AH18-AQ17)))</f>
        <v>118.49999999999999</v>
      </c>
      <c r="AJ18" s="13">
        <f>AI18*VLOOKUP('Données projet'!$B$10,Paramètres!$A$1:$I$89,3,0)*VLOOKUP('Données projet'!$B$10,Paramètres!$A$1:$I$89,5,0)</f>
        <v>73.943999999999988</v>
      </c>
      <c r="AK18" s="13">
        <f t="shared" si="35"/>
        <v>20.649745460165708</v>
      </c>
      <c r="AL18" s="20">
        <f t="shared" si="4"/>
        <v>164.75077334312189</v>
      </c>
      <c r="AM18" s="59">
        <f t="shared" si="5"/>
        <v>458.08410667645524</v>
      </c>
      <c r="AN18" s="59">
        <f ca="1">AVERAGE(OFFSET($AM$3,0,0,'Données projet'!$E$10+1,1))-AVERAGE(OFFSET($H$3,0,0,'Données projet'!$E$10+1,1))</f>
        <v>197.20006068829753</v>
      </c>
      <c r="AO18" s="59">
        <f t="shared" si="36"/>
        <v>256.52014906581638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3.5689733214971424</v>
      </c>
      <c r="AW18" s="21">
        <f>EXP(-LN(2)/2)*AW17+(1-EXP(-LN(2)/2))/(LN(2)/2)*AQ18*AT18*VLOOKUP('Données projet'!$B$10,Paramètres!$A$1:$I$89,3,0)*0.475*44/12</f>
        <v>1.5387067096221088</v>
      </c>
      <c r="AX18" s="21">
        <f t="shared" si="6"/>
        <v>5.1076800311192514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329</v>
      </c>
      <c r="BB18" s="12">
        <f>VLOOKUP(A18,'Données projet'!$A$87:$I$107,9,0)</f>
        <v>37</v>
      </c>
      <c r="BC18" s="12">
        <f t="array" ref="BC18">INDEX(BB:BB,MIN(IF(ISNUMBER(BB18:BB214),ROW(BB18:BB214),"")))</f>
        <v>37</v>
      </c>
      <c r="BD18" s="12">
        <f>IF('Données projet'!$A$88&gt;35,BD17+BC18-BL17,IF(A18&lt;'Données projet'!$A$88,$BA$205^A18,IF(A18='Données projet'!$A$88,'Données projet'!$B$88,BD17+BC18-BL17)))</f>
        <v>329</v>
      </c>
      <c r="BE18" s="13">
        <f>BD18*VLOOKUP('Données projet'!$B$11,Paramètres!$A$1:$I$89,3,0)*VLOOKUP('Données projet'!$B$11,Paramètres!$A$1:$I$89,5,0)</f>
        <v>167.31624000000002</v>
      </c>
      <c r="BF18" s="13">
        <f t="shared" si="37"/>
        <v>42.488395088818137</v>
      </c>
      <c r="BG18" s="20">
        <f t="shared" si="7"/>
        <v>365.40973944635829</v>
      </c>
      <c r="BH18" s="59">
        <f t="shared" si="8"/>
        <v>658.7430727796916</v>
      </c>
      <c r="BI18" s="59">
        <f ca="1">AVERAGE(OFFSET($BH$3,0,0,'Données projet'!$E$11+1,1))-AVERAGE(OFFSET($H$3,0,0,'Données projet'!$E$11+1,1))</f>
        <v>102.76553481871144</v>
      </c>
      <c r="BJ18" s="59">
        <f t="shared" si="38"/>
        <v>345.99919346320343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329</v>
      </c>
      <c r="BM18" s="16">
        <f>IF(ISNA(VLOOKUP(A18,'Données projet'!$A$87:$I$107,5,0)),0%,VLOOKUP(A18,'Données projet'!$A$87:$I$107,5,0)*VLOOKUP('Données projet'!$B$11,Paramètres!$A$1:$I$89,7,0))</f>
        <v>0.28199999999999997</v>
      </c>
      <c r="BN18" s="16">
        <f>IF(ISNA(VLOOKUP(A18,'Données projet'!$A$87:$I$107,6,0)),0%,VLOOKUP(A18,'Données projet'!$A$87:$I$107,6,0)*VLOOKUP('Données projet'!$B$11,Paramètres!$A$1:$I$89,7,0))</f>
        <v>0.126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52.159607548420979</v>
      </c>
      <c r="BQ18" s="21">
        <f>EXP(-LN(2)/25)*BQ17+(1-EXP(-LN(2)/25))/(LN(2)/25)*Calculateur!BL18*Calculateur!BN18*VLOOKUP('Données projet'!$B$11,Paramètres!$A$1:$I$89,3,0)*0.475*44/12</f>
        <v>23.213594495357857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75.373202043778832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26</v>
      </c>
      <c r="N19" s="13">
        <f>IF('Données projet'!$A$36&gt;35,N18+M19-V18,IF(A19&lt;'Données projet'!$A$36,$K$205^A19,IF(A19='Données projet'!$A$36,'Données projet'!$B$36,N18+M19-V18)))</f>
        <v>181</v>
      </c>
      <c r="O19" s="13">
        <f>N19*VLOOKUP('Données projet'!$B$9,Paramètres!$A$1:$I$89,3,0)*VLOOKUP('Données projet'!$B$9,Paramètres!$A$1:$I$89,5,0)</f>
        <v>101.179</v>
      </c>
      <c r="P19" s="13">
        <f t="shared" si="33"/>
        <v>27.242686146699036</v>
      </c>
      <c r="Q19" s="20">
        <f t="shared" si="2"/>
        <v>223.66777003883416</v>
      </c>
      <c r="R19" s="59">
        <f t="shared" si="0"/>
        <v>517.00110337216745</v>
      </c>
      <c r="S19" s="59">
        <f ca="1">AVERAGE(OFFSET($R$3,0,0,'Données projet'!$E$9+1,1))-AVERAGE(OFFSET($H$3,0,0,'Données projet'!$E$9+1,1))</f>
        <v>410.32666742287449</v>
      </c>
      <c r="T19" s="59">
        <f t="shared" si="34"/>
        <v>494.36941732405256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6.1957566857657884</v>
      </c>
      <c r="AB19" s="21">
        <f>EXP(-LN(2)/2)*AB18+(1-EXP(-LN(2)/2))/(LN(2)/2)*V19*Y19*VLOOKUP('Données projet'!$B$9,Paramètres!$A$1:$I$89,3,0)*0.475*44/12</f>
        <v>5.5136990428125552</v>
      </c>
      <c r="AC19" s="22">
        <f t="shared" si="3"/>
        <v>11.709455728578344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17.833333333333332</v>
      </c>
      <c r="AI19" s="13">
        <f>IF('Données projet'!$A$62&gt;35,AI18+AH19-AQ18,IF(A19&lt;'Données projet'!$A$62,$AF$205^A19,IF(A19='Données projet'!$A$62,'Données projet'!$B$62,AI18+AH19-AQ18)))</f>
        <v>136.33333333333331</v>
      </c>
      <c r="AJ19" s="13">
        <f>AI19*VLOOKUP('Données projet'!$B$10,Paramètres!$A$1:$I$89,3,0)*VLOOKUP('Données projet'!$B$10,Paramètres!$A$1:$I$89,5,0)</f>
        <v>85.071999999999989</v>
      </c>
      <c r="AK19" s="13">
        <f t="shared" si="35"/>
        <v>23.372843040969951</v>
      </c>
      <c r="AL19" s="20">
        <f t="shared" si="4"/>
        <v>188.874768296356</v>
      </c>
      <c r="AM19" s="59">
        <f t="shared" si="5"/>
        <v>482.20810162968928</v>
      </c>
      <c r="AN19" s="59">
        <f ca="1">AVERAGE(OFFSET($AM$3,0,0,'Données projet'!$E$10+1,1))-AVERAGE(OFFSET($H$3,0,0,'Données projet'!$E$10+1,1))</f>
        <v>197.20006068829753</v>
      </c>
      <c r="AO19" s="59">
        <f t="shared" si="36"/>
        <v>256.52014906581638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3.4713795583366531</v>
      </c>
      <c r="AW19" s="21">
        <f>EXP(-LN(2)/2)*AW18+(1-EXP(-LN(2)/2))/(LN(2)/2)*AQ19*AT19*VLOOKUP('Données projet'!$B$10,Paramètres!$A$1:$I$89,3,0)*0.475*44/12</f>
        <v>1.088029948631033</v>
      </c>
      <c r="AX19" s="21">
        <f t="shared" si="6"/>
        <v>4.5594095069676861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>
        <f>BD19*VLOOKUP('Données projet'!$B$11,Paramètres!$A$1:$I$89,3,0)*VLOOKUP('Données projet'!$B$11,Paramètres!$A$1:$I$89,5,0)</f>
        <v>0</v>
      </c>
      <c r="BF19" s="13" t="e">
        <f t="shared" si="37"/>
        <v>#NUM!</v>
      </c>
      <c r="BG19" s="20" t="e">
        <f t="shared" si="7"/>
        <v>#NUM!</v>
      </c>
      <c r="BH19" s="59" t="e">
        <f t="shared" si="8"/>
        <v>#NUM!</v>
      </c>
      <c r="BI19" s="59">
        <f ca="1">AVERAGE(OFFSET($BH$3,0,0,'Données projet'!$E$11+1,1))-AVERAGE(OFFSET($H$3,0,0,'Données projet'!$E$11+1,1))</f>
        <v>102.76553481871144</v>
      </c>
      <c r="BJ19" s="59">
        <f t="shared" si="38"/>
        <v>345.99919346320343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51.136789458615652</v>
      </c>
      <c r="BQ19" s="21">
        <f>EXP(-LN(2)/25)*BQ18+(1-EXP(-LN(2)/25))/(LN(2)/25)*Calculateur!BL19*Calculateur!BN19*VLOOKUP('Données projet'!$B$11,Paramètres!$A$1:$I$89,3,0)*0.475*44/12</f>
        <v>22.578817533132415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73.715606991748075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26</v>
      </c>
      <c r="N20" s="13">
        <f>IF('Données projet'!$A$36&gt;35,N19+M20-V19,IF(A20&lt;'Données projet'!$A$36,$K$205^A20,IF(A20='Données projet'!$A$36,'Données projet'!$B$36,N19+M20-V19)))</f>
        <v>207</v>
      </c>
      <c r="O20" s="13">
        <f>N20*VLOOKUP('Données projet'!$B$9,Paramètres!$A$1:$I$89,3,0)*VLOOKUP('Données projet'!$B$9,Paramètres!$A$1:$I$89,5,0)</f>
        <v>115.71300000000001</v>
      </c>
      <c r="P20" s="13">
        <f t="shared" si="33"/>
        <v>30.673019842466044</v>
      </c>
      <c r="Q20" s="20">
        <f t="shared" si="2"/>
        <v>254.95565122562834</v>
      </c>
      <c r="R20" s="59">
        <f t="shared" si="0"/>
        <v>548.2889845589616</v>
      </c>
      <c r="S20" s="59">
        <f ca="1">AVERAGE(OFFSET($R$3,0,0,'Données projet'!$E$9+1,1))-AVERAGE(OFFSET($H$3,0,0,'Données projet'!$E$9+1,1))</f>
        <v>410.32666742287449</v>
      </c>
      <c r="T20" s="59">
        <f t="shared" si="34"/>
        <v>494.36941732405256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6.0263333933728394</v>
      </c>
      <c r="AB20" s="21">
        <f>EXP(-LN(2)/2)*AB19+(1-EXP(-LN(2)/2))/(LN(2)/2)*V20*Y20*VLOOKUP('Données projet'!$B$9,Paramètres!$A$1:$I$89,3,0)*0.475*44/12</f>
        <v>3.8987739825945344</v>
      </c>
      <c r="AC20" s="22">
        <f t="shared" si="3"/>
        <v>9.9251073759673734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17.833333333333332</v>
      </c>
      <c r="AI20" s="13">
        <f>IF('Données projet'!$A$62&gt;35,AI19+AH20-AQ19,IF(A20&lt;'Données projet'!$A$62,$AF$205^A20,IF(A20='Données projet'!$A$62,'Données projet'!$B$62,AI19+AH20-AQ19)))</f>
        <v>154.16666666666666</v>
      </c>
      <c r="AJ20" s="13">
        <f>AI20*VLOOKUP('Données projet'!$B$10,Paramètres!$A$1:$I$89,3,0)*VLOOKUP('Données projet'!$B$10,Paramètres!$A$1:$I$89,5,0)</f>
        <v>96.199999999999989</v>
      </c>
      <c r="AK20" s="13">
        <f t="shared" si="35"/>
        <v>26.054668897183113</v>
      </c>
      <c r="AL20" s="20">
        <f t="shared" si="4"/>
        <v>212.9268816625939</v>
      </c>
      <c r="AM20" s="59">
        <f t="shared" si="5"/>
        <v>506.26021499592719</v>
      </c>
      <c r="AN20" s="59">
        <f ca="1">AVERAGE(OFFSET($AM$3,0,0,'Données projet'!$E$10+1,1))-AVERAGE(OFFSET($H$3,0,0,'Données projet'!$E$10+1,1))</f>
        <v>197.20006068829753</v>
      </c>
      <c r="AO20" s="59">
        <f t="shared" si="36"/>
        <v>256.52014906581638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3.3764545017620202</v>
      </c>
      <c r="AW20" s="21">
        <f>EXP(-LN(2)/2)*AW19+(1-EXP(-LN(2)/2))/(LN(2)/2)*AQ20*AT20*VLOOKUP('Données projet'!$B$10,Paramètres!$A$1:$I$89,3,0)*0.475*44/12</f>
        <v>0.76935335481105438</v>
      </c>
      <c r="AX20" s="21">
        <f t="shared" si="6"/>
        <v>4.1458078565730743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>
        <f>BD20*VLOOKUP('Données projet'!$B$11,Paramètres!$A$1:$I$89,3,0)*VLOOKUP('Données projet'!$B$11,Paramètres!$A$1:$I$89,5,0)</f>
        <v>0</v>
      </c>
      <c r="BF20" s="13" t="e">
        <f t="shared" si="37"/>
        <v>#NUM!</v>
      </c>
      <c r="BG20" s="20" t="e">
        <f t="shared" si="7"/>
        <v>#NUM!</v>
      </c>
      <c r="BH20" s="59" t="e">
        <f t="shared" si="8"/>
        <v>#NUM!</v>
      </c>
      <c r="BI20" s="59">
        <f ca="1">AVERAGE(OFFSET($BH$3,0,0,'Données projet'!$E$11+1,1))-AVERAGE(OFFSET($H$3,0,0,'Données projet'!$E$11+1,1))</f>
        <v>102.76553481871144</v>
      </c>
      <c r="BJ20" s="59">
        <f t="shared" si="38"/>
        <v>345.99919346320343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50.13402820769398</v>
      </c>
      <c r="BQ20" s="21">
        <f>EXP(-LN(2)/25)*BQ19+(1-EXP(-LN(2)/25))/(LN(2)/25)*Calculateur!BL20*Calculateur!BN20*VLOOKUP('Données projet'!$B$11,Paramètres!$A$1:$I$89,3,0)*0.475*44/12</f>
        <v>21.961398580320502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72.095426788014478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26</v>
      </c>
      <c r="N21" s="13">
        <f>IF('Données projet'!$A$36&gt;35,N20+M21-V20,IF(A21&lt;'Données projet'!$A$36,$K$205^A21,IF(A21='Données projet'!$A$36,'Données projet'!$B$36,N20+M21-V20)))</f>
        <v>233</v>
      </c>
      <c r="O21" s="13">
        <f>N21*VLOOKUP('Données projet'!$B$9,Paramètres!$A$1:$I$89,3,0)*VLOOKUP('Données projet'!$B$9,Paramètres!$A$1:$I$89,5,0)</f>
        <v>130.24700000000001</v>
      </c>
      <c r="P21" s="13">
        <f t="shared" si="33"/>
        <v>34.053427473416782</v>
      </c>
      <c r="Q21" s="20">
        <f t="shared" si="2"/>
        <v>286.15657784953424</v>
      </c>
      <c r="R21" s="59">
        <f t="shared" si="0"/>
        <v>579.48991118286756</v>
      </c>
      <c r="S21" s="59">
        <f ca="1">AVERAGE(OFFSET($R$3,0,0,'Données projet'!$E$9+1,1))-AVERAGE(OFFSET($H$3,0,0,'Données projet'!$E$9+1,1))</f>
        <v>410.32666742287449</v>
      </c>
      <c r="T21" s="59">
        <f t="shared" si="34"/>
        <v>494.36941732405256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5.8615429898199594</v>
      </c>
      <c r="AB21" s="21">
        <f>EXP(-LN(2)/2)*AB20+(1-EXP(-LN(2)/2))/(LN(2)/2)*V21*Y21*VLOOKUP('Données projet'!$B$9,Paramètres!$A$1:$I$89,3,0)*0.475*44/12</f>
        <v>2.756849521406278</v>
      </c>
      <c r="AC21" s="22">
        <f t="shared" si="3"/>
        <v>8.6183925112262365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>
        <f>VLOOKUP(A21,'Données projet'!$A$61:$I$81,2,0)</f>
        <v>172</v>
      </c>
      <c r="AG21" s="12">
        <f>VLOOKUP(A21,'Données projet'!$A$61:$I$81,9,0)</f>
        <v>17.833333333333332</v>
      </c>
      <c r="AH21" s="12">
        <f t="array" ref="AH21">INDEX(AG:AG,MIN(IF(ISNUMBER(AG21:AG217),ROW(AG21:AG217),"")))</f>
        <v>17.833333333333332</v>
      </c>
      <c r="AI21" s="13">
        <f>IF('Données projet'!$A$62&gt;35,AI20+AH21-AQ20,IF(A21&lt;'Données projet'!$A$62,$AF$205^A21,IF(A21='Données projet'!$A$62,'Données projet'!$B$62,AI20+AH21-AQ20)))</f>
        <v>172</v>
      </c>
      <c r="AJ21" s="13">
        <f>AI21*VLOOKUP('Données projet'!$B$10,Paramètres!$A$1:$I$89,3,0)*VLOOKUP('Données projet'!$B$10,Paramètres!$A$1:$I$89,5,0)</f>
        <v>107.328</v>
      </c>
      <c r="AK21" s="13">
        <f t="shared" si="35"/>
        <v>28.700542375698706</v>
      </c>
      <c r="AL21" s="20">
        <f t="shared" si="4"/>
        <v>236.91637797100859</v>
      </c>
      <c r="AM21" s="59">
        <f t="shared" si="5"/>
        <v>530.24971130434187</v>
      </c>
      <c r="AN21" s="59">
        <f ca="1">AVERAGE(OFFSET($AM$3,0,0,'Données projet'!$E$10+1,1))-AVERAGE(OFFSET($H$3,0,0,'Données projet'!$E$10+1,1))</f>
        <v>197.20006068829753</v>
      </c>
      <c r="AO21" s="59">
        <f t="shared" si="36"/>
        <v>256.52014906581638</v>
      </c>
      <c r="AP21" s="15">
        <f>IF(ISNA(VLOOKUP(A21,'Données projet'!$A$61:$I$81,3,0)),0,VLOOKUP(A21,'Données projet'!$A$61:$I$81,3,0))</f>
        <v>2</v>
      </c>
      <c r="AQ21" s="15">
        <f>IF(ISNA(VLOOKUP(A21,'Données projet'!$A$61:$I$81,4,0)),0,VLOOKUP(A21,'Données projet'!$A$61:$I$81,4,0))</f>
        <v>65</v>
      </c>
      <c r="AR21" s="16">
        <f>IF(ISNA(VLOOKUP(A21,'Données projet'!$A$61:$I$81,5,0)),0%,VLOOKUP(A21,'Données projet'!$A$61:$I$81,5,0)*VLOOKUP('Données projet'!$B$10,Paramètres!$A$1:$I$89,7,0))</f>
        <v>0.12</v>
      </c>
      <c r="AS21" s="16">
        <f>IF(ISNA(VLOOKUP(A21,'Données projet'!$A$61:$I$81,6,0)),0%,VLOOKUP(A21,'Données projet'!$A$61:$I$81,6,0)*VLOOKUP('Données projet'!$B$10,Paramètres!$A$1:$I$89,7,0))</f>
        <v>0.27</v>
      </c>
      <c r="AT21" s="16">
        <f>IF(ISNA(VLOOKUP(A21,'Données projet'!$A$61:$I$81,7,0)),0%,VLOOKUP(A21,'Données projet'!$A$61:$I$81,7,0))</f>
        <v>0.35</v>
      </c>
      <c r="AU21" s="21">
        <f>EXP(-LN(2)/35)*AU20+(1-EXP(-LN(2)/35))/(LN(2)/35)*AQ21*AR21*VLOOKUP('Données projet'!$B$10,Paramètres!$A$1:$I$89,3,0)*0.475*44/12</f>
        <v>6.4566545175153296</v>
      </c>
      <c r="AV21" s="21">
        <f>EXP(-LN(2)/25)*AV20+(1-EXP(-LN(2)/25))/(LN(2)/25)*Calculateur!AQ21*Calculateur!AS21*VLOOKUP('Données projet'!$B$10,Paramètres!$A$1:$I$89,3,0)*0.475*44/12</f>
        <v>17.754397644979971</v>
      </c>
      <c r="AW21" s="21">
        <f>EXP(-LN(2)/2)*AW20+(1-EXP(-LN(2)/2))/(LN(2)/2)*AQ21*AT21*VLOOKUP('Données projet'!$B$10,Paramètres!$A$1:$I$89,3,0)*0.475*44/12</f>
        <v>16.617184670001222</v>
      </c>
      <c r="AX21" s="21">
        <f t="shared" si="6"/>
        <v>40.828236832496522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>
        <f>BD21*VLOOKUP('Données projet'!$B$11,Paramètres!$A$1:$I$89,3,0)*VLOOKUP('Données projet'!$B$11,Paramètres!$A$1:$I$89,5,0)</f>
        <v>0</v>
      </c>
      <c r="BF21" s="13" t="e">
        <f t="shared" si="37"/>
        <v>#NUM!</v>
      </c>
      <c r="BG21" s="20" t="e">
        <f t="shared" si="7"/>
        <v>#NUM!</v>
      </c>
      <c r="BH21" s="59" t="e">
        <f t="shared" si="8"/>
        <v>#NUM!</v>
      </c>
      <c r="BI21" s="59">
        <f ca="1">AVERAGE(OFFSET($BH$3,0,0,'Données projet'!$E$11+1,1))-AVERAGE(OFFSET($H$3,0,0,'Données projet'!$E$11+1,1))</f>
        <v>102.76553481871144</v>
      </c>
      <c r="BJ21" s="59">
        <f t="shared" si="38"/>
        <v>345.99919346320343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49.150930493278906</v>
      </c>
      <c r="BQ21" s="21">
        <f>EXP(-LN(2)/25)*BQ20+(1-EXP(-LN(2)/25))/(LN(2)/25)*Calculateur!BL21*Calculateur!BN21*VLOOKUP('Données projet'!$B$11,Paramètres!$A$1:$I$89,3,0)*0.475*44/12</f>
        <v>21.36086298124188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70.511793474520786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26</v>
      </c>
      <c r="N22" s="13">
        <f>IF('Données projet'!$A$36&gt;35,N21+M22-V21,IF(A22&lt;'Données projet'!$A$36,$K$205^A22,IF(A22='Données projet'!$A$36,'Données projet'!$B$36,N21+M22-V21)))</f>
        <v>259</v>
      </c>
      <c r="O22" s="13">
        <f>N22*VLOOKUP('Données projet'!$B$9,Paramètres!$A$1:$I$89,3,0)*VLOOKUP('Données projet'!$B$9,Paramètres!$A$1:$I$89,5,0)</f>
        <v>144.78100000000001</v>
      </c>
      <c r="P22" s="13">
        <f t="shared" si="33"/>
        <v>37.390115770833177</v>
      </c>
      <c r="Q22" s="20">
        <f t="shared" si="2"/>
        <v>317.28135996753446</v>
      </c>
      <c r="R22" s="59">
        <f t="shared" si="0"/>
        <v>610.61469330086777</v>
      </c>
      <c r="S22" s="59">
        <f ca="1">AVERAGE(OFFSET($R$3,0,0,'Données projet'!$E$9+1,1))-AVERAGE(OFFSET($H$3,0,0,'Données projet'!$E$9+1,1))</f>
        <v>410.32666742287449</v>
      </c>
      <c r="T22" s="59">
        <f t="shared" si="34"/>
        <v>494.36941732405256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5.7012587885181834</v>
      </c>
      <c r="AB22" s="21">
        <f>EXP(-LN(2)/2)*AB21+(1-EXP(-LN(2)/2))/(LN(2)/2)*V22*Y22*VLOOKUP('Données projet'!$B$9,Paramètres!$A$1:$I$89,3,0)*0.475*44/12</f>
        <v>1.9493869912972674</v>
      </c>
      <c r="AC22" s="22">
        <f t="shared" si="3"/>
        <v>7.6506457798154504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14.666666666666666</v>
      </c>
      <c r="AI22" s="13">
        <f>IF('Données projet'!$A$62&gt;35,AI21+AH22-AQ21,IF(A22&lt;'Données projet'!$A$62,$AF$205^A22,IF(A22='Données projet'!$A$62,'Données projet'!$B$62,AI21+AH22-AQ21)))</f>
        <v>121.66666666666666</v>
      </c>
      <c r="AJ22" s="13">
        <f>AI22*VLOOKUP('Données projet'!$B$10,Paramètres!$A$1:$I$89,3,0)*VLOOKUP('Données projet'!$B$10,Paramètres!$A$1:$I$89,5,0)</f>
        <v>75.919999999999987</v>
      </c>
      <c r="AK22" s="13">
        <f t="shared" si="35"/>
        <v>21.136584134424744</v>
      </c>
      <c r="AL22" s="20">
        <f t="shared" si="4"/>
        <v>169.04021736745639</v>
      </c>
      <c r="AM22" s="59">
        <f t="shared" si="5"/>
        <v>462.37355070078968</v>
      </c>
      <c r="AN22" s="59">
        <f ca="1">AVERAGE(OFFSET($AM$3,0,0,'Données projet'!$E$10+1,1))-AVERAGE(OFFSET($H$3,0,0,'Données projet'!$E$10+1,1))</f>
        <v>197.20006068829753</v>
      </c>
      <c r="AO22" s="59">
        <f t="shared" si="36"/>
        <v>256.52014906581638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6.3300434605972473</v>
      </c>
      <c r="AV22" s="21">
        <f>EXP(-LN(2)/25)*AV21+(1-EXP(-LN(2)/25))/(LN(2)/25)*Calculateur!AQ22*Calculateur!AS22*VLOOKUP('Données projet'!$B$10,Paramètres!$A$1:$I$89,3,0)*0.475*44/12</f>
        <v>17.268902707714801</v>
      </c>
      <c r="AW22" s="21">
        <f>EXP(-LN(2)/2)*AW21+(1-EXP(-LN(2)/2))/(LN(2)/2)*AQ22*AT22*VLOOKUP('Données projet'!$B$10,Paramètres!$A$1:$I$89,3,0)*0.475*44/12</f>
        <v>11.750123964387008</v>
      </c>
      <c r="AX22" s="21">
        <f t="shared" si="6"/>
        <v>35.349070132699055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>
        <f>BD22*VLOOKUP('Données projet'!$B$11,Paramètres!$A$1:$I$89,3,0)*VLOOKUP('Données projet'!$B$11,Paramètres!$A$1:$I$89,5,0)</f>
        <v>0</v>
      </c>
      <c r="BF22" s="13" t="e">
        <f t="shared" si="37"/>
        <v>#NUM!</v>
      </c>
      <c r="BG22" s="20" t="e">
        <f t="shared" si="7"/>
        <v>#NUM!</v>
      </c>
      <c r="BH22" s="59" t="e">
        <f t="shared" si="8"/>
        <v>#NUM!</v>
      </c>
      <c r="BI22" s="59">
        <f ca="1">AVERAGE(OFFSET($BH$3,0,0,'Données projet'!$E$11+1,1))-AVERAGE(OFFSET($H$3,0,0,'Données projet'!$E$11+1,1))</f>
        <v>102.76553481871144</v>
      </c>
      <c r="BJ22" s="59">
        <f t="shared" si="38"/>
        <v>345.99919346320343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48.18711072541312</v>
      </c>
      <c r="BQ22" s="21">
        <f>EXP(-LN(2)/25)*BQ21+(1-EXP(-LN(2)/25))/(LN(2)/25)*Calculateur!BL22*Calculateur!BN22*VLOOKUP('Données projet'!$B$11,Paramètres!$A$1:$I$89,3,0)*0.475*44/12</f>
        <v>20.776749059700858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68.963859785113982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285</v>
      </c>
      <c r="L23" s="12">
        <f>VLOOKUP(A23,'Données projet'!$A$35:$I$55,9,0)</f>
        <v>26</v>
      </c>
      <c r="M23" s="12">
        <f t="array" ref="M23">INDEX(L:L,MIN(IF(ISNUMBER(L23:L219),ROW(L23:L219),"")))</f>
        <v>26</v>
      </c>
      <c r="N23" s="13">
        <f>IF('Données projet'!$A$36&gt;35,N22+M23-V22,IF(A23&lt;'Données projet'!$A$36,$K$205^A23,IF(A23='Données projet'!$A$36,'Données projet'!$B$36,N22+M23-V22)))</f>
        <v>285</v>
      </c>
      <c r="O23" s="13">
        <f>N23*VLOOKUP('Données projet'!$B$9,Paramètres!$A$1:$I$89,3,0)*VLOOKUP('Données projet'!$B$9,Paramètres!$A$1:$I$89,5,0)</f>
        <v>159.315</v>
      </c>
      <c r="P23" s="13">
        <f t="shared" si="33"/>
        <v>40.687973185674707</v>
      </c>
      <c r="Q23" s="20">
        <f t="shared" si="2"/>
        <v>348.33851163171676</v>
      </c>
      <c r="R23" s="59">
        <f t="shared" si="0"/>
        <v>641.67184496505001</v>
      </c>
      <c r="S23" s="59">
        <f ca="1">AVERAGE(OFFSET($R$3,0,0,'Données projet'!$E$9+1,1))-AVERAGE(OFFSET($H$3,0,0,'Données projet'!$E$9+1,1))</f>
        <v>410.32666742287449</v>
      </c>
      <c r="T23" s="59">
        <f t="shared" si="34"/>
        <v>494.36941732405256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45</v>
      </c>
      <c r="W23" s="16">
        <f>IF(ISNA(VLOOKUP(A23,'Données projet'!$A$35:$I$55,5,0)),0%,VLOOKUP(A23,'Données projet'!$A$35:$I$55,5,0)*VLOOKUP('Données projet'!$B$9,Paramètres!$A$1:$I$89,7,0))</f>
        <v>0.11000000000000001</v>
      </c>
      <c r="X23" s="16">
        <f>IF(ISNA(VLOOKUP(A23,'Données projet'!$A$35:$I$55,6,0)),0%,VLOOKUP(A23,'Données projet'!$A$35:$I$55,6,0)*VLOOKUP('Données projet'!$B$9,Paramètres!$A$1:$I$89,7,0))</f>
        <v>0.24750000000000003</v>
      </c>
      <c r="Y23" s="16">
        <f>IF(ISNA(VLOOKUP(A23,'Données projet'!$A$35:$I$55,7,0)),0%,VLOOKUP(A23,'Données projet'!$A$35:$I$55,7,0))</f>
        <v>0.35</v>
      </c>
      <c r="Z23" s="21">
        <f>EXP(-LN(2)/35)*Z22+(1-EXP(-LN(2)/35))/(LN(2)/35)*V23*W23*VLOOKUP('Données projet'!$B$9,Paramètres!$A$1:$I$89,3,0)*0.475*44/12</f>
        <v>3.6706701764239802</v>
      </c>
      <c r="AA23" s="21">
        <f>EXP(-LN(2)/25)*AA22+(1-EXP(-LN(2)/25))/(LN(2)/25)*Calculateur!V23*Calculateur!X23*VLOOKUP('Données projet'!$B$9,Paramètres!$A$1:$I$89,3,0)*0.475*44/12</f>
        <v>13.771846603064908</v>
      </c>
      <c r="AB23" s="21">
        <f>EXP(-LN(2)/2)*AB22+(1-EXP(-LN(2)/2))/(LN(2)/2)*V23*Y23*VLOOKUP('Données projet'!$B$9,Paramètres!$A$1:$I$89,3,0)*0.475*44/12</f>
        <v>11.346880966200525</v>
      </c>
      <c r="AC23" s="22">
        <f t="shared" si="3"/>
        <v>28.789397745689413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14.666666666666666</v>
      </c>
      <c r="AI23" s="13">
        <f>IF('Données projet'!$A$62&gt;35,AI22+AH23-AQ22,IF(A23&lt;'Données projet'!$A$62,$AF$205^A23,IF(A23='Données projet'!$A$62,'Données projet'!$B$62,AI22+AH23-AQ22)))</f>
        <v>136.33333333333331</v>
      </c>
      <c r="AJ23" s="13">
        <f>AI23*VLOOKUP('Données projet'!$B$10,Paramètres!$A$1:$I$89,3,0)*VLOOKUP('Données projet'!$B$10,Paramètres!$A$1:$I$89,5,0)</f>
        <v>85.071999999999989</v>
      </c>
      <c r="AK23" s="13">
        <f t="shared" si="35"/>
        <v>23.372843040969951</v>
      </c>
      <c r="AL23" s="20">
        <f t="shared" si="4"/>
        <v>188.874768296356</v>
      </c>
      <c r="AM23" s="59">
        <f t="shared" si="5"/>
        <v>482.20810162968928</v>
      </c>
      <c r="AN23" s="59">
        <f ca="1">AVERAGE(OFFSET($AM$3,0,0,'Données projet'!$E$10+1,1))-AVERAGE(OFFSET($H$3,0,0,'Données projet'!$E$10+1,1))</f>
        <v>197.20006068829753</v>
      </c>
      <c r="AO23" s="59">
        <f t="shared" si="36"/>
        <v>256.52014906581638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6.2059151692802095</v>
      </c>
      <c r="AV23" s="21">
        <f>EXP(-LN(2)/25)*AV22+(1-EXP(-LN(2)/25))/(LN(2)/25)*Calculateur!AQ23*Calculateur!AS23*VLOOKUP('Données projet'!$B$10,Paramètres!$A$1:$I$89,3,0)*0.475*44/12</f>
        <v>16.796683655040216</v>
      </c>
      <c r="AW23" s="21">
        <f>EXP(-LN(2)/2)*AW22+(1-EXP(-LN(2)/2))/(LN(2)/2)*AQ23*AT23*VLOOKUP('Données projet'!$B$10,Paramètres!$A$1:$I$89,3,0)*0.475*44/12</f>
        <v>8.308592335000613</v>
      </c>
      <c r="AX23" s="21">
        <f t="shared" si="6"/>
        <v>31.311191159321041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>
        <f>BD23*VLOOKUP('Données projet'!$B$11,Paramètres!$A$1:$I$89,3,0)*VLOOKUP('Données projet'!$B$11,Paramètres!$A$1:$I$89,5,0)</f>
        <v>0</v>
      </c>
      <c r="BF23" s="13" t="e">
        <f t="shared" si="37"/>
        <v>#NUM!</v>
      </c>
      <c r="BG23" s="20" t="e">
        <f t="shared" si="7"/>
        <v>#NUM!</v>
      </c>
      <c r="BH23" s="59" t="e">
        <f t="shared" si="8"/>
        <v>#NUM!</v>
      </c>
      <c r="BI23" s="59">
        <f ca="1">AVERAGE(OFFSET($BH$3,0,0,'Données projet'!$E$11+1,1))-AVERAGE(OFFSET($H$3,0,0,'Données projet'!$E$11+1,1))</f>
        <v>102.76553481871144</v>
      </c>
      <c r="BJ23" s="59">
        <f t="shared" si="38"/>
        <v>345.99919346320343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47.242190875323168</v>
      </c>
      <c r="BQ23" s="21">
        <f>EXP(-LN(2)/25)*BQ22+(1-EXP(-LN(2)/25))/(LN(2)/25)*Calculateur!BL23*Calculateur!BN23*VLOOKUP('Données projet'!$B$11,Paramètres!$A$1:$I$89,3,0)*0.475*44/12</f>
        <v>20.20860776406159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67.450798639384757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25.8</v>
      </c>
      <c r="N24" s="13">
        <f>IF('Données projet'!$A$36&gt;35,N23+M24-V23,IF(A24&lt;'Données projet'!$A$36,$K$205^A24,IF(A24='Données projet'!$A$36,'Données projet'!$B$36,N23+M24-V23)))</f>
        <v>265.8</v>
      </c>
      <c r="O24" s="13">
        <f>N24*VLOOKUP('Données projet'!$B$9,Paramètres!$A$1:$I$89,3,0)*VLOOKUP('Données projet'!$B$9,Paramètres!$A$1:$I$89,5,0)</f>
        <v>148.5822</v>
      </c>
      <c r="P24" s="13">
        <f t="shared" si="33"/>
        <v>38.256207612337192</v>
      </c>
      <c r="Q24" s="20">
        <f t="shared" si="2"/>
        <v>325.41022659148729</v>
      </c>
      <c r="R24" s="59">
        <f t="shared" si="0"/>
        <v>618.7435599248206</v>
      </c>
      <c r="S24" s="59">
        <f ca="1">AVERAGE(OFFSET($R$3,0,0,'Données projet'!$E$9+1,1))-AVERAGE(OFFSET($H$3,0,0,'Données projet'!$E$9+1,1))</f>
        <v>410.32666742287449</v>
      </c>
      <c r="T24" s="59">
        <f t="shared" si="34"/>
        <v>494.36941732405256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3.5986905731520418</v>
      </c>
      <c r="AA24" s="21">
        <f>EXP(-LN(2)/25)*AA23+(1-EXP(-LN(2)/25))/(LN(2)/25)*Calculateur!V24*Calculateur!X24*VLOOKUP('Données projet'!$B$9,Paramètres!$A$1:$I$89,3,0)*0.475*44/12</f>
        <v>13.395254733474161</v>
      </c>
      <c r="AB24" s="21">
        <f>EXP(-LN(2)/2)*AB23+(1-EXP(-LN(2)/2))/(LN(2)/2)*V24*Y24*VLOOKUP('Données projet'!$B$9,Paramètres!$A$1:$I$89,3,0)*0.475*44/12</f>
        <v>8.0234564765169551</v>
      </c>
      <c r="AC24" s="22">
        <f t="shared" si="3"/>
        <v>25.017401783143157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14.666666666666666</v>
      </c>
      <c r="AI24" s="13">
        <f>IF('Données projet'!$A$62&gt;35,AI23+AH24-AQ23,IF(A24&lt;'Données projet'!$A$62,$AF$205^A24,IF(A24='Données projet'!$A$62,'Données projet'!$B$62,AI23+AH24-AQ23)))</f>
        <v>150.99999999999997</v>
      </c>
      <c r="AJ24" s="13">
        <f>AI24*VLOOKUP('Données projet'!$B$10,Paramètres!$A$1:$I$89,3,0)*VLOOKUP('Données projet'!$B$10,Paramètres!$A$1:$I$89,5,0)</f>
        <v>94.22399999999999</v>
      </c>
      <c r="AK24" s="13">
        <f t="shared" si="35"/>
        <v>25.581216834792983</v>
      </c>
      <c r="AL24" s="20">
        <f t="shared" si="4"/>
        <v>208.6607526539311</v>
      </c>
      <c r="AM24" s="59">
        <f t="shared" si="5"/>
        <v>501.99408598726438</v>
      </c>
      <c r="AN24" s="59">
        <f ca="1">AVERAGE(OFFSET($AM$3,0,0,'Données projet'!$E$10+1,1))-AVERAGE(OFFSET($H$3,0,0,'Données projet'!$E$10+1,1))</f>
        <v>197.20006068829753</v>
      </c>
      <c r="AO24" s="59">
        <f t="shared" si="36"/>
        <v>256.52014906581638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6.0842209580451172</v>
      </c>
      <c r="AV24" s="21">
        <f>EXP(-LN(2)/25)*AV23+(1-EXP(-LN(2)/25))/(LN(2)/25)*Calculateur!AQ24*Calculateur!AS24*VLOOKUP('Données projet'!$B$10,Paramètres!$A$1:$I$89,3,0)*0.475*44/12</f>
        <v>16.337377457193938</v>
      </c>
      <c r="AW24" s="21">
        <f>EXP(-LN(2)/2)*AW23+(1-EXP(-LN(2)/2))/(LN(2)/2)*AQ24*AT24*VLOOKUP('Données projet'!$B$10,Paramètres!$A$1:$I$89,3,0)*0.475*44/12</f>
        <v>5.8750619821935048</v>
      </c>
      <c r="AX24" s="21">
        <f t="shared" si="6"/>
        <v>28.296660397432557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>
        <f>BD24*VLOOKUP('Données projet'!$B$11,Paramètres!$A$1:$I$89,3,0)*VLOOKUP('Données projet'!$B$11,Paramètres!$A$1:$I$89,5,0)</f>
        <v>0</v>
      </c>
      <c r="BF24" s="13" t="e">
        <f t="shared" si="37"/>
        <v>#NUM!</v>
      </c>
      <c r="BG24" s="20" t="e">
        <f t="shared" si="7"/>
        <v>#NUM!</v>
      </c>
      <c r="BH24" s="59" t="e">
        <f t="shared" si="8"/>
        <v>#NUM!</v>
      </c>
      <c r="BI24" s="59">
        <f ca="1">AVERAGE(OFFSET($BH$3,0,0,'Données projet'!$E$11+1,1))-AVERAGE(OFFSET($H$3,0,0,'Données projet'!$E$11+1,1))</f>
        <v>102.76553481871144</v>
      </c>
      <c r="BJ24" s="59">
        <f t="shared" si="38"/>
        <v>345.99919346320343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46.315800327149283</v>
      </c>
      <c r="BQ24" s="21">
        <f>EXP(-LN(2)/25)*BQ23+(1-EXP(-LN(2)/25))/(LN(2)/25)*Calculateur!BL24*Calculateur!BN24*VLOOKUP('Données projet'!$B$11,Paramètres!$A$1:$I$89,3,0)*0.475*44/12</f>
        <v>19.656002322028829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65.971802649178116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25.8</v>
      </c>
      <c r="N25" s="13">
        <f>IF('Données projet'!$A$36&gt;35,N24+M25-V24,IF(A25&lt;'Données projet'!$A$36,$K$205^A25,IF(A25='Données projet'!$A$36,'Données projet'!$B$36,N24+M25-V24)))</f>
        <v>291.60000000000002</v>
      </c>
      <c r="O25" s="13">
        <f>N25*VLOOKUP('Données projet'!$B$9,Paramètres!$A$1:$I$89,3,0)*VLOOKUP('Données projet'!$B$9,Paramètres!$A$1:$I$89,5,0)</f>
        <v>163.0044</v>
      </c>
      <c r="P25" s="13">
        <f t="shared" si="33"/>
        <v>41.519430766049162</v>
      </c>
      <c r="Q25" s="20">
        <f t="shared" si="2"/>
        <v>356.21233858420231</v>
      </c>
      <c r="R25" s="59">
        <f t="shared" si="0"/>
        <v>649.54567191753563</v>
      </c>
      <c r="S25" s="59">
        <f ca="1">AVERAGE(OFFSET($R$3,0,0,'Données projet'!$E$9+1,1))-AVERAGE(OFFSET($H$3,0,0,'Données projet'!$E$9+1,1))</f>
        <v>410.32666742287449</v>
      </c>
      <c r="T25" s="59">
        <f t="shared" si="34"/>
        <v>494.36941732405256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3.5281224459970431</v>
      </c>
      <c r="AA25" s="21">
        <f>EXP(-LN(2)/25)*AA24+(1-EXP(-LN(2)/25))/(LN(2)/25)*Calculateur!V25*Calculateur!X25*VLOOKUP('Données projet'!$B$9,Paramètres!$A$1:$I$89,3,0)*0.475*44/12</f>
        <v>13.028960788361479</v>
      </c>
      <c r="AB25" s="21">
        <f>EXP(-LN(2)/2)*AB24+(1-EXP(-LN(2)/2))/(LN(2)/2)*V25*Y25*VLOOKUP('Données projet'!$B$9,Paramètres!$A$1:$I$89,3,0)*0.475*44/12</f>
        <v>5.6734404831002623</v>
      </c>
      <c r="AC25" s="22">
        <f t="shared" si="3"/>
        <v>22.230523717458784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14.666666666666666</v>
      </c>
      <c r="AI25" s="13">
        <f>IF('Données projet'!$A$62&gt;35,AI24+AH25-AQ24,IF(A25&lt;'Données projet'!$A$62,$AF$205^A25,IF(A25='Données projet'!$A$62,'Données projet'!$B$62,AI24+AH25-AQ24)))</f>
        <v>165.66666666666663</v>
      </c>
      <c r="AJ25" s="13">
        <f>AI25*VLOOKUP('Données projet'!$B$10,Paramètres!$A$1:$I$89,3,0)*VLOOKUP('Données projet'!$B$10,Paramètres!$A$1:$I$89,5,0)</f>
        <v>103.37599999999998</v>
      </c>
      <c r="AK25" s="13">
        <f t="shared" si="35"/>
        <v>27.76472221481021</v>
      </c>
      <c r="AL25" s="20">
        <f t="shared" si="4"/>
        <v>228.4034245241277</v>
      </c>
      <c r="AM25" s="59">
        <f t="shared" si="5"/>
        <v>521.73675785746104</v>
      </c>
      <c r="AN25" s="59">
        <f ca="1">AVERAGE(OFFSET($AM$3,0,0,'Données projet'!$E$10+1,1))-AVERAGE(OFFSET($H$3,0,0,'Données projet'!$E$10+1,1))</f>
        <v>197.20006068829753</v>
      </c>
      <c r="AO25" s="59">
        <f t="shared" si="36"/>
        <v>256.52014906581638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5.9649130960662049</v>
      </c>
      <c r="AV25" s="21">
        <f>EXP(-LN(2)/25)*AV24+(1-EXP(-LN(2)/25))/(LN(2)/25)*Calculateur!AQ25*Calculateur!AS25*VLOOKUP('Données projet'!$B$10,Paramètres!$A$1:$I$89,3,0)*0.475*44/12</f>
        <v>15.890631011481629</v>
      </c>
      <c r="AW25" s="21">
        <f>EXP(-LN(2)/2)*AW24+(1-EXP(-LN(2)/2))/(LN(2)/2)*AQ25*AT25*VLOOKUP('Données projet'!$B$10,Paramètres!$A$1:$I$89,3,0)*0.475*44/12</f>
        <v>4.1542961675003074</v>
      </c>
      <c r="AX25" s="21">
        <f t="shared" si="6"/>
        <v>26.009840275048141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>
        <f>BD25*VLOOKUP('Données projet'!$B$11,Paramètres!$A$1:$I$89,3,0)*VLOOKUP('Données projet'!$B$11,Paramètres!$A$1:$I$89,5,0)</f>
        <v>0</v>
      </c>
      <c r="BF25" s="13" t="e">
        <f t="shared" si="37"/>
        <v>#NUM!</v>
      </c>
      <c r="BG25" s="20" t="e">
        <f t="shared" si="7"/>
        <v>#NUM!</v>
      </c>
      <c r="BH25" s="59" t="e">
        <f t="shared" si="8"/>
        <v>#NUM!</v>
      </c>
      <c r="BI25" s="59">
        <f ca="1">AVERAGE(OFFSET($BH$3,0,0,'Données projet'!$E$11+1,1))-AVERAGE(OFFSET($H$3,0,0,'Données projet'!$E$11+1,1))</f>
        <v>102.76553481871144</v>
      </c>
      <c r="BJ25" s="59">
        <f t="shared" si="38"/>
        <v>345.99919346320343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45.407575732582643</v>
      </c>
      <c r="BQ25" s="21">
        <f>EXP(-LN(2)/25)*BQ24+(1-EXP(-LN(2)/25))/(LN(2)/25)*Calculateur!BL25*Calculateur!BN25*VLOOKUP('Données projet'!$B$11,Paramètres!$A$1:$I$89,3,0)*0.475*44/12</f>
        <v>19.118507904868714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64.526083637451364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25.8</v>
      </c>
      <c r="N26" s="13">
        <f>IF('Données projet'!$A$36&gt;35,N25+M26-V25,IF(A26&lt;'Données projet'!$A$36,$K$205^A26,IF(A26='Données projet'!$A$36,'Données projet'!$B$36,N25+M26-V25)))</f>
        <v>317.40000000000003</v>
      </c>
      <c r="O26" s="13">
        <f>N26*VLOOKUP('Données projet'!$B$9,Paramètres!$A$1:$I$89,3,0)*VLOOKUP('Données projet'!$B$9,Paramètres!$A$1:$I$89,5,0)</f>
        <v>177.42660000000001</v>
      </c>
      <c r="P26" s="13">
        <f t="shared" si="33"/>
        <v>44.749173138651841</v>
      </c>
      <c r="Q26" s="20">
        <f t="shared" si="2"/>
        <v>386.95613821648527</v>
      </c>
      <c r="R26" s="59">
        <f t="shared" si="0"/>
        <v>680.28947154981859</v>
      </c>
      <c r="S26" s="59">
        <f ca="1">AVERAGE(OFFSET($R$3,0,0,'Données projet'!$E$9+1,1))-AVERAGE(OFFSET($H$3,0,0,'Données projet'!$E$9+1,1))</f>
        <v>410.32666742287449</v>
      </c>
      <c r="T26" s="59">
        <f t="shared" si="34"/>
        <v>494.36941732405256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3.4589381167732465</v>
      </c>
      <c r="AA26" s="21">
        <f>EXP(-LN(2)/25)*AA25+(1-EXP(-LN(2)/25))/(LN(2)/25)*Calculateur!V26*Calculateur!X26*VLOOKUP('Données projet'!$B$9,Paramètres!$A$1:$I$89,3,0)*0.475*44/12</f>
        <v>12.672683170440465</v>
      </c>
      <c r="AB26" s="21">
        <f>EXP(-LN(2)/2)*AB25+(1-EXP(-LN(2)/2))/(LN(2)/2)*V26*Y26*VLOOKUP('Données projet'!$B$9,Paramètres!$A$1:$I$89,3,0)*0.475*44/12</f>
        <v>4.0117282382584776</v>
      </c>
      <c r="AC26" s="22">
        <f t="shared" si="3"/>
        <v>20.143349525472189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14.666666666666666</v>
      </c>
      <c r="AI26" s="13">
        <f>IF('Données projet'!$A$62&gt;35,AI25+AH26-AQ25,IF(A26&lt;'Données projet'!$A$62,$AF$205^A26,IF(A26='Données projet'!$A$62,'Données projet'!$B$62,AI25+AH26-AQ25)))</f>
        <v>180.33333333333329</v>
      </c>
      <c r="AJ26" s="13">
        <f>AI26*VLOOKUP('Données projet'!$B$10,Paramètres!$A$1:$I$89,3,0)*VLOOKUP('Données projet'!$B$10,Paramètres!$A$1:$I$89,5,0)</f>
        <v>112.52799999999996</v>
      </c>
      <c r="AK26" s="13">
        <f t="shared" si="35"/>
        <v>29.925811159844582</v>
      </c>
      <c r="AL26" s="20">
        <f t="shared" si="4"/>
        <v>248.10705443672927</v>
      </c>
      <c r="AM26" s="59">
        <f t="shared" si="5"/>
        <v>541.44038777006256</v>
      </c>
      <c r="AN26" s="59">
        <f ca="1">AVERAGE(OFFSET($AM$3,0,0,'Données projet'!$E$10+1,1))-AVERAGE(OFFSET($H$3,0,0,'Données projet'!$E$10+1,1))</f>
        <v>197.20006068829753</v>
      </c>
      <c r="AO26" s="59">
        <f t="shared" si="36"/>
        <v>256.52014906581638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5.8479447884900893</v>
      </c>
      <c r="AV26" s="21">
        <f>EXP(-LN(2)/25)*AV25+(1-EXP(-LN(2)/25))/(LN(2)/25)*Calculateur!AQ26*Calculateur!AS26*VLOOKUP('Données projet'!$B$10,Paramètres!$A$1:$I$89,3,0)*0.475*44/12</f>
        <v>15.456100870820697</v>
      </c>
      <c r="AW26" s="21">
        <f>EXP(-LN(2)/2)*AW25+(1-EXP(-LN(2)/2))/(LN(2)/2)*AQ26*AT26*VLOOKUP('Données projet'!$B$10,Paramètres!$A$1:$I$89,3,0)*0.475*44/12</f>
        <v>2.9375309910967529</v>
      </c>
      <c r="AX26" s="21">
        <f t="shared" si="6"/>
        <v>24.241576650407541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>
        <f>BD26*VLOOKUP('Données projet'!$B$11,Paramètres!$A$1:$I$89,3,0)*VLOOKUP('Données projet'!$B$11,Paramètres!$A$1:$I$89,5,0)</f>
        <v>0</v>
      </c>
      <c r="BF26" s="13" t="e">
        <f t="shared" si="37"/>
        <v>#NUM!</v>
      </c>
      <c r="BG26" s="20" t="e">
        <f t="shared" si="7"/>
        <v>#NUM!</v>
      </c>
      <c r="BH26" s="59" t="e">
        <f t="shared" si="8"/>
        <v>#NUM!</v>
      </c>
      <c r="BI26" s="59">
        <f ca="1">AVERAGE(OFFSET($BH$3,0,0,'Données projet'!$E$11+1,1))-AVERAGE(OFFSET($H$3,0,0,'Données projet'!$E$11+1,1))</f>
        <v>102.76553481871144</v>
      </c>
      <c r="BJ26" s="59">
        <f t="shared" si="38"/>
        <v>345.99919346320343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44.517160868353152</v>
      </c>
      <c r="BQ26" s="21">
        <f>EXP(-LN(2)/25)*BQ25+(1-EXP(-LN(2)/25))/(LN(2)/25)*Calculateur!BL26*Calculateur!BN26*VLOOKUP('Données projet'!$B$11,Paramètres!$A$1:$I$89,3,0)*0.475*44/12</f>
        <v>18.595711300811445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63.112872169164596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25.8</v>
      </c>
      <c r="N27" s="13">
        <f>IF('Données projet'!$A$36&gt;35,N26+M27-V26,IF(A27&lt;'Données projet'!$A$36,$K$205^A27,IF(A27='Données projet'!$A$36,'Données projet'!$B$36,N26+M27-V26)))</f>
        <v>343.20000000000005</v>
      </c>
      <c r="O27" s="13">
        <f>N27*VLOOKUP('Données projet'!$B$9,Paramètres!$A$1:$I$89,3,0)*VLOOKUP('Données projet'!$B$9,Paramètres!$A$1:$I$89,5,0)</f>
        <v>191.84880000000004</v>
      </c>
      <c r="P27" s="13">
        <f t="shared" si="33"/>
        <v>47.948465637272896</v>
      </c>
      <c r="Q27" s="20">
        <f t="shared" si="2"/>
        <v>417.64690431825039</v>
      </c>
      <c r="R27" s="59">
        <f t="shared" si="0"/>
        <v>710.98023765158371</v>
      </c>
      <c r="S27" s="59">
        <f ca="1">AVERAGE(OFFSET($R$3,0,0,'Données projet'!$E$9+1,1))-AVERAGE(OFFSET($H$3,0,0,'Données projet'!$E$9+1,1))</f>
        <v>410.32666742287449</v>
      </c>
      <c r="T27" s="59">
        <f t="shared" si="34"/>
        <v>494.36941732405256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3.3911104500472544</v>
      </c>
      <c r="AA27" s="21">
        <f>EXP(-LN(2)/25)*AA26+(1-EXP(-LN(2)/25))/(LN(2)/25)*Calculateur!V27*Calculateur!X27*VLOOKUP('Données projet'!$B$9,Paramètres!$A$1:$I$89,3,0)*0.475*44/12</f>
        <v>12.326147982717327</v>
      </c>
      <c r="AB27" s="21">
        <f>EXP(-LN(2)/2)*AB26+(1-EXP(-LN(2)/2))/(LN(2)/2)*V27*Y27*VLOOKUP('Données projet'!$B$9,Paramètres!$A$1:$I$89,3,0)*0.475*44/12</f>
        <v>2.8367202415501311</v>
      </c>
      <c r="AC27" s="22">
        <f t="shared" si="3"/>
        <v>18.553978674314713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195</v>
      </c>
      <c r="AG27" s="12">
        <f>VLOOKUP(A27,'Données projet'!$A$61:$I$81,9,0)</f>
        <v>14.666666666666666</v>
      </c>
      <c r="AH27" s="12">
        <f t="array" ref="AH27">INDEX(AG:AG,MIN(IF(ISNUMBER(AG27:AG223),ROW(AG27:AG223),"")))</f>
        <v>14.666666666666666</v>
      </c>
      <c r="AI27" s="13">
        <f>IF('Données projet'!$A$62&gt;35,AI26+AH27-AQ26,IF(A27&lt;'Données projet'!$A$62,$AF$205^A27,IF(A27='Données projet'!$A$62,'Données projet'!$B$62,AI26+AH27-AQ26)))</f>
        <v>194.99999999999994</v>
      </c>
      <c r="AJ27" s="13">
        <f>AI27*VLOOKUP('Données projet'!$B$10,Paramètres!$A$1:$I$89,3,0)*VLOOKUP('Données projet'!$B$10,Paramètres!$A$1:$I$89,5,0)</f>
        <v>121.67999999999996</v>
      </c>
      <c r="AK27" s="13">
        <f t="shared" si="35"/>
        <v>32.066514091456256</v>
      </c>
      <c r="AL27" s="20">
        <f t="shared" si="4"/>
        <v>267.77517870928619</v>
      </c>
      <c r="AM27" s="59">
        <f t="shared" si="5"/>
        <v>561.10851204261951</v>
      </c>
      <c r="AN27" s="59">
        <f ca="1">AVERAGE(OFFSET($AM$3,0,0,'Données projet'!$E$10+1,1))-AVERAGE(OFFSET($H$3,0,0,'Données projet'!$E$10+1,1))</f>
        <v>197.20006068829753</v>
      </c>
      <c r="AO27" s="59">
        <f t="shared" si="36"/>
        <v>256.52014906581638</v>
      </c>
      <c r="AP27" s="15">
        <f>IF(ISNA(VLOOKUP(A27,'Données projet'!$A$61:$I$81,3,0)),0,VLOOKUP(A27,'Données projet'!$A$61:$I$81,3,0))</f>
        <v>3</v>
      </c>
      <c r="AQ27" s="15">
        <f>IF(ISNA(VLOOKUP(A27,'Données projet'!$A$61:$I$81,4,0)),0,VLOOKUP(A27,'Données projet'!$A$61:$I$81,4,0))</f>
        <v>57</v>
      </c>
      <c r="AR27" s="16">
        <f>IF(ISNA(VLOOKUP(A27,'Données projet'!$A$61:$I$81,5,0)),0%,VLOOKUP(A27,'Données projet'!$A$61:$I$81,5,0)*VLOOKUP('Données projet'!$B$10,Paramètres!$A$1:$I$89,7,0))</f>
        <v>0.12</v>
      </c>
      <c r="AS27" s="16">
        <f>IF(ISNA(VLOOKUP(A27,'Données projet'!$A$61:$I$81,6,0)),0%,VLOOKUP(A27,'Données projet'!$A$61:$I$81,6,0)*VLOOKUP('Données projet'!$B$10,Paramètres!$A$1:$I$89,7,0))</f>
        <v>0.27</v>
      </c>
      <c r="AT27" s="16">
        <f>IF(ISNA(VLOOKUP(A27,'Données projet'!$A$61:$I$81,7,0)),0%,VLOOKUP(A27,'Données projet'!$A$61:$I$81,7,0))</f>
        <v>0.35</v>
      </c>
      <c r="AU27" s="21">
        <f>EXP(-LN(2)/35)*AU26+(1-EXP(-LN(2)/35))/(LN(2)/35)*AQ27*AR27*VLOOKUP('Données projet'!$B$10,Paramètres!$A$1:$I$89,3,0)*0.475*44/12</f>
        <v>11.395259504210745</v>
      </c>
      <c r="AV27" s="21">
        <f>EXP(-LN(2)/25)*AV26+(1-EXP(-LN(2)/25))/(LN(2)/25)*Calculateur!AQ27*Calculateur!AS27*VLOOKUP('Données projet'!$B$10,Paramètres!$A$1:$I$89,3,0)*0.475*44/12</f>
        <v>27.722768837250683</v>
      </c>
      <c r="AW27" s="21">
        <f>EXP(-LN(2)/2)*AW26+(1-EXP(-LN(2)/2))/(LN(2)/2)*AQ27*AT27*VLOOKUP('Données projet'!$B$10,Paramètres!$A$1:$I$89,3,0)*0.475*44/12</f>
        <v>16.172081509197621</v>
      </c>
      <c r="AX27" s="21">
        <f t="shared" si="6"/>
        <v>55.29010985065905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>
        <f>BD27*VLOOKUP('Données projet'!$B$11,Paramètres!$A$1:$I$89,3,0)*VLOOKUP('Données projet'!$B$11,Paramètres!$A$1:$I$89,5,0)</f>
        <v>0</v>
      </c>
      <c r="BF27" s="13" t="e">
        <f t="shared" si="37"/>
        <v>#NUM!</v>
      </c>
      <c r="BG27" s="20" t="e">
        <f t="shared" si="7"/>
        <v>#NUM!</v>
      </c>
      <c r="BH27" s="59" t="e">
        <f t="shared" si="8"/>
        <v>#NUM!</v>
      </c>
      <c r="BI27" s="59">
        <f ca="1">AVERAGE(OFFSET($BH$3,0,0,'Données projet'!$E$11+1,1))-AVERAGE(OFFSET($H$3,0,0,'Données projet'!$E$11+1,1))</f>
        <v>102.76553481871144</v>
      </c>
      <c r="BJ27" s="59">
        <f t="shared" si="38"/>
        <v>345.99919346320343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43.644206496511764</v>
      </c>
      <c r="BQ27" s="21">
        <f>EXP(-LN(2)/25)*BQ26+(1-EXP(-LN(2)/25))/(LN(2)/25)*Calculateur!BL27*Calculateur!BN27*VLOOKUP('Données projet'!$B$11,Paramètres!$A$1:$I$89,3,0)*0.475*44/12</f>
        <v>18.0872105973848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61.731417093896567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369</v>
      </c>
      <c r="L28" s="12">
        <f>VLOOKUP(A28,'Données projet'!$A$35:$I$55,9,0)</f>
        <v>25.8</v>
      </c>
      <c r="M28" s="12">
        <f t="array" ref="M28">INDEX(L:L,MIN(IF(ISNUMBER(L28:L224),ROW(L28:L224),"")))</f>
        <v>25.8</v>
      </c>
      <c r="N28" s="13">
        <f>IF('Données projet'!$A$36&gt;35,N27+M28-V27,IF(A28&lt;'Données projet'!$A$36,$K$205^A28,IF(A28='Données projet'!$A$36,'Données projet'!$B$36,N27+M28-V27)))</f>
        <v>369.00000000000006</v>
      </c>
      <c r="O28" s="13">
        <f>N28*VLOOKUP('Données projet'!$B$9,Paramètres!$A$1:$I$89,3,0)*VLOOKUP('Données projet'!$B$9,Paramètres!$A$1:$I$89,5,0)</f>
        <v>206.27100000000002</v>
      </c>
      <c r="P28" s="13">
        <f t="shared" si="33"/>
        <v>51.119857609331589</v>
      </c>
      <c r="Q28" s="20">
        <f t="shared" si="2"/>
        <v>448.28907700291916</v>
      </c>
      <c r="R28" s="59">
        <f t="shared" si="0"/>
        <v>741.62241033625241</v>
      </c>
      <c r="S28" s="59">
        <f ca="1">AVERAGE(OFFSET($R$3,0,0,'Données projet'!$E$9+1,1))-AVERAGE(OFFSET($H$3,0,0,'Données projet'!$E$9+1,1))</f>
        <v>410.32666742287449</v>
      </c>
      <c r="T28" s="59">
        <f t="shared" si="34"/>
        <v>494.36941732405256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52</v>
      </c>
      <c r="W28" s="16">
        <f>IF(ISNA(VLOOKUP(A28,'Données projet'!$A$35:$I$55,5,0)),0%,VLOOKUP(A28,'Données projet'!$A$35:$I$55,5,0)*VLOOKUP('Données projet'!$B$9,Paramètres!$A$1:$I$89,7,0))</f>
        <v>0.11000000000000001</v>
      </c>
      <c r="X28" s="16">
        <f>IF(ISNA(VLOOKUP(A28,'Données projet'!$A$35:$I$55,6,0)),0%,VLOOKUP(A28,'Données projet'!$A$35:$I$55,6,0)*VLOOKUP('Données projet'!$B$9,Paramètres!$A$1:$I$89,7,0))</f>
        <v>0.24750000000000003</v>
      </c>
      <c r="Y28" s="16">
        <f>IF(ISNA(VLOOKUP(A28,'Données projet'!$A$35:$I$55,7,0)),0%,VLOOKUP(A28,'Données projet'!$A$35:$I$55,7,0))</f>
        <v>0.35</v>
      </c>
      <c r="Z28" s="21">
        <f>EXP(-LN(2)/35)*Z27+(1-EXP(-LN(2)/35))/(LN(2)/35)*V28*W28*VLOOKUP('Données projet'!$B$9,Paramètres!$A$1:$I$89,3,0)*0.475*44/12</f>
        <v>7.5662761574737889</v>
      </c>
      <c r="AA28" s="21">
        <f>EXP(-LN(2)/25)*AA27+(1-EXP(-LN(2)/25))/(LN(2)/25)*Calculateur!V28*Calculateur!X28*VLOOKUP('Données projet'!$B$9,Paramètres!$A$1:$I$89,3,0)*0.475*44/12</f>
        <v>21.495253926117439</v>
      </c>
      <c r="AB28" s="21">
        <f>EXP(-LN(2)/2)*AB27+(1-EXP(-LN(2)/2))/(LN(2)/2)*V28*Y28*VLOOKUP('Données projet'!$B$9,Paramètres!$A$1:$I$89,3,0)*0.475*44/12</f>
        <v>13.524969067703996</v>
      </c>
      <c r="AC28" s="22">
        <f t="shared" si="3"/>
        <v>42.586499151295229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12.833333333333334</v>
      </c>
      <c r="AI28" s="13">
        <f>IF('Données projet'!$A$62&gt;35,AI27+AH28-AQ27,IF(A28&lt;'Données projet'!$A$62,$AF$205^A28,IF(A28='Données projet'!$A$62,'Données projet'!$B$62,AI27+AH28-AQ27)))</f>
        <v>150.83333333333329</v>
      </c>
      <c r="AJ28" s="13">
        <f>AI28*VLOOKUP('Données projet'!$B$10,Paramètres!$A$1:$I$89,3,0)*VLOOKUP('Données projet'!$B$10,Paramètres!$A$1:$I$89,5,0)</f>
        <v>94.119999999999976</v>
      </c>
      <c r="AK28" s="13">
        <f t="shared" si="35"/>
        <v>25.556266486217968</v>
      </c>
      <c r="AL28" s="20">
        <f t="shared" si="4"/>
        <v>208.43616413016289</v>
      </c>
      <c r="AM28" s="59">
        <f t="shared" si="5"/>
        <v>501.76949746349624</v>
      </c>
      <c r="AN28" s="59">
        <f ca="1">AVERAGE(OFFSET($AM$3,0,0,'Données projet'!$E$10+1,1))-AVERAGE(OFFSET($H$3,0,0,'Données projet'!$E$10+1,1))</f>
        <v>197.20006068829753</v>
      </c>
      <c r="AO28" s="59">
        <f t="shared" si="36"/>
        <v>256.52014906581638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11.171805415755173</v>
      </c>
      <c r="AV28" s="21">
        <f>EXP(-LN(2)/25)*AV27+(1-EXP(-LN(2)/25))/(LN(2)/25)*Calculateur!AQ28*Calculateur!AS28*VLOOKUP('Données projet'!$B$10,Paramètres!$A$1:$I$89,3,0)*0.475*44/12</f>
        <v>26.964688265519012</v>
      </c>
      <c r="AW28" s="21">
        <f>EXP(-LN(2)/2)*AW27+(1-EXP(-LN(2)/2))/(LN(2)/2)*AQ28*AT28*VLOOKUP('Données projet'!$B$10,Paramètres!$A$1:$I$89,3,0)*0.475*44/12</f>
        <v>11.435388501055215</v>
      </c>
      <c r="AX28" s="21">
        <f t="shared" si="6"/>
        <v>49.571882182329404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>
        <f>BD28*VLOOKUP('Données projet'!$B$11,Paramètres!$A$1:$I$89,3,0)*VLOOKUP('Données projet'!$B$11,Paramètres!$A$1:$I$89,5,0)</f>
        <v>0</v>
      </c>
      <c r="BF28" s="13" t="e">
        <f t="shared" si="37"/>
        <v>#NUM!</v>
      </c>
      <c r="BG28" s="20" t="e">
        <f t="shared" si="7"/>
        <v>#NUM!</v>
      </c>
      <c r="BH28" s="59" t="e">
        <f t="shared" si="8"/>
        <v>#NUM!</v>
      </c>
      <c r="BI28" s="59">
        <f ca="1">AVERAGE(OFFSET($BH$3,0,0,'Données projet'!$E$11+1,1))-AVERAGE(OFFSET($H$3,0,0,'Données projet'!$E$11+1,1))</f>
        <v>102.76553481871144</v>
      </c>
      <c r="BJ28" s="59">
        <f t="shared" si="38"/>
        <v>345.99919346320343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42.788370227452589</v>
      </c>
      <c r="BQ28" s="21">
        <f>EXP(-LN(2)/25)*BQ27+(1-EXP(-LN(2)/25))/(LN(2)/25)*Calculateur!BL28*Calculateur!BN28*VLOOKUP('Données projet'!$B$11,Paramètres!$A$1:$I$89,3,0)*0.475*44/12</f>
        <v>17.592614872434247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60.380985099886836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24.6</v>
      </c>
      <c r="N29" s="13">
        <f>IF('Données projet'!$A$36&gt;35,N28+M29-V28,IF(A29&lt;'Données projet'!$A$36,$K$205^A29,IF(A29='Données projet'!$A$36,'Données projet'!$B$36,N28+M29-V28)))</f>
        <v>341.60000000000008</v>
      </c>
      <c r="O29" s="13">
        <f>N29*VLOOKUP('Données projet'!$B$9,Paramètres!$A$1:$I$89,3,0)*VLOOKUP('Données projet'!$B$9,Paramètres!$A$1:$I$89,5,0)</f>
        <v>190.95440000000005</v>
      </c>
      <c r="P29" s="13">
        <f t="shared" si="33"/>
        <v>47.750895568819487</v>
      </c>
      <c r="Q29" s="20">
        <f t="shared" si="2"/>
        <v>415.74505644902729</v>
      </c>
      <c r="R29" s="59">
        <f t="shared" si="0"/>
        <v>709.07838978236055</v>
      </c>
      <c r="S29" s="59">
        <f ca="1">AVERAGE(OFFSET($R$3,0,0,'Données projet'!$E$9+1,1))-AVERAGE(OFFSET($H$3,0,0,'Données projet'!$E$9+1,1))</f>
        <v>410.32666742287449</v>
      </c>
      <c r="T29" s="59">
        <f t="shared" si="34"/>
        <v>494.36941732405256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7.4179060969984931</v>
      </c>
      <c r="AA29" s="21">
        <f>EXP(-LN(2)/25)*AA28+(1-EXP(-LN(2)/25))/(LN(2)/25)*Calculateur!V29*Calculateur!X29*VLOOKUP('Données projet'!$B$9,Paramètres!$A$1:$I$89,3,0)*0.475*44/12</f>
        <v>20.907465077121483</v>
      </c>
      <c r="AB29" s="21">
        <f>EXP(-LN(2)/2)*AB28+(1-EXP(-LN(2)/2))/(LN(2)/2)*V29*Y29*VLOOKUP('Données projet'!$B$9,Paramètres!$A$1:$I$89,3,0)*0.475*44/12</f>
        <v>9.5635973431117929</v>
      </c>
      <c r="AC29" s="22">
        <f t="shared" si="3"/>
        <v>37.888968517231767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12.833333333333334</v>
      </c>
      <c r="AI29" s="13">
        <f>IF('Données projet'!$A$62&gt;35,AI28+AH29-AQ28,IF(A29&lt;'Données projet'!$A$62,$AF$205^A29,IF(A29='Données projet'!$A$62,'Données projet'!$B$62,AI28+AH29-AQ28)))</f>
        <v>163.66666666666663</v>
      </c>
      <c r="AJ29" s="13">
        <f>AI29*VLOOKUP('Données projet'!$B$10,Paramètres!$A$1:$I$89,3,0)*VLOOKUP('Données projet'!$B$10,Paramètres!$A$1:$I$89,5,0)</f>
        <v>102.12799999999997</v>
      </c>
      <c r="AK29" s="13">
        <f t="shared" si="35"/>
        <v>27.468341244672462</v>
      </c>
      <c r="AL29" s="20">
        <f t="shared" si="4"/>
        <v>225.7136276678045</v>
      </c>
      <c r="AM29" s="59">
        <f t="shared" si="5"/>
        <v>519.04696100113779</v>
      </c>
      <c r="AN29" s="59">
        <f ca="1">AVERAGE(OFFSET($AM$3,0,0,'Données projet'!$E$10+1,1))-AVERAGE(OFFSET($H$3,0,0,'Données projet'!$E$10+1,1))</f>
        <v>197.20006068829753</v>
      </c>
      <c r="AO29" s="59">
        <f t="shared" si="36"/>
        <v>256.52014906581638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10.952733125680679</v>
      </c>
      <c r="AV29" s="21">
        <f>EXP(-LN(2)/25)*AV28+(1-EXP(-LN(2)/25))/(LN(2)/25)*Calculateur!AQ29*Calculateur!AS29*VLOOKUP('Données projet'!$B$10,Paramètres!$A$1:$I$89,3,0)*0.475*44/12</f>
        <v>26.227337446887066</v>
      </c>
      <c r="AW29" s="21">
        <f>EXP(-LN(2)/2)*AW28+(1-EXP(-LN(2)/2))/(LN(2)/2)*AQ29*AT29*VLOOKUP('Données projet'!$B$10,Paramètres!$A$1:$I$89,3,0)*0.475*44/12</f>
        <v>8.0860407545988124</v>
      </c>
      <c r="AX29" s="21">
        <f t="shared" si="6"/>
        <v>45.266111327166556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>
        <f>BD29*VLOOKUP('Données projet'!$B$11,Paramètres!$A$1:$I$89,3,0)*VLOOKUP('Données projet'!$B$11,Paramètres!$A$1:$I$89,5,0)</f>
        <v>0</v>
      </c>
      <c r="BF29" s="13" t="e">
        <f t="shared" si="37"/>
        <v>#NUM!</v>
      </c>
      <c r="BG29" s="20" t="e">
        <f t="shared" si="7"/>
        <v>#NUM!</v>
      </c>
      <c r="BH29" s="59" t="e">
        <f t="shared" si="8"/>
        <v>#NUM!</v>
      </c>
      <c r="BI29" s="59">
        <f ca="1">AVERAGE(OFFSET($BH$3,0,0,'Données projet'!$E$11+1,1))-AVERAGE(OFFSET($H$3,0,0,'Données projet'!$E$11+1,1))</f>
        <v>102.76553481871144</v>
      </c>
      <c r="BJ29" s="59">
        <f t="shared" si="38"/>
        <v>345.99919346320343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41.949316385621088</v>
      </c>
      <c r="BQ29" s="21">
        <f>EXP(-LN(2)/25)*BQ28+(1-EXP(-LN(2)/25))/(LN(2)/25)*Calculateur!BL29*Calculateur!BN29*VLOOKUP('Données projet'!$B$11,Paramètres!$A$1:$I$89,3,0)*0.475*44/12</f>
        <v>17.111543893592124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59.060860279213216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24.6</v>
      </c>
      <c r="N30" s="13">
        <f>IF('Données projet'!$A$36&gt;35,N29+M30-V29,IF(A30&lt;'Données projet'!$A$36,$K$205^A30,IF(A30='Données projet'!$A$36,'Données projet'!$B$36,N29+M30-V29)))</f>
        <v>366.2000000000001</v>
      </c>
      <c r="O30" s="13">
        <f>N30*VLOOKUP('Données projet'!$B$9,Paramètres!$A$1:$I$89,3,0)*VLOOKUP('Données projet'!$B$9,Paramètres!$A$1:$I$89,5,0)</f>
        <v>204.70580000000007</v>
      </c>
      <c r="P30" s="13">
        <f t="shared" si="33"/>
        <v>50.776956172604621</v>
      </c>
      <c r="Q30" s="20">
        <f t="shared" si="2"/>
        <v>444.96580033395315</v>
      </c>
      <c r="R30" s="59">
        <f t="shared" si="0"/>
        <v>738.29913366728647</v>
      </c>
      <c r="S30" s="59">
        <f ca="1">AVERAGE(OFFSET($R$3,0,0,'Données projet'!$E$9+1,1))-AVERAGE(OFFSET($H$3,0,0,'Données projet'!$E$9+1,1))</f>
        <v>410.32666742287449</v>
      </c>
      <c r="T30" s="59">
        <f t="shared" si="34"/>
        <v>494.36941732405256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7.2724454829123166</v>
      </c>
      <c r="AA30" s="21">
        <f>EXP(-LN(2)/25)*AA29+(1-EXP(-LN(2)/25))/(LN(2)/25)*Calculateur!V30*Calculateur!X30*VLOOKUP('Données projet'!$B$9,Paramètres!$A$1:$I$89,3,0)*0.475*44/12</f>
        <v>20.335749345111793</v>
      </c>
      <c r="AB30" s="21">
        <f>EXP(-LN(2)/2)*AB29+(1-EXP(-LN(2)/2))/(LN(2)/2)*V30*Y30*VLOOKUP('Données projet'!$B$9,Paramètres!$A$1:$I$89,3,0)*0.475*44/12</f>
        <v>6.7624845338519979</v>
      </c>
      <c r="AC30" s="22">
        <f t="shared" si="3"/>
        <v>34.370679361876107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12.833333333333334</v>
      </c>
      <c r="AI30" s="13">
        <f>IF('Données projet'!$A$62&gt;35,AI29+AH30-AQ29,IF(A30&lt;'Données projet'!$A$62,$AF$205^A30,IF(A30='Données projet'!$A$62,'Données projet'!$B$62,AI29+AH30-AQ29)))</f>
        <v>176.49999999999997</v>
      </c>
      <c r="AJ30" s="13">
        <f>AI30*VLOOKUP('Données projet'!$B$10,Paramètres!$A$1:$I$89,3,0)*VLOOKUP('Données projet'!$B$10,Paramètres!$A$1:$I$89,5,0)</f>
        <v>110.13599999999998</v>
      </c>
      <c r="AK30" s="13">
        <f t="shared" si="35"/>
        <v>29.363024928706633</v>
      </c>
      <c r="AL30" s="20">
        <f t="shared" si="4"/>
        <v>242.96080175083068</v>
      </c>
      <c r="AM30" s="59">
        <f t="shared" si="5"/>
        <v>536.29413508416405</v>
      </c>
      <c r="AN30" s="59">
        <f ca="1">AVERAGE(OFFSET($AM$3,0,0,'Données projet'!$E$10+1,1))-AVERAGE(OFFSET($H$3,0,0,'Données projet'!$E$10+1,1))</f>
        <v>197.20006068829753</v>
      </c>
      <c r="AO30" s="59">
        <f t="shared" si="36"/>
        <v>256.52014906581638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10.737956709593641</v>
      </c>
      <c r="AV30" s="21">
        <f>EXP(-LN(2)/25)*AV29+(1-EXP(-LN(2)/25))/(LN(2)/25)*Calculateur!AQ30*Calculateur!AS30*VLOOKUP('Données projet'!$B$10,Paramètres!$A$1:$I$89,3,0)*0.475*44/12</f>
        <v>25.510149525166206</v>
      </c>
      <c r="AW30" s="21">
        <f>EXP(-LN(2)/2)*AW29+(1-EXP(-LN(2)/2))/(LN(2)/2)*AQ30*AT30*VLOOKUP('Données projet'!$B$10,Paramètres!$A$1:$I$89,3,0)*0.475*44/12</f>
        <v>5.7176942505276083</v>
      </c>
      <c r="AX30" s="21">
        <f t="shared" si="6"/>
        <v>41.965800485287453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>
        <f>BD30*VLOOKUP('Données projet'!$B$11,Paramètres!$A$1:$I$89,3,0)*VLOOKUP('Données projet'!$B$11,Paramètres!$A$1:$I$89,5,0)</f>
        <v>0</v>
      </c>
      <c r="BF30" s="13" t="e">
        <f t="shared" si="37"/>
        <v>#NUM!</v>
      </c>
      <c r="BG30" s="20" t="e">
        <f t="shared" si="7"/>
        <v>#NUM!</v>
      </c>
      <c r="BH30" s="59" t="e">
        <f t="shared" si="8"/>
        <v>#NUM!</v>
      </c>
      <c r="BI30" s="59">
        <f ca="1">AVERAGE(OFFSET($BH$3,0,0,'Données projet'!$E$11+1,1))-AVERAGE(OFFSET($H$3,0,0,'Données projet'!$E$11+1,1))</f>
        <v>102.76553481871144</v>
      </c>
      <c r="BJ30" s="59">
        <f t="shared" si="38"/>
        <v>345.99919346320343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41.126715877855588</v>
      </c>
      <c r="BQ30" s="21">
        <f>EXP(-LN(2)/25)*BQ29+(1-EXP(-LN(2)/25))/(LN(2)/25)*Calculateur!BL30*Calculateur!BN30*VLOOKUP('Données projet'!$B$11,Paramètres!$A$1:$I$89,3,0)*0.475*44/12</f>
        <v>16.643627825964863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57.770343703820451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24.6</v>
      </c>
      <c r="N31" s="13">
        <f>IF('Données projet'!$A$36&gt;35,N30+M31-V30,IF(A31&lt;'Données projet'!$A$36,$K$205^A31,IF(A31='Données projet'!$A$36,'Données projet'!$B$36,N30+M31-V30)))</f>
        <v>390.80000000000013</v>
      </c>
      <c r="O31" s="13">
        <f>N31*VLOOKUP('Données projet'!$B$9,Paramètres!$A$1:$I$89,3,0)*VLOOKUP('Données projet'!$B$9,Paramètres!$A$1:$I$89,5,0)</f>
        <v>218.45720000000006</v>
      </c>
      <c r="P31" s="13">
        <f t="shared" si="33"/>
        <v>53.779428547055552</v>
      </c>
      <c r="Q31" s="20">
        <f t="shared" si="2"/>
        <v>474.14546138612178</v>
      </c>
      <c r="R31" s="59">
        <f t="shared" si="0"/>
        <v>767.4787947194551</v>
      </c>
      <c r="S31" s="59">
        <f ca="1">AVERAGE(OFFSET($R$3,0,0,'Données projet'!$E$9+1,1))-AVERAGE(OFFSET($H$3,0,0,'Données projet'!$E$9+1,1))</f>
        <v>410.32666742287449</v>
      </c>
      <c r="T31" s="59">
        <f t="shared" si="34"/>
        <v>494.36941732405256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7.1298372627461566</v>
      </c>
      <c r="AA31" s="21">
        <f>EXP(-LN(2)/25)*AA30+(1-EXP(-LN(2)/25))/(LN(2)/25)*Calculateur!V31*Calculateur!X31*VLOOKUP('Données projet'!$B$9,Paramètres!$A$1:$I$89,3,0)*0.475*44/12</f>
        <v>19.779667209859131</v>
      </c>
      <c r="AB31" s="21">
        <f>EXP(-LN(2)/2)*AB30+(1-EXP(-LN(2)/2))/(LN(2)/2)*V31*Y31*VLOOKUP('Données projet'!$B$9,Paramètres!$A$1:$I$89,3,0)*0.475*44/12</f>
        <v>4.7817986715558964</v>
      </c>
      <c r="AC31" s="22">
        <f t="shared" si="3"/>
        <v>31.691303144161186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12.833333333333334</v>
      </c>
      <c r="AI31" s="13">
        <f>IF('Données projet'!$A$62&gt;35,AI30+AH31-AQ30,IF(A31&lt;'Données projet'!$A$62,$AF$205^A31,IF(A31='Données projet'!$A$62,'Données projet'!$B$62,AI30+AH31-AQ30)))</f>
        <v>189.33333333333331</v>
      </c>
      <c r="AJ31" s="13">
        <f>AI31*VLOOKUP('Données projet'!$B$10,Paramètres!$A$1:$I$89,3,0)*VLOOKUP('Données projet'!$B$10,Paramètres!$A$1:$I$89,5,0)</f>
        <v>118.14399999999998</v>
      </c>
      <c r="AK31" s="13">
        <f t="shared" si="35"/>
        <v>31.241725849174369</v>
      </c>
      <c r="AL31" s="20">
        <f t="shared" si="4"/>
        <v>260.18013918731202</v>
      </c>
      <c r="AM31" s="59">
        <f t="shared" si="5"/>
        <v>553.51347252064534</v>
      </c>
      <c r="AN31" s="59">
        <f ca="1">AVERAGE(OFFSET($AM$3,0,0,'Données projet'!$E$10+1,1))-AVERAGE(OFFSET($H$3,0,0,'Données projet'!$E$10+1,1))</f>
        <v>197.20006068829753</v>
      </c>
      <c r="AO31" s="59">
        <f t="shared" si="36"/>
        <v>256.52014906581638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10.527391928025393</v>
      </c>
      <c r="AV31" s="21">
        <f>EXP(-LN(2)/25)*AV30+(1-EXP(-LN(2)/25))/(LN(2)/25)*Calculateur!AQ31*Calculateur!AS31*VLOOKUP('Données projet'!$B$10,Paramètres!$A$1:$I$89,3,0)*0.475*44/12</f>
        <v>24.812573144880076</v>
      </c>
      <c r="AW31" s="21">
        <f>EXP(-LN(2)/2)*AW30+(1-EXP(-LN(2)/2))/(LN(2)/2)*AQ31*AT31*VLOOKUP('Données projet'!$B$10,Paramètres!$A$1:$I$89,3,0)*0.475*44/12</f>
        <v>4.0430203772994062</v>
      </c>
      <c r="AX31" s="21">
        <f t="shared" si="6"/>
        <v>39.382985450204878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>
        <f>BD31*VLOOKUP('Données projet'!$B$11,Paramètres!$A$1:$I$89,3,0)*VLOOKUP('Données projet'!$B$11,Paramètres!$A$1:$I$89,5,0)</f>
        <v>0</v>
      </c>
      <c r="BF31" s="13" t="e">
        <f t="shared" si="37"/>
        <v>#NUM!</v>
      </c>
      <c r="BG31" s="20" t="e">
        <f t="shared" si="7"/>
        <v>#NUM!</v>
      </c>
      <c r="BH31" s="59" t="e">
        <f t="shared" si="8"/>
        <v>#NUM!</v>
      </c>
      <c r="BI31" s="59">
        <f ca="1">AVERAGE(OFFSET($BH$3,0,0,'Données projet'!$E$11+1,1))-AVERAGE(OFFSET($H$3,0,0,'Données projet'!$E$11+1,1))</f>
        <v>102.76553481871144</v>
      </c>
      <c r="BJ31" s="59">
        <f t="shared" si="38"/>
        <v>345.99919346320343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40.320246064310602</v>
      </c>
      <c r="BQ31" s="21">
        <f>EXP(-LN(2)/25)*BQ30+(1-EXP(-LN(2)/25))/(LN(2)/25)*Calculateur!BL31*Calculateur!BN31*VLOOKUP('Données projet'!$B$11,Paramètres!$A$1:$I$89,3,0)*0.475*44/12</f>
        <v>16.188506947813504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56.508753012124103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24.6</v>
      </c>
      <c r="N32" s="13">
        <f>IF('Données projet'!$A$36&gt;35,N31+M32-V31,IF(A32&lt;'Données projet'!$A$36,$K$205^A32,IF(A32='Données projet'!$A$36,'Données projet'!$B$36,N31+M32-V31)))</f>
        <v>415.40000000000015</v>
      </c>
      <c r="O32" s="13">
        <f>N32*VLOOKUP('Données projet'!$B$9,Paramètres!$A$1:$I$89,3,0)*VLOOKUP('Données projet'!$B$9,Paramètres!$A$1:$I$89,5,0)</f>
        <v>232.2086000000001</v>
      </c>
      <c r="P32" s="13">
        <f t="shared" si="33"/>
        <v>56.759966547343083</v>
      </c>
      <c r="Q32" s="20">
        <f t="shared" si="2"/>
        <v>503.28692006995601</v>
      </c>
      <c r="R32" s="59">
        <f t="shared" si="0"/>
        <v>796.62025340328933</v>
      </c>
      <c r="S32" s="59">
        <f ca="1">AVERAGE(OFFSET($R$3,0,0,'Données projet'!$E$9+1,1))-AVERAGE(OFFSET($H$3,0,0,'Données projet'!$E$9+1,1))</f>
        <v>410.32666742287449</v>
      </c>
      <c r="T32" s="59">
        <f t="shared" si="34"/>
        <v>494.36941732405256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6.9900255027950289</v>
      </c>
      <c r="AA32" s="21">
        <f>EXP(-LN(2)/25)*AA31+(1-EXP(-LN(2)/25))/(LN(2)/25)*Calculateur!V32*Calculateur!X32*VLOOKUP('Données projet'!$B$9,Paramètres!$A$1:$I$89,3,0)*0.475*44/12</f>
        <v>19.238791169838041</v>
      </c>
      <c r="AB32" s="21">
        <f>EXP(-LN(2)/2)*AB31+(1-EXP(-LN(2)/2))/(LN(2)/2)*V32*Y32*VLOOKUP('Données projet'!$B$9,Paramètres!$A$1:$I$89,3,0)*0.475*44/12</f>
        <v>3.3812422669259989</v>
      </c>
      <c r="AC32" s="22">
        <f t="shared" si="3"/>
        <v>29.610058939559067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12.833333333333334</v>
      </c>
      <c r="AI32" s="13">
        <f>IF('Données projet'!$A$62&gt;35,AI31+AH32-AQ31,IF(A32&lt;'Données projet'!$A$62,$AF$205^A32,IF(A32='Données projet'!$A$62,'Données projet'!$B$62,AI31+AH32-AQ31)))</f>
        <v>202.16666666666666</v>
      </c>
      <c r="AJ32" s="13">
        <f>AI32*VLOOKUP('Données projet'!$B$10,Paramètres!$A$1:$I$89,3,0)*VLOOKUP('Données projet'!$B$10,Paramètres!$A$1:$I$89,5,0)</f>
        <v>126.152</v>
      </c>
      <c r="AK32" s="13">
        <f t="shared" si="35"/>
        <v>33.105650597070621</v>
      </c>
      <c r="AL32" s="20">
        <f t="shared" si="4"/>
        <v>277.37374145656463</v>
      </c>
      <c r="AM32" s="59">
        <f t="shared" si="5"/>
        <v>570.70707478989789</v>
      </c>
      <c r="AN32" s="59">
        <f ca="1">AVERAGE(OFFSET($AM$3,0,0,'Données projet'!$E$10+1,1))-AVERAGE(OFFSET($H$3,0,0,'Données projet'!$E$10+1,1))</f>
        <v>197.20006068829753</v>
      </c>
      <c r="AO32" s="59">
        <f t="shared" si="36"/>
        <v>256.52014906581638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10.320956193391863</v>
      </c>
      <c r="AV32" s="21">
        <f>EXP(-LN(2)/25)*AV31+(1-EXP(-LN(2)/25))/(LN(2)/25)*Calculateur!AQ32*Calculateur!AS32*VLOOKUP('Données projet'!$B$10,Paramètres!$A$1:$I$89,3,0)*0.475*44/12</f>
        <v>24.134072027396819</v>
      </c>
      <c r="AW32" s="21">
        <f>EXP(-LN(2)/2)*AW31+(1-EXP(-LN(2)/2))/(LN(2)/2)*AQ32*AT32*VLOOKUP('Données projet'!$B$10,Paramètres!$A$1:$I$89,3,0)*0.475*44/12</f>
        <v>2.8588471252638041</v>
      </c>
      <c r="AX32" s="21">
        <f t="shared" si="6"/>
        <v>37.313875346052491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>
        <f>BD32*VLOOKUP('Données projet'!$B$11,Paramètres!$A$1:$I$89,3,0)*VLOOKUP('Données projet'!$B$11,Paramètres!$A$1:$I$89,5,0)</f>
        <v>0</v>
      </c>
      <c r="BF32" s="13" t="e">
        <f t="shared" si="37"/>
        <v>#NUM!</v>
      </c>
      <c r="BG32" s="20" t="e">
        <f t="shared" si="7"/>
        <v>#NUM!</v>
      </c>
      <c r="BH32" s="59" t="e">
        <f t="shared" si="8"/>
        <v>#NUM!</v>
      </c>
      <c r="BI32" s="59">
        <f ca="1">AVERAGE(OFFSET($BH$3,0,0,'Données projet'!$E$11+1,1))-AVERAGE(OFFSET($H$3,0,0,'Données projet'!$E$11+1,1))</f>
        <v>102.76553481871144</v>
      </c>
      <c r="BJ32" s="59">
        <f t="shared" si="38"/>
        <v>345.99919346320343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39.529590631911219</v>
      </c>
      <c r="BQ32" s="21">
        <f>EXP(-LN(2)/25)*BQ31+(1-EXP(-LN(2)/25))/(LN(2)/25)*Calculateur!BL32*Calculateur!BN32*VLOOKUP('Données projet'!$B$11,Paramètres!$A$1:$I$89,3,0)*0.475*44/12</f>
        <v>15.745831374008963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55.275422005920184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440</v>
      </c>
      <c r="L33" s="12">
        <f>VLOOKUP(A33,'Données projet'!$A$35:$I$55,9,0)</f>
        <v>24.6</v>
      </c>
      <c r="M33" s="12">
        <f t="array" ref="M33">INDEX(L:L,MIN(IF(ISNUMBER(L33:L229),ROW(L33:L229),"")))</f>
        <v>24.6</v>
      </c>
      <c r="N33" s="13">
        <f>IF('Données projet'!$A$36&gt;35,N32+M33-V32,IF(A33&lt;'Données projet'!$A$36,$K$205^A33,IF(A33='Données projet'!$A$36,'Données projet'!$B$36,N32+M33-V32)))</f>
        <v>440.00000000000017</v>
      </c>
      <c r="O33" s="13">
        <f>N33*VLOOKUP('Données projet'!$B$9,Paramètres!$A$1:$I$89,3,0)*VLOOKUP('Données projet'!$B$9,Paramètres!$A$1:$I$89,5,0)</f>
        <v>245.96000000000009</v>
      </c>
      <c r="P33" s="13">
        <f t="shared" si="33"/>
        <v>59.720017079919756</v>
      </c>
      <c r="Q33" s="20">
        <f t="shared" si="2"/>
        <v>532.39269641419367</v>
      </c>
      <c r="R33" s="59">
        <f t="shared" si="0"/>
        <v>825.72602974752704</v>
      </c>
      <c r="S33" s="59">
        <f ca="1">AVERAGE(OFFSET($R$3,0,0,'Données projet'!$E$9+1,1))-AVERAGE(OFFSET($H$3,0,0,'Données projet'!$E$9+1,1))</f>
        <v>410.32666742287449</v>
      </c>
      <c r="T33" s="59">
        <f t="shared" si="34"/>
        <v>494.36941732405256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55</v>
      </c>
      <c r="W33" s="16">
        <f>IF(ISNA(VLOOKUP(A33,'Données projet'!$A$35:$I$55,5,0)),0%,VLOOKUP(A33,'Données projet'!$A$35:$I$55,5,0)*VLOOKUP('Données projet'!$B$9,Paramètres!$A$1:$I$89,7,0))</f>
        <v>0.22000000000000003</v>
      </c>
      <c r="X33" s="16">
        <f>IF(ISNA(VLOOKUP(A33,'Données projet'!$A$35:$I$55,6,0)),0%,VLOOKUP(A33,'Données projet'!$A$35:$I$55,6,0)*VLOOKUP('Données projet'!$B$9,Paramètres!$A$1:$I$89,7,0))</f>
        <v>0.18700000000000003</v>
      </c>
      <c r="Y33" s="16">
        <f>IF(ISNA(VLOOKUP(A33,'Données projet'!$A$35:$I$55,7,0)),0%,VLOOKUP(A33,'Données projet'!$A$35:$I$55,7,0))</f>
        <v>0.26</v>
      </c>
      <c r="Z33" s="21">
        <f>EXP(-LN(2)/35)*Z32+(1-EXP(-LN(2)/35))/(LN(2)/35)*V33*W33*VLOOKUP('Données projet'!$B$9,Paramètres!$A$1:$I$89,3,0)*0.475*44/12</f>
        <v>15.825704686327299</v>
      </c>
      <c r="AA33" s="21">
        <f>EXP(-LN(2)/25)*AA32+(1-EXP(-LN(2)/25))/(LN(2)/25)*Calculateur!V33*Calculateur!X33*VLOOKUP('Données projet'!$B$9,Paramètres!$A$1:$I$89,3,0)*0.475*44/12</f>
        <v>26.309512572685041</v>
      </c>
      <c r="AB33" s="21">
        <f>EXP(-LN(2)/2)*AB32+(1-EXP(-LN(2)/2))/(LN(2)/2)*V33*Y33*VLOOKUP('Données projet'!$B$9,Paramètres!$A$1:$I$89,3,0)*0.475*44/12</f>
        <v>11.441624652515261</v>
      </c>
      <c r="AC33" s="22">
        <f t="shared" si="3"/>
        <v>53.576841911527595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215</v>
      </c>
      <c r="AG33" s="12">
        <f>VLOOKUP(A33,'Données projet'!$A$61:$I$81,9,0)</f>
        <v>12.833333333333334</v>
      </c>
      <c r="AH33" s="12">
        <f t="array" ref="AH33">INDEX(AG:AG,MIN(IF(ISNUMBER(AG33:AG229),ROW(AG33:AG229),"")))</f>
        <v>12.833333333333334</v>
      </c>
      <c r="AI33" s="13">
        <f>IF('Données projet'!$A$62&gt;35,AI32+AH33-AQ32,IF(A33&lt;'Données projet'!$A$62,$AF$205^A33,IF(A33='Données projet'!$A$62,'Données projet'!$B$62,AI32+AH33-AQ32)))</f>
        <v>215</v>
      </c>
      <c r="AJ33" s="13">
        <f>AI33*VLOOKUP('Données projet'!$B$10,Paramètres!$A$1:$I$89,3,0)*VLOOKUP('Données projet'!$B$10,Paramètres!$A$1:$I$89,5,0)</f>
        <v>134.16</v>
      </c>
      <c r="AK33" s="13">
        <f t="shared" si="35"/>
        <v>34.955843917296178</v>
      </c>
      <c r="AL33" s="20">
        <f t="shared" si="4"/>
        <v>294.54342815595749</v>
      </c>
      <c r="AM33" s="59">
        <f t="shared" si="5"/>
        <v>587.87676148929086</v>
      </c>
      <c r="AN33" s="59">
        <f ca="1">AVERAGE(OFFSET($AM$3,0,0,'Données projet'!$E$10+1,1))-AVERAGE(OFFSET($H$3,0,0,'Données projet'!$E$10+1,1))</f>
        <v>197.20006068829753</v>
      </c>
      <c r="AO33" s="59">
        <f t="shared" si="36"/>
        <v>256.52014906581638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48</v>
      </c>
      <c r="AR33" s="16">
        <f>IF(ISNA(VLOOKUP(A33,'Données projet'!$A$61:$I$81,5,0)),0%,VLOOKUP(A33,'Données projet'!$A$61:$I$81,5,0)*VLOOKUP('Données projet'!$B$10,Paramètres!$A$1:$I$89,7,0))</f>
        <v>0.24</v>
      </c>
      <c r="AS33" s="16">
        <f>IF(ISNA(VLOOKUP(A33,'Données projet'!$A$61:$I$81,6,0)),0%,VLOOKUP(A33,'Données projet'!$A$61:$I$81,6,0)*VLOOKUP('Données projet'!$B$10,Paramètres!$A$1:$I$89,7,0))</f>
        <v>0.20400000000000001</v>
      </c>
      <c r="AT33" s="16">
        <f>IF(ISNA(VLOOKUP(A33,'Données projet'!$A$61:$I$81,7,0)),0%,VLOOKUP(A33,'Données projet'!$A$61:$I$81,7,0))</f>
        <v>0.26</v>
      </c>
      <c r="AU33" s="21">
        <f>EXP(-LN(2)/35)*AU32+(1-EXP(-LN(2)/35))/(LN(2)/35)*AQ33*AR33*VLOOKUP('Données projet'!$B$10,Paramètres!$A$1:$I$89,3,0)*0.475*44/12</f>
        <v>19.654550594239158</v>
      </c>
      <c r="AV33" s="21">
        <f>EXP(-LN(2)/25)*AV32+(1-EXP(-LN(2)/25))/(LN(2)/25)*Calculateur!AQ33*Calculateur!AS33*VLOOKUP('Données projet'!$B$10,Paramètres!$A$1:$I$89,3,0)*0.475*44/12</f>
        <v>31.547794531170933</v>
      </c>
      <c r="AW33" s="21">
        <f>EXP(-LN(2)/2)*AW32+(1-EXP(-LN(2)/2))/(LN(2)/2)*AQ33*AT33*VLOOKUP('Données projet'!$B$10,Paramètres!$A$1:$I$89,3,0)*0.475*44/12</f>
        <v>10.838791850283005</v>
      </c>
      <c r="AX33" s="21">
        <f t="shared" si="6"/>
        <v>62.041136975693092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>
        <f>BD33*VLOOKUP('Données projet'!$B$11,Paramètres!$A$1:$I$89,3,0)*VLOOKUP('Données projet'!$B$11,Paramètres!$A$1:$I$89,5,0)</f>
        <v>0</v>
      </c>
      <c r="BF33" s="13" t="e">
        <f t="shared" si="37"/>
        <v>#NUM!</v>
      </c>
      <c r="BG33" s="20" t="e">
        <f t="shared" si="7"/>
        <v>#NUM!</v>
      </c>
      <c r="BH33" s="59" t="e">
        <f t="shared" si="8"/>
        <v>#NUM!</v>
      </c>
      <c r="BI33" s="59">
        <f ca="1">AVERAGE(OFFSET($BH$3,0,0,'Données projet'!$E$11+1,1))-AVERAGE(OFFSET($H$3,0,0,'Données projet'!$E$11+1,1))</f>
        <v>102.76553481871144</v>
      </c>
      <c r="BJ33" s="59">
        <f t="shared" si="38"/>
        <v>345.99919346320343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38.754439470288993</v>
      </c>
      <c r="BQ33" s="21">
        <f>EXP(-LN(2)/25)*BQ32+(1-EXP(-LN(2)/25))/(LN(2)/25)*Calculateur!BL33*Calculateur!BN33*VLOOKUP('Données projet'!$B$11,Paramètres!$A$1:$I$89,3,0)*0.475*44/12</f>
        <v>15.315260787049404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54.069700257338397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23</v>
      </c>
      <c r="N34" s="13">
        <f>IF('Données projet'!$A$36&gt;35,N33+M34-V33,IF(A34&lt;'Données projet'!$A$36,$K$205^A34,IF(A34='Données projet'!$A$36,'Données projet'!$B$36,N33+M34-V33)))</f>
        <v>408.00000000000017</v>
      </c>
      <c r="O34" s="13">
        <f>N34*VLOOKUP('Données projet'!$B$9,Paramètres!$A$1:$I$89,3,0)*VLOOKUP('Données projet'!$B$9,Paramètres!$A$1:$I$89,5,0)</f>
        <v>228.07200000000012</v>
      </c>
      <c r="P34" s="13">
        <f t="shared" si="33"/>
        <v>55.86559883553236</v>
      </c>
      <c r="Q34" s="20">
        <f t="shared" si="2"/>
        <v>494.52465130521909</v>
      </c>
      <c r="R34" s="59">
        <f t="shared" si="0"/>
        <v>787.85798463855235</v>
      </c>
      <c r="S34" s="59">
        <f ca="1">AVERAGE(OFFSET($R$3,0,0,'Données projet'!$E$9+1,1))-AVERAGE(OFFSET($H$3,0,0,'Données projet'!$E$9+1,1))</f>
        <v>410.32666742287449</v>
      </c>
      <c r="T34" s="59">
        <f t="shared" si="34"/>
        <v>494.36941732405256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15.515372270155151</v>
      </c>
      <c r="AA34" s="21">
        <f>EXP(-LN(2)/25)*AA33+(1-EXP(-LN(2)/25))/(LN(2)/25)*Calculateur!V34*Calculateur!X34*VLOOKUP('Données projet'!$B$9,Paramètres!$A$1:$I$89,3,0)*0.475*44/12</f>
        <v>25.590077567827834</v>
      </c>
      <c r="AB34" s="21">
        <f>EXP(-LN(2)/2)*AB33+(1-EXP(-LN(2)/2))/(LN(2)/2)*V34*Y34*VLOOKUP('Données projet'!$B$9,Paramètres!$A$1:$I$89,3,0)*0.475*44/12</f>
        <v>8.0904503795847162</v>
      </c>
      <c r="AC34" s="22">
        <f t="shared" si="3"/>
        <v>49.195900217567704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11.333333333333334</v>
      </c>
      <c r="AI34" s="13">
        <f>IF('Données projet'!$A$62&gt;35,AI33+AH34-AQ33,IF(A34&lt;'Données projet'!$A$62,$AF$205^A34,IF(A34='Données projet'!$A$62,'Données projet'!$B$62,AI33+AH34-AQ33)))</f>
        <v>178.33333333333334</v>
      </c>
      <c r="AJ34" s="13">
        <f>AI34*VLOOKUP('Données projet'!$B$10,Paramètres!$A$1:$I$89,3,0)*VLOOKUP('Données projet'!$B$10,Paramètres!$A$1:$I$89,5,0)</f>
        <v>111.28</v>
      </c>
      <c r="AK34" s="13">
        <f t="shared" si="35"/>
        <v>29.63235919562165</v>
      </c>
      <c r="AL34" s="20">
        <f t="shared" si="4"/>
        <v>245.42235893237441</v>
      </c>
      <c r="AM34" s="59">
        <f t="shared" si="5"/>
        <v>538.75569226570769</v>
      </c>
      <c r="AN34" s="59">
        <f ca="1">AVERAGE(OFFSET($AM$3,0,0,'Données projet'!$E$10+1,1))-AVERAGE(OFFSET($H$3,0,0,'Données projet'!$E$10+1,1))</f>
        <v>197.20006068829753</v>
      </c>
      <c r="AO34" s="59">
        <f t="shared" si="36"/>
        <v>256.52014906581638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19.269136845178263</v>
      </c>
      <c r="AV34" s="21">
        <f>EXP(-LN(2)/25)*AV33+(1-EXP(-LN(2)/25))/(LN(2)/25)*Calculateur!AQ34*Calculateur!AS34*VLOOKUP('Données projet'!$B$10,Paramètres!$A$1:$I$89,3,0)*0.475*44/12</f>
        <v>30.685118430689652</v>
      </c>
      <c r="AW34" s="21">
        <f>EXP(-LN(2)/2)*AW33+(1-EXP(-LN(2)/2))/(LN(2)/2)*AQ34*AT34*VLOOKUP('Données projet'!$B$10,Paramètres!$A$1:$I$89,3,0)*0.475*44/12</f>
        <v>7.6641832172046005</v>
      </c>
      <c r="AX34" s="21">
        <f t="shared" si="6"/>
        <v>57.618438493072517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>
        <f>BD34*VLOOKUP('Données projet'!$B$11,Paramètres!$A$1:$I$89,3,0)*VLOOKUP('Données projet'!$B$11,Paramètres!$A$1:$I$89,5,0)</f>
        <v>0</v>
      </c>
      <c r="BF34" s="13" t="e">
        <f t="shared" si="37"/>
        <v>#NUM!</v>
      </c>
      <c r="BG34" s="20" t="e">
        <f t="shared" si="7"/>
        <v>#NUM!</v>
      </c>
      <c r="BH34" s="59" t="e">
        <f t="shared" si="8"/>
        <v>#NUM!</v>
      </c>
      <c r="BI34" s="59">
        <f ca="1">AVERAGE(OFFSET($BH$3,0,0,'Données projet'!$E$11+1,1))-AVERAGE(OFFSET($H$3,0,0,'Données projet'!$E$11+1,1))</f>
        <v>102.76553481871144</v>
      </c>
      <c r="BJ34" s="59">
        <f t="shared" si="38"/>
        <v>345.99919346320343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37.994488550150656</v>
      </c>
      <c r="BQ34" s="21">
        <f>EXP(-LN(2)/25)*BQ33+(1-EXP(-LN(2)/25))/(LN(2)/25)*Calculateur!BL34*Calculateur!BN34*VLOOKUP('Données projet'!$B$11,Paramètres!$A$1:$I$89,3,0)*0.475*44/12</f>
        <v>14.896464175432977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52.890952725583631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23</v>
      </c>
      <c r="N35" s="13">
        <f>IF('Données projet'!$A$36&gt;35,N34+M35-V34,IF(A35&lt;'Données projet'!$A$36,$K$205^A35,IF(A35='Données projet'!$A$36,'Données projet'!$B$36,N34+M35-V34)))</f>
        <v>431.00000000000017</v>
      </c>
      <c r="O35" s="13">
        <f>N35*VLOOKUP('Données projet'!$B$9,Paramètres!$A$1:$I$89,3,0)*VLOOKUP('Données projet'!$B$9,Paramètres!$A$1:$I$89,5,0)</f>
        <v>240.92900000000009</v>
      </c>
      <c r="P35" s="13">
        <f t="shared" si="33"/>
        <v>58.639364393255526</v>
      </c>
      <c r="Q35" s="20">
        <f t="shared" ref="Q35:Q66" si="53">(O35+P35)*0.475*44/12</f>
        <v>521.74823465158681</v>
      </c>
      <c r="R35" s="59">
        <f t="shared" si="0"/>
        <v>815.08156798492018</v>
      </c>
      <c r="S35" s="59">
        <f ca="1">AVERAGE(OFFSET($R$3,0,0,'Données projet'!$E$9+1,1))-AVERAGE(OFFSET($H$3,0,0,'Données projet'!$E$9+1,1))</f>
        <v>410.32666742287449</v>
      </c>
      <c r="T35" s="59">
        <f t="shared" si="34"/>
        <v>494.36941732405256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15.211125283380056</v>
      </c>
      <c r="AA35" s="21">
        <f>EXP(-LN(2)/25)*AA34+(1-EXP(-LN(2)/25))/(LN(2)/25)*Calculateur!V35*Calculateur!X35*VLOOKUP('Données projet'!$B$9,Paramètres!$A$1:$I$89,3,0)*0.475*44/12</f>
        <v>24.890315551011888</v>
      </c>
      <c r="AB35" s="21">
        <f>EXP(-LN(2)/2)*AB34+(1-EXP(-LN(2)/2))/(LN(2)/2)*V35*Y35*VLOOKUP('Données projet'!$B$9,Paramètres!$A$1:$I$89,3,0)*0.475*44/12</f>
        <v>5.7208123262576311</v>
      </c>
      <c r="AC35" s="22">
        <f t="shared" si="3"/>
        <v>45.822253160649574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11.333333333333334</v>
      </c>
      <c r="AI35" s="13">
        <f>IF('Données projet'!$A$62&gt;35,AI34+AH35-AQ34,IF(A35&lt;'Données projet'!$A$62,$AF$205^A35,IF(A35='Données projet'!$A$62,'Données projet'!$B$62,AI34+AH35-AQ34)))</f>
        <v>189.66666666666669</v>
      </c>
      <c r="AJ35" s="13">
        <f>AI35*VLOOKUP('Données projet'!$B$10,Paramètres!$A$1:$I$89,3,0)*VLOOKUP('Données projet'!$B$10,Paramètres!$A$1:$I$89,5,0)</f>
        <v>118.35200000000002</v>
      </c>
      <c r="AK35" s="13">
        <f t="shared" si="35"/>
        <v>31.290321557364397</v>
      </c>
      <c r="AL35" s="20">
        <f t="shared" si="4"/>
        <v>260.62704337907638</v>
      </c>
      <c r="AM35" s="59">
        <f t="shared" si="5"/>
        <v>553.9603767124097</v>
      </c>
      <c r="AN35" s="59">
        <f ca="1">AVERAGE(OFFSET($AM$3,0,0,'Données projet'!$E$10+1,1))-AVERAGE(OFFSET($H$3,0,0,'Données projet'!$E$10+1,1))</f>
        <v>197.20006068829753</v>
      </c>
      <c r="AO35" s="59">
        <f t="shared" si="36"/>
        <v>256.52014906581638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18.891280824657279</v>
      </c>
      <c r="AV35" s="21">
        <f>EXP(-LN(2)/25)*AV34+(1-EXP(-LN(2)/25))/(LN(2)/25)*Calculateur!AQ35*Calculateur!AS35*VLOOKUP('Données projet'!$B$10,Paramètres!$A$1:$I$89,3,0)*0.475*44/12</f>
        <v>29.846032253542198</v>
      </c>
      <c r="AW35" s="21">
        <f>EXP(-LN(2)/2)*AW34+(1-EXP(-LN(2)/2))/(LN(2)/2)*AQ35*AT35*VLOOKUP('Données projet'!$B$10,Paramètres!$A$1:$I$89,3,0)*0.475*44/12</f>
        <v>5.4193959251415036</v>
      </c>
      <c r="AX35" s="21">
        <f t="shared" si="6"/>
        <v>54.156709003340978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>
        <f>BD35*VLOOKUP('Données projet'!$B$11,Paramètres!$A$1:$I$89,3,0)*VLOOKUP('Données projet'!$B$11,Paramètres!$A$1:$I$89,5,0)</f>
        <v>0</v>
      </c>
      <c r="BF35" s="13" t="e">
        <f t="shared" si="37"/>
        <v>#NUM!</v>
      </c>
      <c r="BG35" s="20" t="e">
        <f t="shared" si="7"/>
        <v>#NUM!</v>
      </c>
      <c r="BH35" s="59" t="e">
        <f t="shared" si="8"/>
        <v>#NUM!</v>
      </c>
      <c r="BI35" s="59">
        <f ca="1">AVERAGE(OFFSET($BH$3,0,0,'Données projet'!$E$11+1,1))-AVERAGE(OFFSET($H$3,0,0,'Données projet'!$E$11+1,1))</f>
        <v>102.76553481871144</v>
      </c>
      <c r="BJ35" s="59">
        <f t="shared" si="38"/>
        <v>345.99919346320343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37.249439804031944</v>
      </c>
      <c r="BQ35" s="21">
        <f>EXP(-LN(2)/25)*BQ34+(1-EXP(-LN(2)/25))/(LN(2)/25)*Calculateur!BL35*Calculateur!BN35*VLOOKUP('Données projet'!$B$11,Paramètres!$A$1:$I$89,3,0)*0.475*44/12</f>
        <v>14.489119579184758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51.738559383216703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23</v>
      </c>
      <c r="N36" s="13">
        <f>IF('Données projet'!$A$36&gt;35,N35+M36-V35,IF(A36&lt;'Données projet'!$A$36,$K$205^A36,IF(A36='Données projet'!$A$36,'Données projet'!$B$36,N35+M36-V35)))</f>
        <v>454.00000000000017</v>
      </c>
      <c r="O36" s="13">
        <f>N36*VLOOKUP('Données projet'!$B$9,Paramètres!$A$1:$I$89,3,0)*VLOOKUP('Données projet'!$B$9,Paramètres!$A$1:$I$89,5,0)</f>
        <v>253.78600000000012</v>
      </c>
      <c r="P36" s="13">
        <f t="shared" si="33"/>
        <v>61.395945216950963</v>
      </c>
      <c r="Q36" s="20">
        <f t="shared" si="53"/>
        <v>548.94188791952308</v>
      </c>
      <c r="R36" s="59">
        <f t="shared" si="0"/>
        <v>842.27522125285645</v>
      </c>
      <c r="S36" s="59">
        <f ca="1">AVERAGE(OFFSET($R$3,0,0,'Données projet'!$E$9+1,1))-AVERAGE(OFFSET($H$3,0,0,'Données projet'!$E$9+1,1))</f>
        <v>410.32666742287449</v>
      </c>
      <c r="T36" s="59">
        <f t="shared" si="34"/>
        <v>494.36941732405256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14.912844394443283</v>
      </c>
      <c r="AA36" s="21">
        <f>EXP(-LN(2)/25)*AA35+(1-EXP(-LN(2)/25))/(LN(2)/25)*Calculateur!V36*Calculateur!X36*VLOOKUP('Données projet'!$B$9,Paramètres!$A$1:$I$89,3,0)*0.475*44/12</f>
        <v>24.20968856334466</v>
      </c>
      <c r="AB36" s="21">
        <f>EXP(-LN(2)/2)*AB35+(1-EXP(-LN(2)/2))/(LN(2)/2)*V36*Y36*VLOOKUP('Données projet'!$B$9,Paramètres!$A$1:$I$89,3,0)*0.475*44/12</f>
        <v>4.045225189792359</v>
      </c>
      <c r="AC36" s="22">
        <f t="shared" si="3"/>
        <v>43.167758147580301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11.333333333333334</v>
      </c>
      <c r="AI36" s="13">
        <f>IF('Données projet'!$A$62&gt;35,AI35+AH36-AQ35,IF(A36&lt;'Données projet'!$A$62,$AF$205^A36,IF(A36='Données projet'!$A$62,'Données projet'!$B$62,AI35+AH36-AQ35)))</f>
        <v>201.00000000000003</v>
      </c>
      <c r="AJ36" s="13">
        <f>AI36*VLOOKUP('Données projet'!$B$10,Paramètres!$A$1:$I$89,3,0)*VLOOKUP('Données projet'!$B$10,Paramètres!$A$1:$I$89,5,0)</f>
        <v>125.42400000000001</v>
      </c>
      <c r="AK36" s="13">
        <f t="shared" si="35"/>
        <v>32.936784982132863</v>
      </c>
      <c r="AL36" s="20">
        <f t="shared" si="4"/>
        <v>275.81170051054812</v>
      </c>
      <c r="AM36" s="59">
        <f t="shared" si="5"/>
        <v>569.14503384388149</v>
      </c>
      <c r="AN36" s="59">
        <f ca="1">AVERAGE(OFFSET($AM$3,0,0,'Données projet'!$E$10+1,1))-AVERAGE(OFFSET($H$3,0,0,'Données projet'!$E$10+1,1))</f>
        <v>197.20006068829753</v>
      </c>
      <c r="AO36" s="59">
        <f t="shared" si="36"/>
        <v>256.52014906581638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18.520834330229295</v>
      </c>
      <c r="AV36" s="21">
        <f>EXP(-LN(2)/25)*AV35+(1-EXP(-LN(2)/25))/(LN(2)/25)*Calculateur!AQ36*Calculateur!AS36*VLOOKUP('Données projet'!$B$10,Paramètres!$A$1:$I$89,3,0)*0.475*44/12</f>
        <v>29.029890932034466</v>
      </c>
      <c r="AW36" s="21">
        <f>EXP(-LN(2)/2)*AW35+(1-EXP(-LN(2)/2))/(LN(2)/2)*AQ36*AT36*VLOOKUP('Données projet'!$B$10,Paramètres!$A$1:$I$89,3,0)*0.475*44/12</f>
        <v>3.8320916086023007</v>
      </c>
      <c r="AX36" s="21">
        <f t="shared" si="6"/>
        <v>51.382816870866058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>
        <f>BD36*VLOOKUP('Données projet'!$B$11,Paramètres!$A$1:$I$89,3,0)*VLOOKUP('Données projet'!$B$11,Paramètres!$A$1:$I$89,5,0)</f>
        <v>0</v>
      </c>
      <c r="BF36" s="13" t="e">
        <f t="shared" si="37"/>
        <v>#NUM!</v>
      </c>
      <c r="BG36" s="20" t="e">
        <f t="shared" si="7"/>
        <v>#NUM!</v>
      </c>
      <c r="BH36" s="59" t="e">
        <f t="shared" si="8"/>
        <v>#NUM!</v>
      </c>
      <c r="BI36" s="59">
        <f ca="1">AVERAGE(OFFSET($BH$3,0,0,'Données projet'!$E$11+1,1))-AVERAGE(OFFSET($H$3,0,0,'Données projet'!$E$11+1,1))</f>
        <v>102.76553481871144</v>
      </c>
      <c r="BJ36" s="59">
        <f t="shared" si="38"/>
        <v>345.99919346320343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36.519001009389754</v>
      </c>
      <c r="BQ36" s="21">
        <f>EXP(-LN(2)/25)*BQ35+(1-EXP(-LN(2)/25))/(LN(2)/25)*Calculateur!BL36*Calculateur!BN36*VLOOKUP('Données projet'!$B$11,Paramètres!$A$1:$I$89,3,0)*0.475*44/12</f>
        <v>14.092913842342266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50.611914851732024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23</v>
      </c>
      <c r="N37" s="13">
        <f>IF('Données projet'!$A$36&gt;35,N36+M37-V36,IF(A37&lt;'Données projet'!$A$36,$K$205^A37,IF(A37='Données projet'!$A$36,'Données projet'!$B$36,N36+M37-V36)))</f>
        <v>477.00000000000017</v>
      </c>
      <c r="O37" s="13">
        <f>N37*VLOOKUP('Données projet'!$B$9,Paramètres!$A$1:$I$89,3,0)*VLOOKUP('Données projet'!$B$9,Paramètres!$A$1:$I$89,5,0)</f>
        <v>266.64300000000009</v>
      </c>
      <c r="P37" s="13">
        <f t="shared" si="33"/>
        <v>64.136311225795083</v>
      </c>
      <c r="Q37" s="20">
        <f t="shared" si="53"/>
        <v>576.10730038492648</v>
      </c>
      <c r="R37" s="59">
        <f t="shared" si="0"/>
        <v>869.44063371825973</v>
      </c>
      <c r="S37" s="59">
        <f ca="1">AVERAGE(OFFSET($R$3,0,0,'Données projet'!$E$9+1,1))-AVERAGE(OFFSET($H$3,0,0,'Données projet'!$E$9+1,1))</f>
        <v>410.32666742287449</v>
      </c>
      <c r="T37" s="59">
        <f t="shared" si="34"/>
        <v>494.36941732405256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14.620412611805182</v>
      </c>
      <c r="AA37" s="21">
        <f>EXP(-LN(2)/25)*AA36+(1-EXP(-LN(2)/25))/(LN(2)/25)*Calculateur!V37*Calculateur!X37*VLOOKUP('Données projet'!$B$9,Paramètres!$A$1:$I$89,3,0)*0.475*44/12</f>
        <v>23.54767335644781</v>
      </c>
      <c r="AB37" s="21">
        <f>EXP(-LN(2)/2)*AB36+(1-EXP(-LN(2)/2))/(LN(2)/2)*V37*Y37*VLOOKUP('Données projet'!$B$9,Paramètres!$A$1:$I$89,3,0)*0.475*44/12</f>
        <v>2.860406163128816</v>
      </c>
      <c r="AC37" s="22">
        <f t="shared" si="3"/>
        <v>41.02849213138181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11.333333333333334</v>
      </c>
      <c r="AI37" s="13">
        <f>IF('Données projet'!$A$62&gt;35,AI36+AH37-AQ36,IF(A37&lt;'Données projet'!$A$62,$AF$205^A37,IF(A37='Données projet'!$A$62,'Données projet'!$B$62,AI36+AH37-AQ36)))</f>
        <v>212.33333333333337</v>
      </c>
      <c r="AJ37" s="13">
        <f>AI37*VLOOKUP('Données projet'!$B$10,Paramètres!$A$1:$I$89,3,0)*VLOOKUP('Données projet'!$B$10,Paramètres!$A$1:$I$89,5,0)</f>
        <v>132.49600000000004</v>
      </c>
      <c r="AK37" s="13">
        <f t="shared" si="35"/>
        <v>34.572471720479456</v>
      </c>
      <c r="AL37" s="20">
        <f t="shared" si="4"/>
        <v>290.97758824650174</v>
      </c>
      <c r="AM37" s="59">
        <f t="shared" si="5"/>
        <v>584.31092157983505</v>
      </c>
      <c r="AN37" s="59">
        <f ca="1">AVERAGE(OFFSET($AM$3,0,0,'Données projet'!$E$10+1,1))-AVERAGE(OFFSET($H$3,0,0,'Données projet'!$E$10+1,1))</f>
        <v>197.20006068829753</v>
      </c>
      <c r="AO37" s="59">
        <f t="shared" si="36"/>
        <v>256.52014906581638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18.157652065606996</v>
      </c>
      <c r="AV37" s="21">
        <f>EXP(-LN(2)/25)*AV36+(1-EXP(-LN(2)/25))/(LN(2)/25)*Calculateur!AQ37*Calculateur!AS37*VLOOKUP('Données projet'!$B$10,Paramètres!$A$1:$I$89,3,0)*0.475*44/12</f>
        <v>28.236067037882368</v>
      </c>
      <c r="AW37" s="21">
        <f>EXP(-LN(2)/2)*AW36+(1-EXP(-LN(2)/2))/(LN(2)/2)*AQ37*AT37*VLOOKUP('Données projet'!$B$10,Paramètres!$A$1:$I$89,3,0)*0.475*44/12</f>
        <v>2.7096979625707522</v>
      </c>
      <c r="AX37" s="21">
        <f t="shared" si="6"/>
        <v>49.103417066060111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>
        <f>BD37*VLOOKUP('Données projet'!$B$11,Paramètres!$A$1:$I$89,3,0)*VLOOKUP('Données projet'!$B$11,Paramètres!$A$1:$I$89,5,0)</f>
        <v>0</v>
      </c>
      <c r="BF37" s="13" t="e">
        <f t="shared" si="37"/>
        <v>#NUM!</v>
      </c>
      <c r="BG37" s="20" t="e">
        <f t="shared" si="7"/>
        <v>#NUM!</v>
      </c>
      <c r="BH37" s="59" t="e">
        <f t="shared" si="8"/>
        <v>#NUM!</v>
      </c>
      <c r="BI37" s="59">
        <f ca="1">AVERAGE(OFFSET($BH$3,0,0,'Données projet'!$E$11+1,1))-AVERAGE(OFFSET($H$3,0,0,'Données projet'!$E$11+1,1))</f>
        <v>102.76553481871144</v>
      </c>
      <c r="BJ37" s="59">
        <f t="shared" si="38"/>
        <v>345.99919346320343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35.802885673986822</v>
      </c>
      <c r="BQ37" s="21">
        <f>EXP(-LN(2)/25)*BQ36+(1-EXP(-LN(2)/25))/(LN(2)/25)*Calculateur!BL37*Calculateur!BN37*VLOOKUP('Données projet'!$B$11,Paramètres!$A$1:$I$89,3,0)*0.475*44/12</f>
        <v>13.707542372209288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49.510428046196111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500</v>
      </c>
      <c r="L38" s="12">
        <f>VLOOKUP(A38,'Données projet'!$A$35:$I$55,9,0)</f>
        <v>23</v>
      </c>
      <c r="M38" s="12">
        <f t="array" ref="M38">INDEX(L:L,MIN(IF(ISNUMBER(L38:L234),ROW(L38:L234),"")))</f>
        <v>23</v>
      </c>
      <c r="N38" s="13">
        <f>IF('Données projet'!$A$36&gt;35,N37+M38-V37,IF(A38&lt;'Données projet'!$A$36,$K$205^A38,IF(A38='Données projet'!$A$36,'Données projet'!$B$36,N37+M38-V37)))</f>
        <v>500.00000000000017</v>
      </c>
      <c r="O38" s="13">
        <f>N38*VLOOKUP('Données projet'!$B$9,Paramètres!$A$1:$I$89,3,0)*VLOOKUP('Données projet'!$B$9,Paramètres!$A$1:$I$89,5,0)</f>
        <v>279.50000000000006</v>
      </c>
      <c r="P38" s="13">
        <f t="shared" si="33"/>
        <v>66.861333518957409</v>
      </c>
      <c r="Q38" s="20">
        <f t="shared" si="53"/>
        <v>603.24598921218421</v>
      </c>
      <c r="R38" s="59">
        <f t="shared" si="0"/>
        <v>896.57932254551747</v>
      </c>
      <c r="S38" s="59">
        <f ca="1">AVERAGE(OFFSET($R$3,0,0,'Données projet'!$E$9+1,1))-AVERAGE(OFFSET($H$3,0,0,'Données projet'!$E$9+1,1))</f>
        <v>410.32666742287449</v>
      </c>
      <c r="T38" s="59">
        <f t="shared" si="34"/>
        <v>494.36941732405256</v>
      </c>
      <c r="U38" s="15">
        <f>IF(ISNA(VLOOKUP(A38,'Données projet'!$A$35:$I$55,3,0)),0,VLOOKUP(A38,'Données projet'!$A$35:$I$55,3,0))</f>
        <v>5</v>
      </c>
      <c r="V38" s="15">
        <f>IF(ISNA(VLOOKUP(A38,'Données projet'!$A$35:$I$55,4,0)),0,VLOOKUP(A38,'Données projet'!$A$35:$I$55,4,0))</f>
        <v>55</v>
      </c>
      <c r="W38" s="16">
        <f>IF(ISNA(VLOOKUP(A38,'Données projet'!$A$35:$I$55,5,0)),0%,VLOOKUP(A38,'Données projet'!$A$35:$I$55,5,0)*VLOOKUP('Données projet'!$B$9,Paramètres!$A$1:$I$89,7,0))</f>
        <v>0.22000000000000003</v>
      </c>
      <c r="X38" s="16">
        <f>IF(ISNA(VLOOKUP(A38,'Données projet'!$A$35:$I$55,6,0)),0%,VLOOKUP(A38,'Données projet'!$A$35:$I$55,6,0)*VLOOKUP('Données projet'!$B$9,Paramètres!$A$1:$I$89,7,0))</f>
        <v>0.18700000000000003</v>
      </c>
      <c r="Y38" s="16">
        <f>IF(ISNA(VLOOKUP(A38,'Données projet'!$A$35:$I$55,7,0)),0%,VLOOKUP(A38,'Données projet'!$A$35:$I$55,7,0))</f>
        <v>0.26</v>
      </c>
      <c r="Z38" s="21">
        <f>EXP(-LN(2)/35)*Z37+(1-EXP(-LN(2)/35))/(LN(2)/35)*V38*W38*VLOOKUP('Données projet'!$B$9,Paramètres!$A$1:$I$89,3,0)*0.475*44/12</f>
        <v>23.306464558206347</v>
      </c>
      <c r="AA38" s="21">
        <f>EXP(-LN(2)/25)*AA37+(1-EXP(-LN(2)/25))/(LN(2)/25)*Calculateur!V38*Calculateur!X38*VLOOKUP('Données projet'!$B$9,Paramètres!$A$1:$I$89,3,0)*0.475*44/12</f>
        <v>30.5005681493077</v>
      </c>
      <c r="AB38" s="21">
        <f>EXP(-LN(2)/2)*AB37+(1-EXP(-LN(2)/2))/(LN(2)/2)*V38*Y38*VLOOKUP('Données projet'!$B$9,Paramètres!$A$1:$I$89,3,0)*0.475*44/12</f>
        <v>11.073337911633491</v>
      </c>
      <c r="AC38" s="22">
        <f t="shared" si="3"/>
        <v>64.880370619147541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11.333333333333334</v>
      </c>
      <c r="AI38" s="13">
        <f>IF('Données projet'!$A$62&gt;35,AI37+AH38-AQ37,IF(A38&lt;'Données projet'!$A$62,$AF$205^A38,IF(A38='Données projet'!$A$62,'Données projet'!$B$62,AI37+AH38-AQ37)))</f>
        <v>223.66666666666671</v>
      </c>
      <c r="AJ38" s="13">
        <f>AI38*VLOOKUP('Données projet'!$B$10,Paramètres!$A$1:$I$89,3,0)*VLOOKUP('Données projet'!$B$10,Paramètres!$A$1:$I$89,5,0)</f>
        <v>139.56800000000001</v>
      </c>
      <c r="AK38" s="13">
        <f t="shared" si="35"/>
        <v>36.198022567902328</v>
      </c>
      <c r="AL38" s="20">
        <f t="shared" si="4"/>
        <v>306.12582263909655</v>
      </c>
      <c r="AM38" s="59">
        <f t="shared" si="5"/>
        <v>599.45915597242993</v>
      </c>
      <c r="AN38" s="59">
        <f ca="1">AVERAGE(OFFSET($AM$3,0,0,'Données projet'!$E$10+1,1))-AVERAGE(OFFSET($H$3,0,0,'Données projet'!$E$10+1,1))</f>
        <v>197.20006068829753</v>
      </c>
      <c r="AO38" s="59">
        <f t="shared" si="36"/>
        <v>256.52014906581638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17.801591583674629</v>
      </c>
      <c r="AV38" s="21">
        <f>EXP(-LN(2)/25)*AV37+(1-EXP(-LN(2)/25))/(LN(2)/25)*Calculateur!AQ38*Calculateur!AS38*VLOOKUP('Données projet'!$B$10,Paramètres!$A$1:$I$89,3,0)*0.475*44/12</f>
        <v>27.463950299861242</v>
      </c>
      <c r="AW38" s="21">
        <f>EXP(-LN(2)/2)*AW37+(1-EXP(-LN(2)/2))/(LN(2)/2)*AQ38*AT38*VLOOKUP('Données projet'!$B$10,Paramètres!$A$1:$I$89,3,0)*0.475*44/12</f>
        <v>1.9160458043011506</v>
      </c>
      <c r="AX38" s="21">
        <f t="shared" si="6"/>
        <v>47.181587687837023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>
        <f>BD38*VLOOKUP('Données projet'!$B$11,Paramètres!$A$1:$I$89,3,0)*VLOOKUP('Données projet'!$B$11,Paramètres!$A$1:$I$89,5,0)</f>
        <v>0</v>
      </c>
      <c r="BF38" s="13" t="e">
        <f t="shared" si="37"/>
        <v>#NUM!</v>
      </c>
      <c r="BG38" s="20" t="e">
        <f t="shared" si="7"/>
        <v>#NUM!</v>
      </c>
      <c r="BH38" s="59" t="e">
        <f t="shared" si="8"/>
        <v>#NUM!</v>
      </c>
      <c r="BI38" s="59">
        <f ca="1">AVERAGE(OFFSET($BH$3,0,0,'Données projet'!$E$11+1,1))-AVERAGE(OFFSET($H$3,0,0,'Données projet'!$E$11+1,1))</f>
        <v>102.76553481871144</v>
      </c>
      <c r="BJ38" s="59">
        <f t="shared" si="38"/>
        <v>345.99919346320343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35.100812923523918</v>
      </c>
      <c r="BQ38" s="21">
        <f>EXP(-LN(2)/25)*BQ37+(1-EXP(-LN(2)/25))/(LN(2)/25)*Calculateur!BL38*Calculateur!BN38*VLOOKUP('Données projet'!$B$11,Paramètres!$A$1:$I$89,3,0)*0.475*44/12</f>
        <v>13.3327089051929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48.43352182871682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21.8</v>
      </c>
      <c r="N39" s="13">
        <f>IF('Données projet'!$A$36&gt;35,N38+M39-V38,IF(A39&lt;'Données projet'!$A$36,$K$205^A39,IF(A39='Données projet'!$A$36,'Données projet'!$B$36,N38+M39-V38)))</f>
        <v>466.80000000000018</v>
      </c>
      <c r="O39" s="13">
        <f>N39*VLOOKUP('Données projet'!$B$9,Paramètres!$A$1:$I$89,3,0)*VLOOKUP('Données projet'!$B$9,Paramètres!$A$1:$I$89,5,0)</f>
        <v>260.94120000000009</v>
      </c>
      <c r="P39" s="13">
        <f t="shared" si="33"/>
        <v>62.922961549594426</v>
      </c>
      <c r="Q39" s="20">
        <f t="shared" si="53"/>
        <v>564.06341469887707</v>
      </c>
      <c r="R39" s="59">
        <f t="shared" si="0"/>
        <v>857.39674803221033</v>
      </c>
      <c r="S39" s="59">
        <f ca="1">AVERAGE(OFFSET($R$3,0,0,'Données projet'!$E$9+1,1))-AVERAGE(OFFSET($H$3,0,0,'Données projet'!$E$9+1,1))</f>
        <v>410.32666742287449</v>
      </c>
      <c r="T39" s="59">
        <f t="shared" si="34"/>
        <v>494.36941732405256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22.849439003759635</v>
      </c>
      <c r="AA39" s="21">
        <f>EXP(-LN(2)/25)*AA38+(1-EXP(-LN(2)/25))/(LN(2)/25)*Calculateur!V39*Calculateur!X39*VLOOKUP('Données projet'!$B$9,Paramètres!$A$1:$I$89,3,0)*0.475*44/12</f>
        <v>29.66652850930971</v>
      </c>
      <c r="AB39" s="21">
        <f>EXP(-LN(2)/2)*AB38+(1-EXP(-LN(2)/2))/(LN(2)/2)*V39*Y39*VLOOKUP('Données projet'!$B$9,Paramètres!$A$1:$I$89,3,0)*0.475*44/12</f>
        <v>7.8300323276861246</v>
      </c>
      <c r="AC39" s="22">
        <f t="shared" si="3"/>
        <v>60.345999840755468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235</v>
      </c>
      <c r="AG39" s="12">
        <f>VLOOKUP(A39,'Données projet'!$A$61:$I$81,9,0)</f>
        <v>11.333333333333334</v>
      </c>
      <c r="AH39" s="12">
        <f t="array" ref="AH39">INDEX(AG:AG,MIN(IF(ISNUMBER(AG39:AG235),ROW(AG39:AG235),"")))</f>
        <v>11.333333333333334</v>
      </c>
      <c r="AI39" s="13">
        <f>IF('Données projet'!$A$62&gt;35,AI38+AH39-AQ38,IF(A39&lt;'Données projet'!$A$62,$AF$205^A39,IF(A39='Données projet'!$A$62,'Données projet'!$B$62,AI38+AH39-AQ38)))</f>
        <v>235.00000000000006</v>
      </c>
      <c r="AJ39" s="13">
        <f>AI39*VLOOKUP('Données projet'!$B$10,Paramètres!$A$1:$I$89,3,0)*VLOOKUP('Données projet'!$B$10,Paramètres!$A$1:$I$89,5,0)</f>
        <v>146.64000000000004</v>
      </c>
      <c r="AK39" s="13">
        <f t="shared" si="35"/>
        <v>37.814009712703054</v>
      </c>
      <c r="AL39" s="20">
        <f t="shared" si="4"/>
        <v>321.2574002496246</v>
      </c>
      <c r="AM39" s="59">
        <f t="shared" si="5"/>
        <v>614.59073358295791</v>
      </c>
      <c r="AN39" s="59">
        <f ca="1">AVERAGE(OFFSET($AM$3,0,0,'Données projet'!$E$10+1,1))-AVERAGE(OFFSET($H$3,0,0,'Données projet'!$E$10+1,1))</f>
        <v>197.20006068829753</v>
      </c>
      <c r="AO39" s="59">
        <f t="shared" si="36"/>
        <v>256.52014906581638</v>
      </c>
      <c r="AP39" s="15">
        <f>IF(ISNA(VLOOKUP(A39,'Données projet'!$A$61:$I$81,3,0)),0,VLOOKUP(A39,'Données projet'!$A$61:$I$81,3,0))</f>
        <v>5</v>
      </c>
      <c r="AQ39" s="15">
        <f>IF(ISNA(VLOOKUP(A39,'Données projet'!$A$61:$I$81,4,0)),0,VLOOKUP(A39,'Données projet'!$A$61:$I$81,4,0))</f>
        <v>45</v>
      </c>
      <c r="AR39" s="16">
        <f>IF(ISNA(VLOOKUP(A39,'Données projet'!$A$61:$I$81,5,0)),0%,VLOOKUP(A39,'Données projet'!$A$61:$I$81,5,0)*VLOOKUP('Données projet'!$B$10,Paramètres!$A$1:$I$89,7,0))</f>
        <v>0.24</v>
      </c>
      <c r="AS39" s="16">
        <f>IF(ISNA(VLOOKUP(A39,'Données projet'!$A$61:$I$81,6,0)),0%,VLOOKUP(A39,'Données projet'!$A$61:$I$81,6,0)*VLOOKUP('Données projet'!$B$10,Paramètres!$A$1:$I$89,7,0))</f>
        <v>0.20400000000000001</v>
      </c>
      <c r="AT39" s="16">
        <f>IF(ISNA(VLOOKUP(A39,'Données projet'!$A$61:$I$81,7,0)),0%,VLOOKUP(A39,'Données projet'!$A$61:$I$81,7,0))</f>
        <v>0.26</v>
      </c>
      <c r="AU39" s="21">
        <f>EXP(-LN(2)/35)*AU38+(1-EXP(-LN(2)/35))/(LN(2)/35)*AQ39*AR39*VLOOKUP('Données projet'!$B$10,Paramètres!$A$1:$I$89,3,0)*0.475*44/12</f>
        <v>26.392496408715651</v>
      </c>
      <c r="AV39" s="21">
        <f>EXP(-LN(2)/25)*AV38+(1-EXP(-LN(2)/25))/(LN(2)/25)*Calculateur!AQ39*Calculateur!AS39*VLOOKUP('Données projet'!$B$10,Paramètres!$A$1:$I$89,3,0)*0.475*44/12</f>
        <v>34.282012733881686</v>
      </c>
      <c r="AW39" s="21">
        <f>EXP(-LN(2)/2)*AW38+(1-EXP(-LN(2)/2))/(LN(2)/2)*AQ39*AT39*VLOOKUP('Données projet'!$B$10,Paramètres!$A$1:$I$89,3,0)*0.475*44/12</f>
        <v>9.6210505390665979</v>
      </c>
      <c r="AX39" s="21">
        <f t="shared" si="6"/>
        <v>70.295559681663931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>
        <f>BD39*VLOOKUP('Données projet'!$B$11,Paramètres!$A$1:$I$89,3,0)*VLOOKUP('Données projet'!$B$11,Paramètres!$A$1:$I$89,5,0)</f>
        <v>0</v>
      </c>
      <c r="BF39" s="13" t="e">
        <f t="shared" si="37"/>
        <v>#NUM!</v>
      </c>
      <c r="BG39" s="20" t="e">
        <f t="shared" si="7"/>
        <v>#NUM!</v>
      </c>
      <c r="BH39" s="59" t="e">
        <f t="shared" si="8"/>
        <v>#NUM!</v>
      </c>
      <c r="BI39" s="59">
        <f ca="1">AVERAGE(OFFSET($BH$3,0,0,'Données projet'!$E$11+1,1))-AVERAGE(OFFSET($H$3,0,0,'Données projet'!$E$11+1,1))</f>
        <v>102.76553481871144</v>
      </c>
      <c r="BJ39" s="59">
        <f t="shared" si="38"/>
        <v>345.99919346320343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34.412507391475494</v>
      </c>
      <c r="BQ39" s="21">
        <f>EXP(-LN(2)/25)*BQ38+(1-EXP(-LN(2)/25))/(LN(2)/25)*Calculateur!BL39*Calculateur!BN39*VLOOKUP('Données projet'!$B$11,Paramètres!$A$1:$I$89,3,0)*0.475*44/12</f>
        <v>12.968125279043711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47.380632670519205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21.8</v>
      </c>
      <c r="N40" s="13">
        <f>IF('Données projet'!$A$36&gt;35,N39+M40-V39,IF(A40&lt;'Données projet'!$A$36,$K$205^A40,IF(A40='Données projet'!$A$36,'Données projet'!$B$36,N39+M40-V39)))</f>
        <v>488.60000000000019</v>
      </c>
      <c r="O40" s="13">
        <f>N40*VLOOKUP('Données projet'!$B$9,Paramètres!$A$1:$I$89,3,0)*VLOOKUP('Données projet'!$B$9,Paramètres!$A$1:$I$89,5,0)</f>
        <v>273.12740000000008</v>
      </c>
      <c r="P40" s="13">
        <f t="shared" si="33"/>
        <v>65.512536987025797</v>
      </c>
      <c r="Q40" s="20">
        <f t="shared" si="53"/>
        <v>589.79789025240336</v>
      </c>
      <c r="R40" s="59">
        <f t="shared" si="0"/>
        <v>883.13122358573673</v>
      </c>
      <c r="S40" s="59">
        <f ca="1">AVERAGE(OFFSET($R$3,0,0,'Données projet'!$E$9+1,1))-AVERAGE(OFFSET($H$3,0,0,'Données projet'!$E$9+1,1))</f>
        <v>410.32666742287449</v>
      </c>
      <c r="T40" s="59">
        <f t="shared" si="34"/>
        <v>494.36941732405256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22.401375441677558</v>
      </c>
      <c r="AA40" s="21">
        <f>EXP(-LN(2)/25)*AA39+(1-EXP(-LN(2)/25))/(LN(2)/25)*Calculateur!V40*Calculateur!X40*VLOOKUP('Données projet'!$B$9,Paramètres!$A$1:$I$89,3,0)*0.475*44/12</f>
        <v>28.855295727127707</v>
      </c>
      <c r="AB40" s="21">
        <f>EXP(-LN(2)/2)*AB39+(1-EXP(-LN(2)/2))/(LN(2)/2)*V40*Y40*VLOOKUP('Données projet'!$B$9,Paramètres!$A$1:$I$89,3,0)*0.475*44/12</f>
        <v>5.5366689558167463</v>
      </c>
      <c r="AC40" s="22">
        <f t="shared" si="3"/>
        <v>56.793340124622013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10.666666666666666</v>
      </c>
      <c r="AI40" s="13">
        <f>IF('Données projet'!$A$62&gt;35,AI39+AH40-AQ39,IF(A40&lt;'Données projet'!$A$62,$AF$205^A40,IF(A40='Données projet'!$A$62,'Données projet'!$B$62,AI39+AH40-AQ39)))</f>
        <v>200.66666666666671</v>
      </c>
      <c r="AJ40" s="13">
        <f>AI40*VLOOKUP('Données projet'!$B$10,Paramètres!$A$1:$I$89,3,0)*VLOOKUP('Données projet'!$B$10,Paramètres!$A$1:$I$89,5,0)</f>
        <v>125.21600000000004</v>
      </c>
      <c r="AK40" s="13">
        <f t="shared" si="35"/>
        <v>32.888516733565645</v>
      </c>
      <c r="AL40" s="20">
        <f t="shared" si="4"/>
        <v>275.36536664429354</v>
      </c>
      <c r="AM40" s="59">
        <f t="shared" si="5"/>
        <v>568.6986999776268</v>
      </c>
      <c r="AN40" s="59">
        <f ca="1">AVERAGE(OFFSET($AM$3,0,0,'Données projet'!$E$10+1,1))-AVERAGE(OFFSET($H$3,0,0,'Données projet'!$E$10+1,1))</f>
        <v>197.20006068829753</v>
      </c>
      <c r="AO40" s="59">
        <f t="shared" si="36"/>
        <v>256.52014906581638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25.874955651974016</v>
      </c>
      <c r="AV40" s="21">
        <f>EXP(-LN(2)/25)*AV39+(1-EXP(-LN(2)/25))/(LN(2)/25)*Calculateur!AQ40*Calculateur!AS40*VLOOKUP('Données projet'!$B$10,Paramètres!$A$1:$I$89,3,0)*0.475*44/12</f>
        <v>33.344569292860996</v>
      </c>
      <c r="AW40" s="21">
        <f>EXP(-LN(2)/2)*AW39+(1-EXP(-LN(2)/2))/(LN(2)/2)*AQ40*AT40*VLOOKUP('Données projet'!$B$10,Paramètres!$A$1:$I$89,3,0)*0.475*44/12</f>
        <v>6.8031100783124803</v>
      </c>
      <c r="AX40" s="21">
        <f t="shared" si="6"/>
        <v>66.022635023147501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>
        <f>BD40*VLOOKUP('Données projet'!$B$11,Paramètres!$A$1:$I$89,3,0)*VLOOKUP('Données projet'!$B$11,Paramètres!$A$1:$I$89,5,0)</f>
        <v>0</v>
      </c>
      <c r="BF40" s="13" t="e">
        <f t="shared" si="37"/>
        <v>#NUM!</v>
      </c>
      <c r="BG40" s="20" t="e">
        <f t="shared" si="7"/>
        <v>#NUM!</v>
      </c>
      <c r="BH40" s="59" t="e">
        <f t="shared" si="8"/>
        <v>#NUM!</v>
      </c>
      <c r="BI40" s="59">
        <f ca="1">AVERAGE(OFFSET($BH$3,0,0,'Données projet'!$E$11+1,1))-AVERAGE(OFFSET($H$3,0,0,'Données projet'!$E$11+1,1))</f>
        <v>102.76553481871144</v>
      </c>
      <c r="BJ40" s="59">
        <f t="shared" si="38"/>
        <v>345.99919346320343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33.737699111085618</v>
      </c>
      <c r="BQ40" s="21">
        <f>EXP(-LN(2)/25)*BQ39+(1-EXP(-LN(2)/25))/(LN(2)/25)*Calculateur!BL40*Calculateur!BN40*VLOOKUP('Données projet'!$B$11,Paramètres!$A$1:$I$89,3,0)*0.475*44/12</f>
        <v>12.613511211324191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46.351210322409813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21.8</v>
      </c>
      <c r="N41" s="13">
        <f>IF('Données projet'!$A$36&gt;35,N40+M41-V40,IF(A41&lt;'Données projet'!$A$36,$K$205^A41,IF(A41='Données projet'!$A$36,'Données projet'!$B$36,N40+M41-V40)))</f>
        <v>510.4000000000002</v>
      </c>
      <c r="O41" s="13">
        <f>N41*VLOOKUP('Données projet'!$B$9,Paramètres!$A$1:$I$89,3,0)*VLOOKUP('Données projet'!$B$9,Paramètres!$A$1:$I$89,5,0)</f>
        <v>285.31360000000012</v>
      </c>
      <c r="P41" s="13">
        <f t="shared" si="33"/>
        <v>68.088693753445725</v>
      </c>
      <c r="Q41" s="20">
        <f t="shared" si="53"/>
        <v>615.5089949539182</v>
      </c>
      <c r="R41" s="59">
        <f t="shared" si="0"/>
        <v>908.84232828725158</v>
      </c>
      <c r="S41" s="59">
        <f ca="1">AVERAGE(OFFSET($R$3,0,0,'Données projet'!$E$9+1,1))-AVERAGE(OFFSET($H$3,0,0,'Données projet'!$E$9+1,1))</f>
        <v>410.32666742287449</v>
      </c>
      <c r="T41" s="59">
        <f t="shared" si="34"/>
        <v>494.36941732405256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21.962098132756122</v>
      </c>
      <c r="AA41" s="21">
        <f>EXP(-LN(2)/25)*AA40+(1-EXP(-LN(2)/25))/(LN(2)/25)*Calculateur!V41*Calculateur!X41*VLOOKUP('Données projet'!$B$9,Paramètres!$A$1:$I$89,3,0)*0.475*44/12</f>
        <v>28.066246148035347</v>
      </c>
      <c r="AB41" s="21">
        <f>EXP(-LN(2)/2)*AB40+(1-EXP(-LN(2)/2))/(LN(2)/2)*V41*Y41*VLOOKUP('Données projet'!$B$9,Paramètres!$A$1:$I$89,3,0)*0.475*44/12</f>
        <v>3.9150161638430627</v>
      </c>
      <c r="AC41" s="22">
        <f t="shared" si="3"/>
        <v>53.943360444634536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10.666666666666666</v>
      </c>
      <c r="AI41" s="13">
        <f>IF('Données projet'!$A$62&gt;35,AI40+AH41-AQ40,IF(A41&lt;'Données projet'!$A$62,$AF$205^A41,IF(A41='Données projet'!$A$62,'Données projet'!$B$62,AI40+AH41-AQ40)))</f>
        <v>211.33333333333337</v>
      </c>
      <c r="AJ41" s="13">
        <f>AI41*VLOOKUP('Données projet'!$B$10,Paramètres!$A$1:$I$89,3,0)*VLOOKUP('Données projet'!$B$10,Paramètres!$A$1:$I$89,5,0)</f>
        <v>131.87200000000001</v>
      </c>
      <c r="AK41" s="13">
        <f t="shared" si="35"/>
        <v>34.42856297363349</v>
      </c>
      <c r="AL41" s="20">
        <f t="shared" si="4"/>
        <v>289.64014717907838</v>
      </c>
      <c r="AM41" s="59">
        <f t="shared" si="5"/>
        <v>582.9734805124117</v>
      </c>
      <c r="AN41" s="59">
        <f ca="1">AVERAGE(OFFSET($AM$3,0,0,'Données projet'!$E$10+1,1))-AVERAGE(OFFSET($H$3,0,0,'Données projet'!$E$10+1,1))</f>
        <v>197.20006068829753</v>
      </c>
      <c r="AO41" s="59">
        <f t="shared" si="36"/>
        <v>256.52014906581638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25.367563553803393</v>
      </c>
      <c r="AV41" s="21">
        <f>EXP(-LN(2)/25)*AV40+(1-EXP(-LN(2)/25))/(LN(2)/25)*Calculateur!AQ41*Calculateur!AS41*VLOOKUP('Données projet'!$B$10,Paramètres!$A$1:$I$89,3,0)*0.475*44/12</f>
        <v>32.432760292033024</v>
      </c>
      <c r="AW41" s="21">
        <f>EXP(-LN(2)/2)*AW40+(1-EXP(-LN(2)/2))/(LN(2)/2)*AQ41*AT41*VLOOKUP('Données projet'!$B$10,Paramètres!$A$1:$I$89,3,0)*0.475*44/12</f>
        <v>4.8105252695332998</v>
      </c>
      <c r="AX41" s="21">
        <f t="shared" si="6"/>
        <v>62.610849115369717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>
        <f>BD41*VLOOKUP('Données projet'!$B$11,Paramètres!$A$1:$I$89,3,0)*VLOOKUP('Données projet'!$B$11,Paramètres!$A$1:$I$89,5,0)</f>
        <v>0</v>
      </c>
      <c r="BF41" s="13" t="e">
        <f t="shared" si="37"/>
        <v>#NUM!</v>
      </c>
      <c r="BG41" s="20" t="e">
        <f t="shared" si="7"/>
        <v>#NUM!</v>
      </c>
      <c r="BH41" s="59" t="e">
        <f t="shared" si="8"/>
        <v>#NUM!</v>
      </c>
      <c r="BI41" s="59">
        <f ca="1">AVERAGE(OFFSET($BH$3,0,0,'Données projet'!$E$11+1,1))-AVERAGE(OFFSET($H$3,0,0,'Données projet'!$E$11+1,1))</f>
        <v>102.76553481871144</v>
      </c>
      <c r="BJ41" s="59">
        <f t="shared" si="38"/>
        <v>345.99919346320343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33.076123409481781</v>
      </c>
      <c r="BQ41" s="21">
        <f>EXP(-LN(2)/25)*BQ40+(1-EXP(-LN(2)/25))/(LN(2)/25)*Calculateur!BL41*Calculateur!BN41*VLOOKUP('Données projet'!$B$11,Paramètres!$A$1:$I$89,3,0)*0.475*44/12</f>
        <v>12.268594083934804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45.344717493416582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21.8</v>
      </c>
      <c r="N42" s="13">
        <f>IF('Données projet'!$A$36&gt;35,N41+M42-V41,IF(A42&lt;'Données projet'!$A$36,$K$205^A42,IF(A42='Données projet'!$A$36,'Données projet'!$B$36,N41+M42-V41)))</f>
        <v>532.20000000000016</v>
      </c>
      <c r="O42" s="13">
        <f>N42*VLOOKUP('Données projet'!$B$9,Paramètres!$A$1:$I$89,3,0)*VLOOKUP('Données projet'!$B$9,Paramètres!$A$1:$I$89,5,0)</f>
        <v>297.49980000000011</v>
      </c>
      <c r="P42" s="13">
        <f t="shared" si="33"/>
        <v>70.652070502757923</v>
      </c>
      <c r="Q42" s="20">
        <f t="shared" si="53"/>
        <v>641.19784112563684</v>
      </c>
      <c r="R42" s="59">
        <f t="shared" si="0"/>
        <v>934.5311744589701</v>
      </c>
      <c r="S42" s="59">
        <f ca="1">AVERAGE(OFFSET($R$3,0,0,'Données projet'!$E$9+1,1))-AVERAGE(OFFSET($H$3,0,0,'Données projet'!$E$9+1,1))</f>
        <v>410.32666742287449</v>
      </c>
      <c r="T42" s="59">
        <f t="shared" si="34"/>
        <v>494.36941732405256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21.531434783929935</v>
      </c>
      <c r="AA42" s="21">
        <f>EXP(-LN(2)/25)*AA41+(1-EXP(-LN(2)/25))/(LN(2)/25)*Calculateur!V42*Calculateur!X42*VLOOKUP('Données projet'!$B$9,Paramètres!$A$1:$I$89,3,0)*0.475*44/12</f>
        <v>27.298773171177583</v>
      </c>
      <c r="AB42" s="21">
        <f>EXP(-LN(2)/2)*AB41+(1-EXP(-LN(2)/2))/(LN(2)/2)*V42*Y42*VLOOKUP('Données projet'!$B$9,Paramètres!$A$1:$I$89,3,0)*0.475*44/12</f>
        <v>2.7683344779083736</v>
      </c>
      <c r="AC42" s="22">
        <f t="shared" si="3"/>
        <v>51.598542433015893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10.666666666666666</v>
      </c>
      <c r="AI42" s="13">
        <f>IF('Données projet'!$A$62&gt;35,AI41+AH42-AQ41,IF(A42&lt;'Données projet'!$A$62,$AF$205^A42,IF(A42='Données projet'!$A$62,'Données projet'!$B$62,AI41+AH42-AQ41)))</f>
        <v>222.00000000000003</v>
      </c>
      <c r="AJ42" s="13">
        <f>AI42*VLOOKUP('Données projet'!$B$10,Paramètres!$A$1:$I$89,3,0)*VLOOKUP('Données projet'!$B$10,Paramètres!$A$1:$I$89,5,0)</f>
        <v>138.52800000000002</v>
      </c>
      <c r="AK42" s="13">
        <f t="shared" si="35"/>
        <v>35.959583801423804</v>
      </c>
      <c r="AL42" s="20">
        <f t="shared" si="4"/>
        <v>303.8992084541465</v>
      </c>
      <c r="AM42" s="59">
        <f t="shared" si="5"/>
        <v>597.23254178747982</v>
      </c>
      <c r="AN42" s="59">
        <f ca="1">AVERAGE(OFFSET($AM$3,0,0,'Données projet'!$E$10+1,1))-AVERAGE(OFFSET($H$3,0,0,'Données projet'!$E$10+1,1))</f>
        <v>197.20006068829753</v>
      </c>
      <c r="AO42" s="59">
        <f t="shared" si="36"/>
        <v>256.52014906581638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24.870121105199274</v>
      </c>
      <c r="AV42" s="21">
        <f>EXP(-LN(2)/25)*AV41+(1-EXP(-LN(2)/25))/(LN(2)/25)*Calculateur!AQ42*Calculateur!AS42*VLOOKUP('Données projet'!$B$10,Paramètres!$A$1:$I$89,3,0)*0.475*44/12</f>
        <v>31.545884756282643</v>
      </c>
      <c r="AW42" s="21">
        <f>EXP(-LN(2)/2)*AW41+(1-EXP(-LN(2)/2))/(LN(2)/2)*AQ42*AT42*VLOOKUP('Données projet'!$B$10,Paramètres!$A$1:$I$89,3,0)*0.475*44/12</f>
        <v>3.401555039156241</v>
      </c>
      <c r="AX42" s="21">
        <f t="shared" si="6"/>
        <v>59.817560900638163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>
        <f>BD42*VLOOKUP('Données projet'!$B$11,Paramètres!$A$1:$I$89,3,0)*VLOOKUP('Données projet'!$B$11,Paramètres!$A$1:$I$89,5,0)</f>
        <v>0</v>
      </c>
      <c r="BF42" s="13" t="e">
        <f t="shared" si="37"/>
        <v>#NUM!</v>
      </c>
      <c r="BG42" s="20" t="e">
        <f t="shared" si="7"/>
        <v>#NUM!</v>
      </c>
      <c r="BH42" s="59" t="e">
        <f t="shared" si="8"/>
        <v>#NUM!</v>
      </c>
      <c r="BI42" s="59">
        <f ca="1">AVERAGE(OFFSET($BH$3,0,0,'Données projet'!$E$11+1,1))-AVERAGE(OFFSET($H$3,0,0,'Données projet'!$E$11+1,1))</f>
        <v>102.76553481871144</v>
      </c>
      <c r="BJ42" s="59">
        <f t="shared" si="38"/>
        <v>345.99919346320343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32.427520803865065</v>
      </c>
      <c r="BQ42" s="21">
        <f>EXP(-LN(2)/25)*BQ41+(1-EXP(-LN(2)/25))/(LN(2)/25)*Calculateur!BL42*Calculateur!BN42*VLOOKUP('Données projet'!$B$11,Paramètres!$A$1:$I$89,3,0)*0.475*44/12</f>
        <v>11.933108733532285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44.360629537397351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554</v>
      </c>
      <c r="L43" s="12">
        <f>VLOOKUP(A43,'Données projet'!$A$35:$I$55,9,0)</f>
        <v>21.8</v>
      </c>
      <c r="M43" s="12">
        <f t="array" ref="M43">INDEX(L:L,MIN(IF(ISNUMBER(L43:L239),ROW(L43:L239),"")))</f>
        <v>21.8</v>
      </c>
      <c r="N43" s="13">
        <f>IF('Données projet'!$A$36&gt;35,N42+M43-V42,IF(A43&lt;'Données projet'!$A$36,$K$205^A43,IF(A43='Données projet'!$A$36,'Données projet'!$B$36,N42+M43-V42)))</f>
        <v>554.00000000000011</v>
      </c>
      <c r="O43" s="13">
        <f>N43*VLOOKUP('Données projet'!$B$9,Paramètres!$A$1:$I$89,3,0)*VLOOKUP('Données projet'!$B$9,Paramètres!$A$1:$I$89,5,0)</f>
        <v>309.68600000000009</v>
      </c>
      <c r="P43" s="13">
        <f t="shared" si="33"/>
        <v>73.203250607027869</v>
      </c>
      <c r="Q43" s="20">
        <f t="shared" si="53"/>
        <v>666.86544480724035</v>
      </c>
      <c r="R43" s="59">
        <f t="shared" si="0"/>
        <v>960.19877814057372</v>
      </c>
      <c r="S43" s="59">
        <f ca="1">AVERAGE(OFFSET($R$3,0,0,'Données projet'!$E$9+1,1))-AVERAGE(OFFSET($H$3,0,0,'Données projet'!$E$9+1,1))</f>
        <v>410.32666742287449</v>
      </c>
      <c r="T43" s="59">
        <f t="shared" si="34"/>
        <v>494.36941732405256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55</v>
      </c>
      <c r="W43" s="16">
        <f>IF(ISNA(VLOOKUP(A43,'Données projet'!$A$35:$I$55,5,0)),0%,VLOOKUP(A43,'Données projet'!$A$35:$I$55,5,0)*VLOOKUP('Données projet'!$B$9,Paramètres!$A$1:$I$89,7,0))</f>
        <v>0.33</v>
      </c>
      <c r="X43" s="16">
        <f>IF(ISNA(VLOOKUP(A43,'Données projet'!$A$35:$I$55,6,0)),0%,VLOOKUP(A43,'Données projet'!$A$35:$I$55,6,0)*VLOOKUP('Données projet'!$B$9,Paramètres!$A$1:$I$89,7,0))</f>
        <v>0.12100000000000001</v>
      </c>
      <c r="Y43" s="16">
        <f>IF(ISNA(VLOOKUP(A43,'Données projet'!$A$35:$I$55,7,0)),0%,VLOOKUP(A43,'Données projet'!$A$35:$I$55,7,0))</f>
        <v>0.18</v>
      </c>
      <c r="Z43" s="21">
        <f>EXP(-LN(2)/35)*Z42+(1-EXP(-LN(2)/35))/(LN(2)/35)*V43*W43*VLOOKUP('Données projet'!$B$9,Paramètres!$A$1:$I$89,3,0)*0.475*44/12</f>
        <v>34.568340460916787</v>
      </c>
      <c r="AA43" s="21">
        <f>EXP(-LN(2)/25)*AA42+(1-EXP(-LN(2)/25))/(LN(2)/25)*Calculateur!V43*Calculateur!X43*VLOOKUP('Données projet'!$B$9,Paramètres!$A$1:$I$89,3,0)*0.475*44/12</f>
        <v>31.467867886185353</v>
      </c>
      <c r="AB43" s="21">
        <f>EXP(-LN(2)/2)*AB42+(1-EXP(-LN(2)/2))/(LN(2)/2)*V43*Y43*VLOOKUP('Données projet'!$B$9,Paramètres!$A$1:$I$89,3,0)*0.475*44/12</f>
        <v>8.2233948396627472</v>
      </c>
      <c r="AC43" s="22">
        <f t="shared" si="3"/>
        <v>74.259603186764878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10.666666666666666</v>
      </c>
      <c r="AI43" s="13">
        <f>IF('Données projet'!$A$62&gt;35,AI42+AH43-AQ42,IF(A43&lt;'Données projet'!$A$62,$AF$205^A43,IF(A43='Données projet'!$A$62,'Données projet'!$B$62,AI42+AH43-AQ42)))</f>
        <v>232.66666666666669</v>
      </c>
      <c r="AJ43" s="13">
        <f>AI43*VLOOKUP('Données projet'!$B$10,Paramètres!$A$1:$I$89,3,0)*VLOOKUP('Données projet'!$B$10,Paramètres!$A$1:$I$89,5,0)</f>
        <v>145.18400000000003</v>
      </c>
      <c r="AK43" s="13">
        <f t="shared" si="35"/>
        <v>37.4820623767272</v>
      </c>
      <c r="AL43" s="20">
        <f t="shared" si="4"/>
        <v>318.14339197279986</v>
      </c>
      <c r="AM43" s="59">
        <f t="shared" si="5"/>
        <v>611.47672530613318</v>
      </c>
      <c r="AN43" s="59">
        <f ca="1">AVERAGE(OFFSET($AM$3,0,0,'Données projet'!$E$10+1,1))-AVERAGE(OFFSET($H$3,0,0,'Données projet'!$E$10+1,1))</f>
        <v>197.20006068829753</v>
      </c>
      <c r="AO43" s="59">
        <f t="shared" si="36"/>
        <v>256.52014906581638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24.38243319960235</v>
      </c>
      <c r="AV43" s="21">
        <f>EXP(-LN(2)/25)*AV42+(1-EXP(-LN(2)/25))/(LN(2)/25)*Calculateur!AQ43*Calculateur!AS43*VLOOKUP('Données projet'!$B$10,Paramètres!$A$1:$I$89,3,0)*0.475*44/12</f>
        <v>30.683260878696114</v>
      </c>
      <c r="AW43" s="21">
        <f>EXP(-LN(2)/2)*AW42+(1-EXP(-LN(2)/2))/(LN(2)/2)*AQ43*AT43*VLOOKUP('Données projet'!$B$10,Paramètres!$A$1:$I$89,3,0)*0.475*44/12</f>
        <v>2.4052626347666504</v>
      </c>
      <c r="AX43" s="21">
        <f t="shared" si="6"/>
        <v>57.470956713065114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>
        <f>BD43*VLOOKUP('Données projet'!$B$11,Paramètres!$A$1:$I$89,3,0)*VLOOKUP('Données projet'!$B$11,Paramètres!$A$1:$I$89,5,0)</f>
        <v>0</v>
      </c>
      <c r="BF43" s="13" t="e">
        <f t="shared" si="37"/>
        <v>#NUM!</v>
      </c>
      <c r="BG43" s="20" t="e">
        <f t="shared" si="7"/>
        <v>#NUM!</v>
      </c>
      <c r="BH43" s="59" t="e">
        <f t="shared" si="8"/>
        <v>#NUM!</v>
      </c>
      <c r="BI43" s="59">
        <f ca="1">AVERAGE(OFFSET($BH$3,0,0,'Données projet'!$E$11+1,1))-AVERAGE(OFFSET($H$3,0,0,'Données projet'!$E$11+1,1))</f>
        <v>102.76553481871144</v>
      </c>
      <c r="BJ43" s="59">
        <f t="shared" si="38"/>
        <v>345.99919346320343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31.791636899735963</v>
      </c>
      <c r="BQ43" s="21">
        <f>EXP(-LN(2)/25)*BQ42+(1-EXP(-LN(2)/25))/(LN(2)/25)*Calculateur!BL43*Calculateur!BN43*VLOOKUP('Données projet'!$B$11,Paramètres!$A$1:$I$89,3,0)*0.475*44/12</f>
        <v>11.60679724767893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43.398434147414889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20.399999999999999</v>
      </c>
      <c r="N44" s="13">
        <f>IF('Données projet'!$A$36&gt;35,N43+M44-V43,IF(A44&lt;'Données projet'!$A$36,$K$205^A44,IF(A44='Données projet'!$A$36,'Données projet'!$B$36,N43+M44-V43)))</f>
        <v>519.40000000000009</v>
      </c>
      <c r="O44" s="13">
        <f>N44*VLOOKUP('Données projet'!$B$9,Paramètres!$A$1:$I$89,3,0)*VLOOKUP('Données projet'!$B$9,Paramètres!$A$1:$I$89,5,0)</f>
        <v>290.34460000000007</v>
      </c>
      <c r="P44" s="13">
        <f t="shared" si="33"/>
        <v>69.148483049501621</v>
      </c>
      <c r="Q44" s="20">
        <f t="shared" si="53"/>
        <v>626.11711964454878</v>
      </c>
      <c r="R44" s="59">
        <f t="shared" si="0"/>
        <v>919.45045297788215</v>
      </c>
      <c r="S44" s="59">
        <f ca="1">AVERAGE(OFFSET($R$3,0,0,'Données projet'!$E$9+1,1))-AVERAGE(OFFSET($H$3,0,0,'Données projet'!$E$9+1,1))</f>
        <v>410.32666742287449</v>
      </c>
      <c r="T44" s="59">
        <f t="shared" si="34"/>
        <v>494.36941732405256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33.890476389083958</v>
      </c>
      <c r="AA44" s="21">
        <f>EXP(-LN(2)/25)*AA43+(1-EXP(-LN(2)/25))/(LN(2)/25)*Calculateur!V44*Calculateur!X44*VLOOKUP('Données projet'!$B$9,Paramètres!$A$1:$I$89,3,0)*0.475*44/12</f>
        <v>30.607377384014363</v>
      </c>
      <c r="AB44" s="21">
        <f>EXP(-LN(2)/2)*AB43+(1-EXP(-LN(2)/2))/(LN(2)/2)*V44*Y44*VLOOKUP('Données projet'!$B$9,Paramètres!$A$1:$I$89,3,0)*0.475*44/12</f>
        <v>5.8148182554999908</v>
      </c>
      <c r="AC44" s="22">
        <f t="shared" si="3"/>
        <v>70.3126720285983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10.666666666666666</v>
      </c>
      <c r="AI44" s="13">
        <f>IF('Données projet'!$A$62&gt;35,AI43+AH44-AQ43,IF(A44&lt;'Données projet'!$A$62,$AF$205^A44,IF(A44='Données projet'!$A$62,'Données projet'!$B$62,AI43+AH44-AQ43)))</f>
        <v>243.33333333333334</v>
      </c>
      <c r="AJ44" s="13">
        <f>AI44*VLOOKUP('Données projet'!$B$10,Paramètres!$A$1:$I$89,3,0)*VLOOKUP('Données projet'!$B$10,Paramètres!$A$1:$I$89,5,0)</f>
        <v>151.84</v>
      </c>
      <c r="AK44" s="13">
        <f t="shared" si="35"/>
        <v>38.996435054152862</v>
      </c>
      <c r="AL44" s="20">
        <f t="shared" si="4"/>
        <v>332.37345771931626</v>
      </c>
      <c r="AM44" s="59">
        <f t="shared" si="5"/>
        <v>625.70679105264958</v>
      </c>
      <c r="AN44" s="59">
        <f ca="1">AVERAGE(OFFSET($AM$3,0,0,'Données projet'!$E$10+1,1))-AVERAGE(OFFSET($H$3,0,0,'Données projet'!$E$10+1,1))</f>
        <v>197.20006068829753</v>
      </c>
      <c r="AO44" s="59">
        <f t="shared" si="36"/>
        <v>256.52014906581638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23.90430855637393</v>
      </c>
      <c r="AV44" s="21">
        <f>EXP(-LN(2)/25)*AV43+(1-EXP(-LN(2)/25))/(LN(2)/25)*Calculateur!AQ44*Calculateur!AS44*VLOOKUP('Données projet'!$B$10,Paramètres!$A$1:$I$89,3,0)*0.475*44/12</f>
        <v>29.844225496405606</v>
      </c>
      <c r="AW44" s="21">
        <f>EXP(-LN(2)/2)*AW43+(1-EXP(-LN(2)/2))/(LN(2)/2)*AQ44*AT44*VLOOKUP('Données projet'!$B$10,Paramètres!$A$1:$I$89,3,0)*0.475*44/12</f>
        <v>1.7007775195781207</v>
      </c>
      <c r="AX44" s="21">
        <f t="shared" si="6"/>
        <v>55.449311572357651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>
        <f>BD44*VLOOKUP('Données projet'!$B$11,Paramètres!$A$1:$I$89,3,0)*VLOOKUP('Données projet'!$B$11,Paramètres!$A$1:$I$89,5,0)</f>
        <v>0</v>
      </c>
      <c r="BF44" s="13" t="e">
        <f t="shared" si="37"/>
        <v>#NUM!</v>
      </c>
      <c r="BG44" s="20" t="e">
        <f t="shared" si="7"/>
        <v>#NUM!</v>
      </c>
      <c r="BH44" s="59" t="e">
        <f t="shared" si="8"/>
        <v>#NUM!</v>
      </c>
      <c r="BI44" s="59">
        <f ca="1">AVERAGE(OFFSET($BH$3,0,0,'Données projet'!$E$11+1,1))-AVERAGE(OFFSET($H$3,0,0,'Données projet'!$E$11+1,1))</f>
        <v>102.76553481871144</v>
      </c>
      <c r="BJ44" s="59">
        <f t="shared" si="38"/>
        <v>345.99919346320343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31.168222291115949</v>
      </c>
      <c r="BQ44" s="21">
        <f>EXP(-LN(2)/25)*BQ43+(1-EXP(-LN(2)/25))/(LN(2)/25)*Calculateur!BL44*Calculateur!BN44*VLOOKUP('Données projet'!$B$11,Paramètres!$A$1:$I$89,3,0)*0.475*44/12</f>
        <v>11.28940876656621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42.457631057682157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20.399999999999999</v>
      </c>
      <c r="N45" s="13">
        <f>IF('Données projet'!$A$36&gt;35,N44+M45-V44,IF(A45&lt;'Données projet'!$A$36,$K$205^A45,IF(A45='Données projet'!$A$36,'Données projet'!$B$36,N44+M45-V44)))</f>
        <v>539.80000000000007</v>
      </c>
      <c r="O45" s="13">
        <f>N45*VLOOKUP('Données projet'!$B$9,Paramètres!$A$1:$I$89,3,0)*VLOOKUP('Données projet'!$B$9,Paramètres!$A$1:$I$89,5,0)</f>
        <v>301.74820000000005</v>
      </c>
      <c r="P45" s="13">
        <f t="shared" si="33"/>
        <v>71.542829318170703</v>
      </c>
      <c r="Q45" s="20">
        <f t="shared" si="53"/>
        <v>650.14854272914738</v>
      </c>
      <c r="R45" s="59">
        <f t="shared" si="0"/>
        <v>943.48187606248075</v>
      </c>
      <c r="S45" s="59">
        <f ca="1">AVERAGE(OFFSET($R$3,0,0,'Données projet'!$E$9+1,1))-AVERAGE(OFFSET($H$3,0,0,'Données projet'!$E$9+1,1))</f>
        <v>410.32666742287449</v>
      </c>
      <c r="T45" s="59">
        <f t="shared" si="34"/>
        <v>494.36941732405256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33.225904818243514</v>
      </c>
      <c r="AA45" s="21">
        <f>EXP(-LN(2)/25)*AA44+(1-EXP(-LN(2)/25))/(LN(2)/25)*Calculateur!V45*Calculateur!X45*VLOOKUP('Données projet'!$B$9,Paramètres!$A$1:$I$89,3,0)*0.475*44/12</f>
        <v>29.770417039876467</v>
      </c>
      <c r="AB45" s="21">
        <f>EXP(-LN(2)/2)*AB44+(1-EXP(-LN(2)/2))/(LN(2)/2)*V45*Y45*VLOOKUP('Données projet'!$B$9,Paramètres!$A$1:$I$89,3,0)*0.475*44/12</f>
        <v>4.1116974198313745</v>
      </c>
      <c r="AC45" s="22">
        <f t="shared" si="3"/>
        <v>67.108019277951357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254</v>
      </c>
      <c r="AG45" s="12">
        <f>VLOOKUP(A45,'Données projet'!$A$61:$I$81,9,0)</f>
        <v>10.666666666666666</v>
      </c>
      <c r="AH45" s="12">
        <f t="array" ref="AH45">INDEX(AG:AG,MIN(IF(ISNUMBER(AG45:AG241),ROW(AG45:AG241),"")))</f>
        <v>10.666666666666666</v>
      </c>
      <c r="AI45" s="13">
        <f>IF('Données projet'!$A$62&gt;35,AI44+AH45-AQ44,IF(A45&lt;'Données projet'!$A$62,$AF$205^A45,IF(A45='Données projet'!$A$62,'Données projet'!$B$62,AI44+AH45-AQ44)))</f>
        <v>254</v>
      </c>
      <c r="AJ45" s="13">
        <f>AI45*VLOOKUP('Données projet'!$B$10,Paramètres!$A$1:$I$89,3,0)*VLOOKUP('Données projet'!$B$10,Paramètres!$A$1:$I$89,5,0)</f>
        <v>158.49600000000001</v>
      </c>
      <c r="AK45" s="13">
        <f t="shared" si="35"/>
        <v>40.503097769376929</v>
      </c>
      <c r="AL45" s="20">
        <f t="shared" si="4"/>
        <v>346.59009528166484</v>
      </c>
      <c r="AM45" s="59">
        <f t="shared" si="5"/>
        <v>639.9234286149981</v>
      </c>
      <c r="AN45" s="59">
        <f ca="1">AVERAGE(OFFSET($AM$3,0,0,'Données projet'!$E$10+1,1))-AVERAGE(OFFSET($H$3,0,0,'Données projet'!$E$10+1,1))</f>
        <v>197.20006068829753</v>
      </c>
      <c r="AO45" s="59">
        <f t="shared" si="36"/>
        <v>256.52014906581638</v>
      </c>
      <c r="AP45" s="15">
        <f>IF(ISNA(VLOOKUP(A45,'Données projet'!$A$61:$I$81,3,0)),0,VLOOKUP(A45,'Données projet'!$A$61:$I$81,3,0))</f>
        <v>6</v>
      </c>
      <c r="AQ45" s="15">
        <f>IF(ISNA(VLOOKUP(A45,'Données projet'!$A$61:$I$81,4,0)),0,VLOOKUP(A45,'Données projet'!$A$61:$I$81,4,0))</f>
        <v>42</v>
      </c>
      <c r="AR45" s="16">
        <f>IF(ISNA(VLOOKUP(A45,'Données projet'!$A$61:$I$81,5,0)),0%,VLOOKUP(A45,'Données projet'!$A$61:$I$81,5,0)*VLOOKUP('Données projet'!$B$10,Paramètres!$A$1:$I$89,7,0))</f>
        <v>0.36</v>
      </c>
      <c r="AS45" s="16">
        <f>IF(ISNA(VLOOKUP(A45,'Données projet'!$A$61:$I$81,6,0)),0%,VLOOKUP(A45,'Données projet'!$A$61:$I$81,6,0)*VLOOKUP('Données projet'!$B$10,Paramètres!$A$1:$I$89,7,0))</f>
        <v>0.13200000000000001</v>
      </c>
      <c r="AT45" s="16">
        <f>IF(ISNA(VLOOKUP(A45,'Données projet'!$A$61:$I$81,7,0)),0%,VLOOKUP(A45,'Données projet'!$A$61:$I$81,7,0))</f>
        <v>0.18</v>
      </c>
      <c r="AU45" s="21">
        <f>EXP(-LN(2)/35)*AU44+(1-EXP(-LN(2)/35))/(LN(2)/35)*AQ45*AR45*VLOOKUP('Données projet'!$B$10,Paramètres!$A$1:$I$89,3,0)*0.475*44/12</f>
        <v>35.95153609510939</v>
      </c>
      <c r="AV45" s="21">
        <f>EXP(-LN(2)/25)*AV44+(1-EXP(-LN(2)/25))/(LN(2)/25)*Calculateur!AQ45*Calculateur!AS45*VLOOKUP('Données projet'!$B$10,Paramètres!$A$1:$I$89,3,0)*0.475*44/12</f>
        <v>33.599255550501788</v>
      </c>
      <c r="AW45" s="21">
        <f>EXP(-LN(2)/2)*AW44+(1-EXP(-LN(2)/2))/(LN(2)/2)*AQ45*AT45*VLOOKUP('Données projet'!$B$10,Paramètres!$A$1:$I$89,3,0)*0.475*44/12</f>
        <v>6.5438692470265769</v>
      </c>
      <c r="AX45" s="21">
        <f t="shared" si="6"/>
        <v>76.094660892637762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>
        <f>BD45*VLOOKUP('Données projet'!$B$11,Paramètres!$A$1:$I$89,3,0)*VLOOKUP('Données projet'!$B$11,Paramètres!$A$1:$I$89,5,0)</f>
        <v>0</v>
      </c>
      <c r="BF45" s="13" t="e">
        <f t="shared" si="37"/>
        <v>#NUM!</v>
      </c>
      <c r="BG45" s="20" t="e">
        <f t="shared" si="7"/>
        <v>#NUM!</v>
      </c>
      <c r="BH45" s="59" t="e">
        <f t="shared" si="8"/>
        <v>#NUM!</v>
      </c>
      <c r="BI45" s="59">
        <f ca="1">AVERAGE(OFFSET($BH$3,0,0,'Données projet'!$E$11+1,1))-AVERAGE(OFFSET($H$3,0,0,'Données projet'!$E$11+1,1))</f>
        <v>102.76553481871144</v>
      </c>
      <c r="BJ45" s="59">
        <f t="shared" si="38"/>
        <v>345.99919346320343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30.557032462725608</v>
      </c>
      <c r="BQ45" s="21">
        <f>EXP(-LN(2)/25)*BQ44+(1-EXP(-LN(2)/25))/(LN(2)/25)*Calculateur!BL45*Calculateur!BN45*VLOOKUP('Données projet'!$B$11,Paramètres!$A$1:$I$89,3,0)*0.475*44/12</f>
        <v>10.980699290160251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41.537731752885861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20.399999999999999</v>
      </c>
      <c r="N46" s="13">
        <f>IF('Données projet'!$A$36&gt;35,N45+M46-V45,IF(A46&lt;'Données projet'!$A$36,$K$205^A46,IF(A46='Données projet'!$A$36,'Données projet'!$B$36,N45+M46-V45)))</f>
        <v>560.20000000000005</v>
      </c>
      <c r="O46" s="13">
        <f>N46*VLOOKUP('Données projet'!$B$9,Paramètres!$A$1:$I$89,3,0)*VLOOKUP('Données projet'!$B$9,Paramètres!$A$1:$I$89,5,0)</f>
        <v>313.15180000000004</v>
      </c>
      <c r="P46" s="13">
        <f t="shared" si="33"/>
        <v>73.926663436613353</v>
      </c>
      <c r="Q46" s="20">
        <f t="shared" si="53"/>
        <v>674.16165715210161</v>
      </c>
      <c r="R46" s="59">
        <f t="shared" si="0"/>
        <v>967.49499048543498</v>
      </c>
      <c r="S46" s="59">
        <f ca="1">AVERAGE(OFFSET($R$3,0,0,'Données projet'!$E$9+1,1))-AVERAGE(OFFSET($H$3,0,0,'Données projet'!$E$9+1,1))</f>
        <v>410.32666742287449</v>
      </c>
      <c r="T46" s="59">
        <f t="shared" si="34"/>
        <v>494.36941732405256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32.574365090558615</v>
      </c>
      <c r="AA46" s="21">
        <f>EXP(-LN(2)/25)*AA45+(1-EXP(-LN(2)/25))/(LN(2)/25)*Calculateur!V46*Calculateur!X46*VLOOKUP('Données projet'!$B$9,Paramètres!$A$1:$I$89,3,0)*0.475*44/12</f>
        <v>28.956343420362852</v>
      </c>
      <c r="AB46" s="21">
        <f>EXP(-LN(2)/2)*AB45+(1-EXP(-LN(2)/2))/(LN(2)/2)*V46*Y46*VLOOKUP('Données projet'!$B$9,Paramètres!$A$1:$I$89,3,0)*0.475*44/12</f>
        <v>2.9074091277499958</v>
      </c>
      <c r="AC46" s="22">
        <f t="shared" si="3"/>
        <v>64.438117638671471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10</v>
      </c>
      <c r="AI46" s="13">
        <f>IF('Données projet'!$A$62&gt;35,AI45+AH46-AQ45,IF(A46&lt;'Données projet'!$A$62,$AF$205^A46,IF(A46='Données projet'!$A$62,'Données projet'!$B$62,AI45+AH46-AQ45)))</f>
        <v>222</v>
      </c>
      <c r="AJ46" s="13">
        <f>AI46*VLOOKUP('Données projet'!$B$10,Paramètres!$A$1:$I$89,3,0)*VLOOKUP('Données projet'!$B$10,Paramètres!$A$1:$I$89,5,0)</f>
        <v>138.52800000000002</v>
      </c>
      <c r="AK46" s="13">
        <f t="shared" si="35"/>
        <v>35.959583801423804</v>
      </c>
      <c r="AL46" s="20">
        <f t="shared" si="4"/>
        <v>303.8992084541465</v>
      </c>
      <c r="AM46" s="59">
        <f t="shared" si="5"/>
        <v>597.23254178747982</v>
      </c>
      <c r="AN46" s="59">
        <f ca="1">AVERAGE(OFFSET($AM$3,0,0,'Données projet'!$E$10+1,1))-AVERAGE(OFFSET($H$3,0,0,'Données projet'!$E$10+1,1))</f>
        <v>197.20006068829753</v>
      </c>
      <c r="AO46" s="59">
        <f t="shared" si="36"/>
        <v>256.52014906581638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35.246548400556073</v>
      </c>
      <c r="AV46" s="21">
        <f>EXP(-LN(2)/25)*AV45+(1-EXP(-LN(2)/25))/(LN(2)/25)*Calculateur!AQ46*Calculateur!AS46*VLOOKUP('Données projet'!$B$10,Paramètres!$A$1:$I$89,3,0)*0.475*44/12</f>
        <v>32.68048214056526</v>
      </c>
      <c r="AW46" s="21">
        <f>EXP(-LN(2)/2)*AW45+(1-EXP(-LN(2)/2))/(LN(2)/2)*AQ46*AT46*VLOOKUP('Données projet'!$B$10,Paramètres!$A$1:$I$89,3,0)*0.475*44/12</f>
        <v>4.6272143197705997</v>
      </c>
      <c r="AX46" s="21">
        <f t="shared" si="6"/>
        <v>72.554244860891927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>
        <f>BD46*VLOOKUP('Données projet'!$B$11,Paramètres!$A$1:$I$89,3,0)*VLOOKUP('Données projet'!$B$11,Paramètres!$A$1:$I$89,5,0)</f>
        <v>0</v>
      </c>
      <c r="BF46" s="13" t="e">
        <f t="shared" si="37"/>
        <v>#NUM!</v>
      </c>
      <c r="BG46" s="20" t="e">
        <f t="shared" si="7"/>
        <v>#NUM!</v>
      </c>
      <c r="BH46" s="59" t="e">
        <f t="shared" si="8"/>
        <v>#NUM!</v>
      </c>
      <c r="BI46" s="59">
        <f ca="1">AVERAGE(OFFSET($BH$3,0,0,'Données projet'!$E$11+1,1))-AVERAGE(OFFSET($H$3,0,0,'Données projet'!$E$11+1,1))</f>
        <v>102.76553481871144</v>
      </c>
      <c r="BJ46" s="59">
        <f t="shared" si="38"/>
        <v>345.99919346320343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29.957827694081018</v>
      </c>
      <c r="BQ46" s="21">
        <f>EXP(-LN(2)/25)*BQ45+(1-EXP(-LN(2)/25))/(LN(2)/25)*Calculateur!BL46*Calculateur!BN46*VLOOKUP('Données projet'!$B$11,Paramètres!$A$1:$I$89,3,0)*0.475*44/12</f>
        <v>10.68043149062094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40.638259184701958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20.399999999999999</v>
      </c>
      <c r="N47" s="13">
        <f>IF('Données projet'!$A$36&gt;35,N46+M47-V46,IF(A47&lt;'Données projet'!$A$36,$K$205^A47,IF(A47='Données projet'!$A$36,'Données projet'!$B$36,N46+M47-V46)))</f>
        <v>580.6</v>
      </c>
      <c r="O47" s="13">
        <f>N47*VLOOKUP('Données projet'!$B$9,Paramètres!$A$1:$I$89,3,0)*VLOOKUP('Données projet'!$B$9,Paramètres!$A$1:$I$89,5,0)</f>
        <v>324.55540000000002</v>
      </c>
      <c r="P47" s="13">
        <f t="shared" si="33"/>
        <v>76.300412056684536</v>
      </c>
      <c r="Q47" s="20">
        <f t="shared" si="53"/>
        <v>698.15720599872554</v>
      </c>
      <c r="R47" s="59">
        <f t="shared" si="0"/>
        <v>991.49053933205892</v>
      </c>
      <c r="S47" s="59">
        <f ca="1">AVERAGE(OFFSET($R$3,0,0,'Données projet'!$E$9+1,1))-AVERAGE(OFFSET($H$3,0,0,'Données projet'!$E$9+1,1))</f>
        <v>410.32666742287449</v>
      </c>
      <c r="T47" s="59">
        <f t="shared" si="34"/>
        <v>494.36941732405256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31.935601659533624</v>
      </c>
      <c r="AA47" s="21">
        <f>EXP(-LN(2)/25)*AA46+(1-EXP(-LN(2)/25))/(LN(2)/25)*Calculateur!V47*Calculateur!X47*VLOOKUP('Données projet'!$B$9,Paramètres!$A$1:$I$89,3,0)*0.475*44/12</f>
        <v>28.16453068678511</v>
      </c>
      <c r="AB47" s="21">
        <f>EXP(-LN(2)/2)*AB46+(1-EXP(-LN(2)/2))/(LN(2)/2)*V47*Y47*VLOOKUP('Données projet'!$B$9,Paramètres!$A$1:$I$89,3,0)*0.475*44/12</f>
        <v>2.0558487099156872</v>
      </c>
      <c r="AC47" s="22">
        <f t="shared" si="3"/>
        <v>62.155981056234417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10</v>
      </c>
      <c r="AI47" s="13">
        <f>IF('Données projet'!$A$62&gt;35,AI46+AH47-AQ46,IF(A47&lt;'Données projet'!$A$62,$AF$205^A47,IF(A47='Données projet'!$A$62,'Données projet'!$B$62,AI46+AH47-AQ46)))</f>
        <v>232</v>
      </c>
      <c r="AJ47" s="13">
        <f>AI47*VLOOKUP('Données projet'!$B$10,Paramètres!$A$1:$I$89,3,0)*VLOOKUP('Données projet'!$B$10,Paramètres!$A$1:$I$89,5,0)</f>
        <v>144.768</v>
      </c>
      <c r="AK47" s="13">
        <f t="shared" si="35"/>
        <v>37.387149255707826</v>
      </c>
      <c r="AL47" s="20">
        <f t="shared" si="4"/>
        <v>317.25355162035777</v>
      </c>
      <c r="AM47" s="59">
        <f t="shared" si="5"/>
        <v>610.58688495369108</v>
      </c>
      <c r="AN47" s="59">
        <f ca="1">AVERAGE(OFFSET($AM$3,0,0,'Données projet'!$E$10+1,1))-AVERAGE(OFFSET($H$3,0,0,'Données projet'!$E$10+1,1))</f>
        <v>197.20006068829753</v>
      </c>
      <c r="AO47" s="59">
        <f t="shared" si="36"/>
        <v>256.52014906581638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34.555385084692915</v>
      </c>
      <c r="AV47" s="21">
        <f>EXP(-LN(2)/25)*AV46+(1-EXP(-LN(2)/25))/(LN(2)/25)*Calculateur!AQ47*Calculateur!AS47*VLOOKUP('Données projet'!$B$10,Paramètres!$A$1:$I$89,3,0)*0.475*44/12</f>
        <v>31.786832637839641</v>
      </c>
      <c r="AW47" s="21">
        <f>EXP(-LN(2)/2)*AW46+(1-EXP(-LN(2)/2))/(LN(2)/2)*AQ47*AT47*VLOOKUP('Données projet'!$B$10,Paramètres!$A$1:$I$89,3,0)*0.475*44/12</f>
        <v>3.2719346235132889</v>
      </c>
      <c r="AX47" s="21">
        <f t="shared" si="6"/>
        <v>69.614152346045842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>
        <f>BD47*VLOOKUP('Données projet'!$B$11,Paramètres!$A$1:$I$89,3,0)*VLOOKUP('Données projet'!$B$11,Paramètres!$A$1:$I$89,5,0)</f>
        <v>0</v>
      </c>
      <c r="BF47" s="13" t="e">
        <f t="shared" si="37"/>
        <v>#NUM!</v>
      </c>
      <c r="BG47" s="20" t="e">
        <f t="shared" si="7"/>
        <v>#NUM!</v>
      </c>
      <c r="BH47" s="59" t="e">
        <f t="shared" si="8"/>
        <v>#NUM!</v>
      </c>
      <c r="BI47" s="59">
        <f ca="1">AVERAGE(OFFSET($BH$3,0,0,'Données projet'!$E$11+1,1))-AVERAGE(OFFSET($H$3,0,0,'Données projet'!$E$11+1,1))</f>
        <v>102.76553481871144</v>
      </c>
      <c r="BJ47" s="59">
        <f t="shared" si="38"/>
        <v>345.99919346320343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29.370372965470725</v>
      </c>
      <c r="BQ47" s="21">
        <f>EXP(-LN(2)/25)*BQ46+(1-EXP(-LN(2)/25))/(LN(2)/25)*Calculateur!BL47*Calculateur!BN47*VLOOKUP('Données projet'!$B$11,Paramètres!$A$1:$I$89,3,0)*0.475*44/12</f>
        <v>10.388374529850429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39.758747495321153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601</v>
      </c>
      <c r="L48" s="12">
        <f>VLOOKUP(A48,'Données projet'!$A$35:$I$55,9,0)</f>
        <v>20.399999999999999</v>
      </c>
      <c r="M48" s="12">
        <f t="array" ref="M48">INDEX(L:L,MIN(IF(ISNUMBER(L48:L244),ROW(L48:L244),"")))</f>
        <v>20.399999999999999</v>
      </c>
      <c r="N48" s="13">
        <f>IF('Données projet'!$A$36&gt;35,N47+M48-V47,IF(A48&lt;'Données projet'!$A$36,$K$205^A48,IF(A48='Données projet'!$A$36,'Données projet'!$B$36,N47+M48-V47)))</f>
        <v>601</v>
      </c>
      <c r="O48" s="13">
        <f>N48*VLOOKUP('Données projet'!$B$9,Paramètres!$A$1:$I$89,3,0)*VLOOKUP('Données projet'!$B$9,Paramètres!$A$1:$I$89,5,0)</f>
        <v>335.959</v>
      </c>
      <c r="P48" s="13">
        <f t="shared" si="33"/>
        <v>78.664470148497045</v>
      </c>
      <c r="Q48" s="20">
        <f t="shared" si="53"/>
        <v>722.1358771752989</v>
      </c>
      <c r="R48" s="59">
        <f t="shared" si="0"/>
        <v>1015.4692105086322</v>
      </c>
      <c r="S48" s="59">
        <f ca="1">AVERAGE(OFFSET($R$3,0,0,'Données projet'!$E$9+1,1))-AVERAGE(OFFSET($H$3,0,0,'Données projet'!$E$9+1,1))</f>
        <v>410.32666742287449</v>
      </c>
      <c r="T48" s="59">
        <f t="shared" si="34"/>
        <v>494.36941732405256</v>
      </c>
      <c r="U48" s="15">
        <f>IF(ISNA(VLOOKUP(A48,'Données projet'!$A$35:$I$55,3,0)),0,VLOOKUP(A48,'Données projet'!$A$35:$I$55,3,0))</f>
        <v>7</v>
      </c>
      <c r="V48" s="15">
        <f>IF(ISNA(VLOOKUP(A48,'Données projet'!$A$35:$I$55,4,0)),0,VLOOKUP(A48,'Données projet'!$A$35:$I$55,4,0))</f>
        <v>53</v>
      </c>
      <c r="W48" s="16">
        <f>IF(ISNA(VLOOKUP(A48,'Données projet'!$A$35:$I$55,5,0)),0%,VLOOKUP(A48,'Données projet'!$A$35:$I$55,5,0)*VLOOKUP('Données projet'!$B$9,Paramètres!$A$1:$I$89,7,0))</f>
        <v>0.33</v>
      </c>
      <c r="X48" s="16">
        <f>IF(ISNA(VLOOKUP(A48,'Données projet'!$A$35:$I$55,6,0)),0%,VLOOKUP(A48,'Données projet'!$A$35:$I$55,6,0)*VLOOKUP('Données projet'!$B$9,Paramètres!$A$1:$I$89,7,0))</f>
        <v>0.12100000000000001</v>
      </c>
      <c r="Y48" s="16">
        <f>IF(ISNA(VLOOKUP(A48,'Données projet'!$A$35:$I$55,7,0)),0%,VLOOKUP(A48,'Données projet'!$A$35:$I$55,7,0))</f>
        <v>0.18</v>
      </c>
      <c r="Z48" s="21">
        <f>EXP(-LN(2)/35)*Z47+(1-EXP(-LN(2)/35))/(LN(2)/35)*V48*W48*VLOOKUP('Données projet'!$B$9,Paramètres!$A$1:$I$89,3,0)*0.475*44/12</f>
        <v>44.279065279815207</v>
      </c>
      <c r="AA48" s="21">
        <f>EXP(-LN(2)/25)*AA47+(1-EXP(-LN(2)/25))/(LN(2)/25)*Calculateur!V48*Calculateur!X48*VLOOKUP('Données projet'!$B$9,Paramètres!$A$1:$I$89,3,0)*0.475*44/12</f>
        <v>32.131202813256607</v>
      </c>
      <c r="AB48" s="21">
        <f>EXP(-LN(2)/2)*AB47+(1-EXP(-LN(2)/2))/(LN(2)/2)*V48*Y48*VLOOKUP('Données projet'!$B$9,Paramètres!$A$1:$I$89,3,0)*0.475*44/12</f>
        <v>7.4917408940619854</v>
      </c>
      <c r="AC48" s="22">
        <f t="shared" si="3"/>
        <v>83.902008987133797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10</v>
      </c>
      <c r="AI48" s="13">
        <f>IF('Données projet'!$A$62&gt;35,AI47+AH48-AQ47,IF(A48&lt;'Données projet'!$A$62,$AF$205^A48,IF(A48='Données projet'!$A$62,'Données projet'!$B$62,AI47+AH48-AQ47)))</f>
        <v>242</v>
      </c>
      <c r="AJ48" s="13">
        <f>AI48*VLOOKUP('Données projet'!$B$10,Paramètres!$A$1:$I$89,3,0)*VLOOKUP('Données projet'!$B$10,Paramètres!$A$1:$I$89,5,0)</f>
        <v>151.00800000000001</v>
      </c>
      <c r="AK48" s="13">
        <f t="shared" si="35"/>
        <v>38.807567870348514</v>
      </c>
      <c r="AL48" s="20">
        <f t="shared" si="4"/>
        <v>330.59544737419031</v>
      </c>
      <c r="AM48" s="59">
        <f t="shared" si="5"/>
        <v>623.92878070752363</v>
      </c>
      <c r="AN48" s="59">
        <f ca="1">AVERAGE(OFFSET($AM$3,0,0,'Données projet'!$E$10+1,1))-AVERAGE(OFFSET($H$3,0,0,'Données projet'!$E$10+1,1))</f>
        <v>197.20006068829753</v>
      </c>
      <c r="AO48" s="59">
        <f t="shared" si="36"/>
        <v>256.52014906581638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33.877775059885835</v>
      </c>
      <c r="AV48" s="21">
        <f>EXP(-LN(2)/25)*AV47+(1-EXP(-LN(2)/25))/(LN(2)/25)*Calculateur!AQ48*Calculateur!AS48*VLOOKUP('Données projet'!$B$10,Paramètres!$A$1:$I$89,3,0)*0.475*44/12</f>
        <v>30.917620027761039</v>
      </c>
      <c r="AW48" s="21">
        <f>EXP(-LN(2)/2)*AW47+(1-EXP(-LN(2)/2))/(LN(2)/2)*AQ48*AT48*VLOOKUP('Données projet'!$B$10,Paramètres!$A$1:$I$89,3,0)*0.475*44/12</f>
        <v>2.3136071598853003</v>
      </c>
      <c r="AX48" s="21">
        <f t="shared" si="6"/>
        <v>67.109002247532175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>
        <f>BD48*VLOOKUP('Données projet'!$B$11,Paramètres!$A$1:$I$89,3,0)*VLOOKUP('Données projet'!$B$11,Paramètres!$A$1:$I$89,5,0)</f>
        <v>0</v>
      </c>
      <c r="BF48" s="13" t="e">
        <f t="shared" si="37"/>
        <v>#NUM!</v>
      </c>
      <c r="BG48" s="20" t="e">
        <f t="shared" si="7"/>
        <v>#NUM!</v>
      </c>
      <c r="BH48" s="59" t="e">
        <f t="shared" si="8"/>
        <v>#NUM!</v>
      </c>
      <c r="BI48" s="59">
        <f ca="1">AVERAGE(OFFSET($BH$3,0,0,'Données projet'!$E$11+1,1))-AVERAGE(OFFSET($H$3,0,0,'Données projet'!$E$11+1,1))</f>
        <v>102.76553481871144</v>
      </c>
      <c r="BJ48" s="59">
        <f t="shared" si="38"/>
        <v>345.99919346320343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28.794437865776477</v>
      </c>
      <c r="BQ48" s="21">
        <f>EXP(-LN(2)/25)*BQ47+(1-EXP(-LN(2)/25))/(LN(2)/25)*Calculateur!BL48*Calculateur!BN48*VLOOKUP('Données projet'!$B$11,Paramètres!$A$1:$I$89,3,0)*0.475*44/12</f>
        <v>10.104303882030795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38.898741747807271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19.399999999999999</v>
      </c>
      <c r="N49" s="13">
        <f>IF('Données projet'!$A$36&gt;35,N48+M49-V48,IF(A49&lt;'Données projet'!$A$36,$K$205^A49,IF(A49='Données projet'!$A$36,'Données projet'!$B$36,N48+M49-V48)))</f>
        <v>567.4</v>
      </c>
      <c r="O49" s="13">
        <f>N49*VLOOKUP('Données projet'!$B$9,Paramètres!$A$1:$I$89,3,0)*VLOOKUP('Données projet'!$B$9,Paramètres!$A$1:$I$89,5,0)</f>
        <v>317.17660000000001</v>
      </c>
      <c r="P49" s="13">
        <f t="shared" si="33"/>
        <v>74.765587722928572</v>
      </c>
      <c r="Q49" s="20">
        <f t="shared" si="53"/>
        <v>682.63264361743393</v>
      </c>
      <c r="R49" s="59">
        <f t="shared" si="0"/>
        <v>975.9659769507673</v>
      </c>
      <c r="S49" s="59">
        <f ca="1">AVERAGE(OFFSET($R$3,0,0,'Données projet'!$E$9+1,1))-AVERAGE(OFFSET($H$3,0,0,'Données projet'!$E$9+1,1))</f>
        <v>410.32666742287449</v>
      </c>
      <c r="T49" s="59">
        <f t="shared" si="34"/>
        <v>494.36941732405256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43.410779817241078</v>
      </c>
      <c r="AA49" s="21">
        <f>EXP(-LN(2)/25)*AA48+(1-EXP(-LN(2)/25))/(LN(2)/25)*Calculateur!V49*Calculateur!X49*VLOOKUP('Données projet'!$B$9,Paramètres!$A$1:$I$89,3,0)*0.475*44/12</f>
        <v>31.252573382621588</v>
      </c>
      <c r="AB49" s="21">
        <f>EXP(-LN(2)/2)*AB48+(1-EXP(-LN(2)/2))/(LN(2)/2)*V49*Y49*VLOOKUP('Données projet'!$B$9,Paramètres!$A$1:$I$89,3,0)*0.475*44/12</f>
        <v>5.2974607890837984</v>
      </c>
      <c r="AC49" s="22">
        <f t="shared" si="3"/>
        <v>79.96081398894647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10</v>
      </c>
      <c r="AI49" s="13">
        <f>IF('Données projet'!$A$62&gt;35,AI48+AH49-AQ48,IF(A49&lt;'Données projet'!$A$62,$AF$205^A49,IF(A49='Données projet'!$A$62,'Données projet'!$B$62,AI48+AH49-AQ48)))</f>
        <v>252</v>
      </c>
      <c r="AJ49" s="13">
        <f>AI49*VLOOKUP('Données projet'!$B$10,Paramètres!$A$1:$I$89,3,0)*VLOOKUP('Données projet'!$B$10,Paramètres!$A$1:$I$89,5,0)</f>
        <v>157.24799999999999</v>
      </c>
      <c r="AK49" s="13">
        <f t="shared" si="35"/>
        <v>40.22116874434861</v>
      </c>
      <c r="AL49" s="20">
        <f t="shared" si="4"/>
        <v>343.92546889640715</v>
      </c>
      <c r="AM49" s="59">
        <f t="shared" si="5"/>
        <v>637.25880222974047</v>
      </c>
      <c r="AN49" s="59">
        <f ca="1">AVERAGE(OFFSET($AM$3,0,0,'Données projet'!$E$10+1,1))-AVERAGE(OFFSET($H$3,0,0,'Données projet'!$E$10+1,1))</f>
        <v>197.20006068829753</v>
      </c>
      <c r="AO49" s="59">
        <f t="shared" si="36"/>
        <v>256.52014906581638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33.213452554363919</v>
      </c>
      <c r="AV49" s="21">
        <f>EXP(-LN(2)/25)*AV48+(1-EXP(-LN(2)/25))/(LN(2)/25)*Calculateur!AQ49*Calculateur!AS49*VLOOKUP('Données projet'!$B$10,Paramètres!$A$1:$I$89,3,0)*0.475*44/12</f>
        <v>30.072176082214938</v>
      </c>
      <c r="AW49" s="21">
        <f>EXP(-LN(2)/2)*AW48+(1-EXP(-LN(2)/2))/(LN(2)/2)*AQ49*AT49*VLOOKUP('Données projet'!$B$10,Paramètres!$A$1:$I$89,3,0)*0.475*44/12</f>
        <v>1.6359673117566449</v>
      </c>
      <c r="AX49" s="21">
        <f t="shared" si="6"/>
        <v>64.921595948335508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>
        <f>BD49*VLOOKUP('Données projet'!$B$11,Paramètres!$A$1:$I$89,3,0)*VLOOKUP('Données projet'!$B$11,Paramètres!$A$1:$I$89,5,0)</f>
        <v>0</v>
      </c>
      <c r="BF49" s="13" t="e">
        <f t="shared" si="37"/>
        <v>#NUM!</v>
      </c>
      <c r="BG49" s="20" t="e">
        <f t="shared" si="7"/>
        <v>#NUM!</v>
      </c>
      <c r="BH49" s="59" t="e">
        <f t="shared" si="8"/>
        <v>#NUM!</v>
      </c>
      <c r="BI49" s="59">
        <f ca="1">AVERAGE(OFFSET($BH$3,0,0,'Données projet'!$E$11+1,1))-AVERAGE(OFFSET($H$3,0,0,'Données projet'!$E$11+1,1))</f>
        <v>102.76553481871144</v>
      </c>
      <c r="BJ49" s="59">
        <f t="shared" si="38"/>
        <v>345.99919346320343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28.229796502101507</v>
      </c>
      <c r="BQ49" s="21">
        <f>EXP(-LN(2)/25)*BQ48+(1-EXP(-LN(2)/25))/(LN(2)/25)*Calculateur!BL49*Calculateur!BN49*VLOOKUP('Données projet'!$B$11,Paramètres!$A$1:$I$89,3,0)*0.475*44/12</f>
        <v>9.8280011610144147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38.05779766311592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19.399999999999999</v>
      </c>
      <c r="N50" s="13">
        <f>IF('Données projet'!$A$36&gt;35,N49+M50-V49,IF(A50&lt;'Données projet'!$A$36,$K$205^A50,IF(A50='Données projet'!$A$36,'Données projet'!$B$36,N49+M50-V49)))</f>
        <v>586.79999999999995</v>
      </c>
      <c r="O50" s="13">
        <f>N50*VLOOKUP('Données projet'!$B$9,Paramètres!$A$1:$I$89,3,0)*VLOOKUP('Données projet'!$B$9,Paramètres!$A$1:$I$89,5,0)</f>
        <v>328.02119999999996</v>
      </c>
      <c r="P50" s="13">
        <f t="shared" si="33"/>
        <v>77.019907950957702</v>
      </c>
      <c r="Q50" s="20">
        <f t="shared" si="53"/>
        <v>705.44659634791788</v>
      </c>
      <c r="R50" s="59">
        <f t="shared" si="0"/>
        <v>998.77992968125113</v>
      </c>
      <c r="S50" s="59">
        <f ca="1">AVERAGE(OFFSET($R$3,0,0,'Données projet'!$E$9+1,1))-AVERAGE(OFFSET($H$3,0,0,'Données projet'!$E$9+1,1))</f>
        <v>410.32666742287449</v>
      </c>
      <c r="T50" s="59">
        <f t="shared" si="34"/>
        <v>494.36941732405256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42.559520902986186</v>
      </c>
      <c r="AA50" s="21">
        <f>EXP(-LN(2)/25)*AA49+(1-EXP(-LN(2)/25))/(LN(2)/25)*Calculateur!V50*Calculateur!X50*VLOOKUP('Données projet'!$B$9,Paramètres!$A$1:$I$89,3,0)*0.475*44/12</f>
        <v>30.397970119972396</v>
      </c>
      <c r="AB50" s="21">
        <f>EXP(-LN(2)/2)*AB49+(1-EXP(-LN(2)/2))/(LN(2)/2)*V50*Y50*VLOOKUP('Données projet'!$B$9,Paramètres!$A$1:$I$89,3,0)*0.475*44/12</f>
        <v>3.7458704470309931</v>
      </c>
      <c r="AC50" s="22">
        <f t="shared" si="3"/>
        <v>76.703361469989574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10</v>
      </c>
      <c r="AI50" s="13">
        <f>IF('Données projet'!$A$62&gt;35,AI49+AH50-AQ49,IF(A50&lt;'Données projet'!$A$62,$AF$205^A50,IF(A50='Données projet'!$A$62,'Données projet'!$B$62,AI49+AH50-AQ49)))</f>
        <v>262</v>
      </c>
      <c r="AJ50" s="13">
        <f>AI50*VLOOKUP('Données projet'!$B$10,Paramètres!$A$1:$I$89,3,0)*VLOOKUP('Données projet'!$B$10,Paramètres!$A$1:$I$89,5,0)</f>
        <v>163.488</v>
      </c>
      <c r="AK50" s="13">
        <f t="shared" si="35"/>
        <v>41.628253379180151</v>
      </c>
      <c r="AL50" s="20">
        <f t="shared" si="4"/>
        <v>357.24414130207202</v>
      </c>
      <c r="AM50" s="59">
        <f t="shared" si="5"/>
        <v>650.57747463540534</v>
      </c>
      <c r="AN50" s="59">
        <f ca="1">AVERAGE(OFFSET($AM$3,0,0,'Données projet'!$E$10+1,1))-AVERAGE(OFFSET($H$3,0,0,'Données projet'!$E$10+1,1))</f>
        <v>197.20006068829753</v>
      </c>
      <c r="AO50" s="59">
        <f t="shared" si="36"/>
        <v>256.52014906581638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32.56215700797857</v>
      </c>
      <c r="AV50" s="21">
        <f>EXP(-LN(2)/25)*AV49+(1-EXP(-LN(2)/25))/(LN(2)/25)*Calculateur!AQ50*Calculateur!AS50*VLOOKUP('Données projet'!$B$10,Paramètres!$A$1:$I$89,3,0)*0.475*44/12</f>
        <v>29.249850845819761</v>
      </c>
      <c r="AW50" s="21">
        <f>EXP(-LN(2)/2)*AW49+(1-EXP(-LN(2)/2))/(LN(2)/2)*AQ50*AT50*VLOOKUP('Données projet'!$B$10,Paramètres!$A$1:$I$89,3,0)*0.475*44/12</f>
        <v>1.1568035799426504</v>
      </c>
      <c r="AX50" s="21">
        <f t="shared" si="6"/>
        <v>62.968811433740981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>
        <f>BD50*VLOOKUP('Données projet'!$B$11,Paramètres!$A$1:$I$89,3,0)*VLOOKUP('Données projet'!$B$11,Paramètres!$A$1:$I$89,5,0)</f>
        <v>0</v>
      </c>
      <c r="BF50" s="13" t="e">
        <f t="shared" si="37"/>
        <v>#NUM!</v>
      </c>
      <c r="BG50" s="20" t="e">
        <f t="shared" si="7"/>
        <v>#NUM!</v>
      </c>
      <c r="BH50" s="59" t="e">
        <f t="shared" si="8"/>
        <v>#NUM!</v>
      </c>
      <c r="BI50" s="59">
        <f ca="1">AVERAGE(OFFSET($BH$3,0,0,'Données projet'!$E$11+1,1))-AVERAGE(OFFSET($H$3,0,0,'Données projet'!$E$11+1,1))</f>
        <v>102.76553481871144</v>
      </c>
      <c r="BJ50" s="59">
        <f t="shared" si="38"/>
        <v>345.99919346320343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27.676227411170981</v>
      </c>
      <c r="BQ50" s="21">
        <f>EXP(-LN(2)/25)*BQ49+(1-EXP(-LN(2)/25))/(LN(2)/25)*Calculateur!BL50*Calculateur!BN50*VLOOKUP('Données projet'!$B$11,Paramètres!$A$1:$I$89,3,0)*0.475*44/12</f>
        <v>9.5592539524343572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37.235481363605338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19.399999999999999</v>
      </c>
      <c r="N51" s="13">
        <f>IF('Données projet'!$A$36&gt;35,N50+M51-V50,IF(A51&lt;'Données projet'!$A$36,$K$205^A51,IF(A51='Données projet'!$A$36,'Données projet'!$B$36,N50+M51-V50)))</f>
        <v>606.19999999999993</v>
      </c>
      <c r="O51" s="13">
        <f>N51*VLOOKUP('Données projet'!$B$9,Paramètres!$A$1:$I$89,3,0)*VLOOKUP('Données projet'!$B$9,Paramètres!$A$1:$I$89,5,0)</f>
        <v>338.86579999999992</v>
      </c>
      <c r="P51" s="13">
        <f t="shared" si="33"/>
        <v>79.265567968856317</v>
      </c>
      <c r="Q51" s="20">
        <f t="shared" si="53"/>
        <v>728.24546587909117</v>
      </c>
      <c r="R51" s="59">
        <f t="shared" si="0"/>
        <v>1021.5787992124244</v>
      </c>
      <c r="S51" s="59">
        <f ca="1">AVERAGE(OFFSET($R$3,0,0,'Données projet'!$E$9+1,1))-AVERAGE(OFFSET($H$3,0,0,'Données projet'!$E$9+1,1))</f>
        <v>410.32666742287449</v>
      </c>
      <c r="T51" s="59">
        <f t="shared" si="34"/>
        <v>494.36941732405256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41.724954656823165</v>
      </c>
      <c r="AA51" s="21">
        <f>EXP(-LN(2)/25)*AA50+(1-EXP(-LN(2)/25))/(LN(2)/25)*Calculateur!V51*Calculateur!X51*VLOOKUP('Données projet'!$B$9,Paramètres!$A$1:$I$89,3,0)*0.475*44/12</f>
        <v>29.566736028481976</v>
      </c>
      <c r="AB51" s="21">
        <f>EXP(-LN(2)/2)*AB50+(1-EXP(-LN(2)/2))/(LN(2)/2)*V51*Y51*VLOOKUP('Données projet'!$B$9,Paramètres!$A$1:$I$89,3,0)*0.475*44/12</f>
        <v>2.6487303945418996</v>
      </c>
      <c r="AC51" s="22">
        <f t="shared" si="3"/>
        <v>73.940421079847042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272</v>
      </c>
      <c r="AG51" s="12">
        <f>VLOOKUP(A51,'Données projet'!$A$61:$I$81,9,0)</f>
        <v>10</v>
      </c>
      <c r="AH51" s="12">
        <f t="array" ref="AH51">INDEX(AG:AG,MIN(IF(ISNUMBER(AG51:AG247),ROW(AG51:AG247),"")))</f>
        <v>10</v>
      </c>
      <c r="AI51" s="13">
        <f>IF('Données projet'!$A$62&gt;35,AI50+AH51-AQ50,IF(A51&lt;'Données projet'!$A$62,$AF$205^A51,IF(A51='Données projet'!$A$62,'Données projet'!$B$62,AI50+AH51-AQ50)))</f>
        <v>272</v>
      </c>
      <c r="AJ51" s="13">
        <f>AI51*VLOOKUP('Données projet'!$B$10,Paramètres!$A$1:$I$89,3,0)*VLOOKUP('Données projet'!$B$10,Paramètres!$A$1:$I$89,5,0)</f>
        <v>169.72800000000001</v>
      </c>
      <c r="AK51" s="13">
        <f t="shared" si="35"/>
        <v>43.029098957414881</v>
      </c>
      <c r="AL51" s="20">
        <f t="shared" si="4"/>
        <v>370.55194735083091</v>
      </c>
      <c r="AM51" s="59">
        <f t="shared" si="5"/>
        <v>663.88528068416417</v>
      </c>
      <c r="AN51" s="59">
        <f ca="1">AVERAGE(OFFSET($AM$3,0,0,'Données projet'!$E$10+1,1))-AVERAGE(OFFSET($H$3,0,0,'Données projet'!$E$10+1,1))</f>
        <v>197.20006068829753</v>
      </c>
      <c r="AO51" s="59">
        <f t="shared" si="36"/>
        <v>256.52014906581638</v>
      </c>
      <c r="AP51" s="15">
        <f>IF(ISNA(VLOOKUP(A51,'Données projet'!$A$61:$I$81,3,0)),0,VLOOKUP(A51,'Données projet'!$A$61:$I$81,3,0))</f>
        <v>7</v>
      </c>
      <c r="AQ51" s="15">
        <f>IF(ISNA(VLOOKUP(A51,'Données projet'!$A$61:$I$81,4,0)),0,VLOOKUP(A51,'Données projet'!$A$61:$I$81,4,0))</f>
        <v>37</v>
      </c>
      <c r="AR51" s="16">
        <f>IF(ISNA(VLOOKUP(A51,'Données projet'!$A$61:$I$81,5,0)),0%,VLOOKUP(A51,'Données projet'!$A$61:$I$81,5,0)*VLOOKUP('Données projet'!$B$10,Paramètres!$A$1:$I$89,7,0))</f>
        <v>0.48</v>
      </c>
      <c r="AS51" s="16">
        <f>IF(ISNA(VLOOKUP(A51,'Données projet'!$A$61:$I$81,6,0)),0%,VLOOKUP(A51,'Données projet'!$A$61:$I$81,6,0)*VLOOKUP('Données projet'!$B$10,Paramètres!$A$1:$I$89,7,0))</f>
        <v>6.6000000000000003E-2</v>
      </c>
      <c r="AT51" s="16">
        <f>IF(ISNA(VLOOKUP(A51,'Données projet'!$A$61:$I$81,7,0)),0%,VLOOKUP(A51,'Données projet'!$A$61:$I$81,7,0))</f>
        <v>0.09</v>
      </c>
      <c r="AU51" s="21">
        <f>EXP(-LN(2)/35)*AU50+(1-EXP(-LN(2)/35))/(LN(2)/35)*AQ51*AR51*VLOOKUP('Données projet'!$B$10,Paramètres!$A$1:$I$89,3,0)*0.475*44/12</f>
        <v>46.624938640657064</v>
      </c>
      <c r="AV51" s="21">
        <f>EXP(-LN(2)/25)*AV50+(1-EXP(-LN(2)/25))/(LN(2)/25)*Calculateur!AQ51*Calculateur!AS51*VLOOKUP('Données projet'!$B$10,Paramètres!$A$1:$I$89,3,0)*0.475*44/12</f>
        <v>30.463482527688907</v>
      </c>
      <c r="AW51" s="21">
        <f>EXP(-LN(2)/2)*AW50+(1-EXP(-LN(2)/2))/(LN(2)/2)*AQ51*AT51*VLOOKUP('Données projet'!$B$10,Paramètres!$A$1:$I$89,3,0)*0.475*44/12</f>
        <v>3.1706717915545166</v>
      </c>
      <c r="AX51" s="21">
        <f t="shared" si="6"/>
        <v>80.259092959900485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>
        <f>BD51*VLOOKUP('Données projet'!$B$11,Paramètres!$A$1:$I$89,3,0)*VLOOKUP('Données projet'!$B$11,Paramètres!$A$1:$I$89,5,0)</f>
        <v>0</v>
      </c>
      <c r="BF51" s="13" t="e">
        <f t="shared" si="37"/>
        <v>#NUM!</v>
      </c>
      <c r="BG51" s="20" t="e">
        <f t="shared" si="7"/>
        <v>#NUM!</v>
      </c>
      <c r="BH51" s="59" t="e">
        <f t="shared" si="8"/>
        <v>#NUM!</v>
      </c>
      <c r="BI51" s="59">
        <f ca="1">AVERAGE(OFFSET($BH$3,0,0,'Données projet'!$E$11+1,1))-AVERAGE(OFFSET($H$3,0,0,'Données projet'!$E$11+1,1))</f>
        <v>102.76553481871144</v>
      </c>
      <c r="BJ51" s="59">
        <f t="shared" si="38"/>
        <v>345.99919346320343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27.133513472469794</v>
      </c>
      <c r="BQ51" s="21">
        <f>EXP(-LN(2)/25)*BQ50+(1-EXP(-LN(2)/25))/(LN(2)/25)*Calculateur!BL51*Calculateur!BN51*VLOOKUP('Données projet'!$B$11,Paramètres!$A$1:$I$89,3,0)*0.475*44/12</f>
        <v>9.2978556504057224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36.431369122875516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19.399999999999999</v>
      </c>
      <c r="N52" s="13">
        <f>IF('Données projet'!$A$36&gt;35,N51+M52-V51,IF(A52&lt;'Données projet'!$A$36,$K$205^A52,IF(A52='Données projet'!$A$36,'Données projet'!$B$36,N51+M52-V51)))</f>
        <v>625.59999999999991</v>
      </c>
      <c r="O52" s="13">
        <f>N52*VLOOKUP('Données projet'!$B$9,Paramètres!$A$1:$I$89,3,0)*VLOOKUP('Données projet'!$B$9,Paramètres!$A$1:$I$89,5,0)</f>
        <v>349.71039999999999</v>
      </c>
      <c r="P52" s="13">
        <f t="shared" si="33"/>
        <v>81.502876717883439</v>
      </c>
      <c r="Q52" s="20">
        <f t="shared" si="53"/>
        <v>751.02979028364689</v>
      </c>
      <c r="R52" s="59">
        <f t="shared" si="0"/>
        <v>1044.3631236169801</v>
      </c>
      <c r="S52" s="59">
        <f ca="1">AVERAGE(OFFSET($R$3,0,0,'Données projet'!$E$9+1,1))-AVERAGE(OFFSET($H$3,0,0,'Données projet'!$E$9+1,1))</f>
        <v>410.32666742287449</v>
      </c>
      <c r="T52" s="59">
        <f t="shared" si="34"/>
        <v>494.36941732405256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40.906753745712251</v>
      </c>
      <c r="AA52" s="21">
        <f>EXP(-LN(2)/25)*AA51+(1-EXP(-LN(2)/25))/(LN(2)/25)*Calculateur!V52*Calculateur!X52*VLOOKUP('Données projet'!$B$9,Paramètres!$A$1:$I$89,3,0)*0.475*44/12</f>
        <v>28.758232076936064</v>
      </c>
      <c r="AB52" s="21">
        <f>EXP(-LN(2)/2)*AB51+(1-EXP(-LN(2)/2))/(LN(2)/2)*V52*Y52*VLOOKUP('Données projet'!$B$9,Paramètres!$A$1:$I$89,3,0)*0.475*44/12</f>
        <v>1.8729352235154968</v>
      </c>
      <c r="AC52" s="22">
        <f t="shared" si="3"/>
        <v>71.537921046163817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8.8333333333333339</v>
      </c>
      <c r="AI52" s="13">
        <f>IF('Données projet'!$A$62&gt;35,AI51+AH52-AQ51,IF(A52&lt;'Données projet'!$A$62,$AF$205^A52,IF(A52='Données projet'!$A$62,'Données projet'!$B$62,AI51+AH52-AQ51)))</f>
        <v>243.83333333333331</v>
      </c>
      <c r="AJ52" s="13">
        <f>AI52*VLOOKUP('Données projet'!$B$10,Paramètres!$A$1:$I$89,3,0)*VLOOKUP('Données projet'!$B$10,Paramètres!$A$1:$I$89,5,0)</f>
        <v>152.15199999999999</v>
      </c>
      <c r="AK52" s="13">
        <f t="shared" si="35"/>
        <v>39.067229161930662</v>
      </c>
      <c r="AL52" s="20">
        <f t="shared" si="4"/>
        <v>333.04015745702924</v>
      </c>
      <c r="AM52" s="59">
        <f t="shared" si="5"/>
        <v>626.37349079036255</v>
      </c>
      <c r="AN52" s="59">
        <f ca="1">AVERAGE(OFFSET($AM$3,0,0,'Données projet'!$E$10+1,1))-AVERAGE(OFFSET($H$3,0,0,'Données projet'!$E$10+1,1))</f>
        <v>197.20006068829753</v>
      </c>
      <c r="AO52" s="59">
        <f t="shared" si="36"/>
        <v>256.52014906581638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45.710652032318293</v>
      </c>
      <c r="AV52" s="21">
        <f>EXP(-LN(2)/25)*AV51+(1-EXP(-LN(2)/25))/(LN(2)/25)*Calculateur!AQ52*Calculateur!AS52*VLOOKUP('Données projet'!$B$10,Paramètres!$A$1:$I$89,3,0)*0.475*44/12</f>
        <v>29.630456995964334</v>
      </c>
      <c r="AW52" s="21">
        <f>EXP(-LN(2)/2)*AW51+(1-EXP(-LN(2)/2))/(LN(2)/2)*AQ52*AT52*VLOOKUP('Données projet'!$B$10,Paramètres!$A$1:$I$89,3,0)*0.475*44/12</f>
        <v>2.2420035247250985</v>
      </c>
      <c r="AX52" s="21">
        <f t="shared" si="6"/>
        <v>77.583112553007723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>
        <f>BD52*VLOOKUP('Données projet'!$B$11,Paramètres!$A$1:$I$89,3,0)*VLOOKUP('Données projet'!$B$11,Paramètres!$A$1:$I$89,5,0)</f>
        <v>0</v>
      </c>
      <c r="BF52" s="13" t="e">
        <f t="shared" si="37"/>
        <v>#NUM!</v>
      </c>
      <c r="BG52" s="20" t="e">
        <f t="shared" si="7"/>
        <v>#NUM!</v>
      </c>
      <c r="BH52" s="59" t="e">
        <f t="shared" si="8"/>
        <v>#NUM!</v>
      </c>
      <c r="BI52" s="59">
        <f ca="1">AVERAGE(OFFSET($BH$3,0,0,'Données projet'!$E$11+1,1))-AVERAGE(OFFSET($H$3,0,0,'Données projet'!$E$11+1,1))</f>
        <v>102.76553481871144</v>
      </c>
      <c r="BJ52" s="59">
        <f t="shared" si="38"/>
        <v>345.99919346320343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26.601441823083722</v>
      </c>
      <c r="BQ52" s="21">
        <f>EXP(-LN(2)/25)*BQ51+(1-EXP(-LN(2)/25))/(LN(2)/25)*Calculateur!BL52*Calculateur!BN52*VLOOKUP('Données projet'!$B$11,Paramètres!$A$1:$I$89,3,0)*0.475*44/12</f>
        <v>9.0436052986924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35.645047121776123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645</v>
      </c>
      <c r="L53" s="12">
        <f>VLOOKUP(A53,'Données projet'!$A$35:$I$55,9,0)</f>
        <v>19.399999999999999</v>
      </c>
      <c r="M53" s="12">
        <f t="array" ref="M53">INDEX(L:L,MIN(IF(ISNUMBER(L53:L249),ROW(L53:L249),"")))</f>
        <v>19.399999999999999</v>
      </c>
      <c r="N53" s="13">
        <f>IF('Données projet'!$A$36&gt;35,N52+M53-V52,IF(A53&lt;'Données projet'!$A$36,$K$205^A53,IF(A53='Données projet'!$A$36,'Données projet'!$B$36,N52+M53-V52)))</f>
        <v>644.99999999999989</v>
      </c>
      <c r="O53" s="13">
        <f>N53*VLOOKUP('Données projet'!$B$9,Paramètres!$A$1:$I$89,3,0)*VLOOKUP('Données projet'!$B$9,Paramètres!$A$1:$I$89,5,0)</f>
        <v>360.55499999999995</v>
      </c>
      <c r="P53" s="13">
        <f t="shared" si="33"/>
        <v>83.732122890172221</v>
      </c>
      <c r="Q53" s="20">
        <f t="shared" si="53"/>
        <v>773.80007236704989</v>
      </c>
      <c r="R53" s="59">
        <f t="shared" si="0"/>
        <v>1067.1334057003833</v>
      </c>
      <c r="S53" s="59">
        <f ca="1">AVERAGE(OFFSET($R$3,0,0,'Données projet'!$E$9+1,1))-AVERAGE(OFFSET($H$3,0,0,'Données projet'!$E$9+1,1))</f>
        <v>410.32666742287449</v>
      </c>
      <c r="T53" s="59">
        <f t="shared" si="34"/>
        <v>494.36941732405256</v>
      </c>
      <c r="U53" s="15">
        <f>IF(ISNA(VLOOKUP(A53,'Données projet'!$A$35:$I$55,3,0)),0,VLOOKUP(A53,'Données projet'!$A$35:$I$55,3,0))</f>
        <v>8</v>
      </c>
      <c r="V53" s="15">
        <f>IF(ISNA(VLOOKUP(A53,'Données projet'!$A$35:$I$55,4,0)),0,VLOOKUP(A53,'Données projet'!$A$35:$I$55,4,0))</f>
        <v>51</v>
      </c>
      <c r="W53" s="16">
        <f>IF(ISNA(VLOOKUP(A53,'Données projet'!$A$35:$I$55,5,0)),0%,VLOOKUP(A53,'Données projet'!$A$35:$I$55,5,0)*VLOOKUP('Données projet'!$B$9,Paramètres!$A$1:$I$89,7,0))</f>
        <v>0.44000000000000006</v>
      </c>
      <c r="X53" s="16">
        <f>IF(ISNA(VLOOKUP(A53,'Données projet'!$A$35:$I$55,6,0)),0%,VLOOKUP(A53,'Données projet'!$A$35:$I$55,6,0)*VLOOKUP('Données projet'!$B$9,Paramètres!$A$1:$I$89,7,0))</f>
        <v>6.0500000000000005E-2</v>
      </c>
      <c r="Y53" s="16">
        <f>IF(ISNA(VLOOKUP(A53,'Données projet'!$A$35:$I$55,7,0)),0%,VLOOKUP(A53,'Données projet'!$A$35:$I$55,7,0))</f>
        <v>0.09</v>
      </c>
      <c r="Z53" s="21">
        <f>EXP(-LN(2)/35)*Z52+(1-EXP(-LN(2)/35))/(LN(2)/35)*V53*W53*VLOOKUP('Données projet'!$B$9,Paramètres!$A$1:$I$89,3,0)*0.475*44/12</f>
        <v>56.744968721870322</v>
      </c>
      <c r="AA53" s="21">
        <f>EXP(-LN(2)/25)*AA52+(1-EXP(-LN(2)/25))/(LN(2)/25)*Calculateur!V53*Calculateur!X53*VLOOKUP('Données projet'!$B$9,Paramètres!$A$1:$I$89,3,0)*0.475*44/12</f>
        <v>30.250878856195634</v>
      </c>
      <c r="AB53" s="21">
        <f>EXP(-LN(2)/2)*AB52+(1-EXP(-LN(2)/2))/(LN(2)/2)*V53*Y53*VLOOKUP('Données projet'!$B$9,Paramètres!$A$1:$I$89,3,0)*0.475*44/12</f>
        <v>4.2294581485873319</v>
      </c>
      <c r="AC53" s="22">
        <f t="shared" si="3"/>
        <v>91.225305726653289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8.8333333333333339</v>
      </c>
      <c r="AI53" s="13">
        <f>IF('Données projet'!$A$62&gt;35,AI52+AH53-AQ52,IF(A53&lt;'Données projet'!$A$62,$AF$205^A53,IF(A53='Données projet'!$A$62,'Données projet'!$B$62,AI52+AH53-AQ52)))</f>
        <v>252.66666666666666</v>
      </c>
      <c r="AJ53" s="13">
        <f>AI53*VLOOKUP('Données projet'!$B$10,Paramètres!$A$1:$I$89,3,0)*VLOOKUP('Données projet'!$B$10,Paramètres!$A$1:$I$89,5,0)</f>
        <v>157.66399999999999</v>
      </c>
      <c r="AK53" s="13">
        <f t="shared" si="35"/>
        <v>40.315173924610093</v>
      </c>
      <c r="AL53" s="20">
        <f t="shared" si="4"/>
        <v>344.81372791869586</v>
      </c>
      <c r="AM53" s="59">
        <f t="shared" si="5"/>
        <v>638.14706125202918</v>
      </c>
      <c r="AN53" s="59">
        <f ca="1">AVERAGE(OFFSET($AM$3,0,0,'Données projet'!$E$10+1,1))-AVERAGE(OFFSET($H$3,0,0,'Données projet'!$E$10+1,1))</f>
        <v>197.20006068829753</v>
      </c>
      <c r="AO53" s="59">
        <f t="shared" si="36"/>
        <v>256.52014906581638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44.814294026709277</v>
      </c>
      <c r="AV53" s="21">
        <f>EXP(-LN(2)/25)*AV52+(1-EXP(-LN(2)/25))/(LN(2)/25)*Calculateur!AQ53*Calculateur!AS53*VLOOKUP('Données projet'!$B$10,Paramètres!$A$1:$I$89,3,0)*0.475*44/12</f>
        <v>28.820210591211676</v>
      </c>
      <c r="AW53" s="21">
        <f>EXP(-LN(2)/2)*AW52+(1-EXP(-LN(2)/2))/(LN(2)/2)*AQ53*AT53*VLOOKUP('Données projet'!$B$10,Paramètres!$A$1:$I$89,3,0)*0.475*44/12</f>
        <v>1.5853358957772585</v>
      </c>
      <c r="AX53" s="21">
        <f t="shared" si="6"/>
        <v>75.219840513698216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>
        <f>BD53*VLOOKUP('Données projet'!$B$11,Paramètres!$A$1:$I$89,3,0)*VLOOKUP('Données projet'!$B$11,Paramètres!$A$1:$I$89,5,0)</f>
        <v>0</v>
      </c>
      <c r="BF53" s="13" t="e">
        <f t="shared" si="37"/>
        <v>#NUM!</v>
      </c>
      <c r="BG53" s="20" t="e">
        <f t="shared" si="7"/>
        <v>#NUM!</v>
      </c>
      <c r="BH53" s="59" t="e">
        <f t="shared" si="8"/>
        <v>#NUM!</v>
      </c>
      <c r="BI53" s="59">
        <f ca="1">AVERAGE(OFFSET($BH$3,0,0,'Données projet'!$E$11+1,1))-AVERAGE(OFFSET($H$3,0,0,'Données projet'!$E$11+1,1))</f>
        <v>102.76553481871144</v>
      </c>
      <c r="BJ53" s="59">
        <f t="shared" si="38"/>
        <v>345.99919346320343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26.07980377421045</v>
      </c>
      <c r="BQ53" s="21">
        <f>EXP(-LN(2)/25)*BQ52+(1-EXP(-LN(2)/25))/(LN(2)/25)*Calculateur!BL53*Calculateur!BN53*VLOOKUP('Données projet'!$B$11,Paramètres!$A$1:$I$89,3,0)*0.475*44/12</f>
        <v>8.7963074362171234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34.876111210427574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18</v>
      </c>
      <c r="N54" s="13">
        <f>IF('Données projet'!$A$36&gt;35,N53+M54-V53,IF(A54&lt;'Données projet'!$A$36,$K$205^A54,IF(A54='Données projet'!$A$36,'Données projet'!$B$36,N53+M54-V53)))</f>
        <v>611.99999999999989</v>
      </c>
      <c r="O54" s="13">
        <f>N54*VLOOKUP('Données projet'!$B$9,Paramètres!$A$1:$I$89,3,0)*VLOOKUP('Données projet'!$B$9,Paramètres!$A$1:$I$89,5,0)</f>
        <v>342.10799999999995</v>
      </c>
      <c r="P54" s="13">
        <f t="shared" si="33"/>
        <v>79.935315774430151</v>
      </c>
      <c r="Q54" s="20">
        <f t="shared" si="53"/>
        <v>735.0587749737989</v>
      </c>
      <c r="R54" s="59">
        <f t="shared" si="0"/>
        <v>1028.3921083071323</v>
      </c>
      <c r="S54" s="59">
        <f ca="1">AVERAGE(OFFSET($R$3,0,0,'Données projet'!$E$9+1,1))-AVERAGE(OFFSET($H$3,0,0,'Données projet'!$E$9+1,1))</f>
        <v>410.32666742287449</v>
      </c>
      <c r="T54" s="59">
        <f t="shared" si="34"/>
        <v>494.36941732405256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55.632234496247811</v>
      </c>
      <c r="AA54" s="21">
        <f>EXP(-LN(2)/25)*AA53+(1-EXP(-LN(2)/25))/(LN(2)/25)*Calculateur!V54*Calculateur!X54*VLOOKUP('Données projet'!$B$9,Paramètres!$A$1:$I$89,3,0)*0.475*44/12</f>
        <v>29.423666983048385</v>
      </c>
      <c r="AB54" s="21">
        <f>EXP(-LN(2)/2)*AB53+(1-EXP(-LN(2)/2))/(LN(2)/2)*V54*Y54*VLOOKUP('Données projet'!$B$9,Paramètres!$A$1:$I$89,3,0)*0.475*44/12</f>
        <v>2.9906785376108029</v>
      </c>
      <c r="AC54" s="22">
        <f t="shared" si="3"/>
        <v>88.046580016907001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8.8333333333333339</v>
      </c>
      <c r="AI54" s="13">
        <f>IF('Données projet'!$A$62&gt;35,AI53+AH54-AQ53,IF(A54&lt;'Données projet'!$A$62,$AF$205^A54,IF(A54='Données projet'!$A$62,'Données projet'!$B$62,AI53+AH54-AQ53)))</f>
        <v>261.5</v>
      </c>
      <c r="AJ54" s="13">
        <f>AI54*VLOOKUP('Données projet'!$B$10,Paramètres!$A$1:$I$89,3,0)*VLOOKUP('Données projet'!$B$10,Paramètres!$A$1:$I$89,5,0)</f>
        <v>163.17599999999999</v>
      </c>
      <c r="AK54" s="13">
        <f t="shared" si="35"/>
        <v>41.558049537577787</v>
      </c>
      <c r="AL54" s="20">
        <f t="shared" si="4"/>
        <v>356.57846961128126</v>
      </c>
      <c r="AM54" s="59">
        <f t="shared" si="5"/>
        <v>649.91180294461458</v>
      </c>
      <c r="AN54" s="59">
        <f ca="1">AVERAGE(OFFSET($AM$3,0,0,'Données projet'!$E$10+1,1))-AVERAGE(OFFSET($H$3,0,0,'Données projet'!$E$10+1,1))</f>
        <v>197.20006068829753</v>
      </c>
      <c r="AO54" s="59">
        <f t="shared" si="36"/>
        <v>256.52014906581638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43.935513054865851</v>
      </c>
      <c r="AV54" s="21">
        <f>EXP(-LN(2)/25)*AV53+(1-EXP(-LN(2)/25))/(LN(2)/25)*Calculateur!AQ54*Calculateur!AS54*VLOOKUP('Données projet'!$B$10,Paramètres!$A$1:$I$89,3,0)*0.475*44/12</f>
        <v>28.032120417005988</v>
      </c>
      <c r="AW54" s="21">
        <f>EXP(-LN(2)/2)*AW53+(1-EXP(-LN(2)/2))/(LN(2)/2)*AQ54*AT54*VLOOKUP('Données projet'!$B$10,Paramètres!$A$1:$I$89,3,0)*0.475*44/12</f>
        <v>1.1210017623625492</v>
      </c>
      <c r="AX54" s="21">
        <f t="shared" si="6"/>
        <v>73.088635234234388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>
        <f>BD54*VLOOKUP('Données projet'!$B$11,Paramètres!$A$1:$I$89,3,0)*VLOOKUP('Données projet'!$B$11,Paramètres!$A$1:$I$89,5,0)</f>
        <v>0</v>
      </c>
      <c r="BF54" s="13" t="e">
        <f t="shared" si="37"/>
        <v>#NUM!</v>
      </c>
      <c r="BG54" s="20" t="e">
        <f t="shared" si="7"/>
        <v>#NUM!</v>
      </c>
      <c r="BH54" s="59" t="e">
        <f t="shared" si="8"/>
        <v>#NUM!</v>
      </c>
      <c r="BI54" s="59">
        <f ca="1">AVERAGE(OFFSET($BH$3,0,0,'Données projet'!$E$11+1,1))-AVERAGE(OFFSET($H$3,0,0,'Données projet'!$E$11+1,1))</f>
        <v>102.76553481871144</v>
      </c>
      <c r="BJ54" s="59">
        <f t="shared" si="38"/>
        <v>345.99919346320343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25.568394729307791</v>
      </c>
      <c r="BQ54" s="21">
        <f>EXP(-LN(2)/25)*BQ53+(1-EXP(-LN(2)/25))/(LN(2)/25)*Calculateur!BL54*Calculateur!BN54*VLOOKUP('Données projet'!$B$11,Paramètres!$A$1:$I$89,3,0)*0.475*44/12</f>
        <v>8.555771946796062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34.124166676103854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18</v>
      </c>
      <c r="N55" s="13">
        <f>IF('Données projet'!$A$36&gt;35,N54+M55-V54,IF(A55&lt;'Données projet'!$A$36,$K$205^A55,IF(A55='Données projet'!$A$36,'Données projet'!$B$36,N54+M55-V54)))</f>
        <v>629.99999999999989</v>
      </c>
      <c r="O55" s="13">
        <f>N55*VLOOKUP('Données projet'!$B$9,Paramètres!$A$1:$I$89,3,0)*VLOOKUP('Données projet'!$B$9,Paramètres!$A$1:$I$89,5,0)</f>
        <v>352.1699999999999</v>
      </c>
      <c r="P55" s="13">
        <f t="shared" si="33"/>
        <v>82.009175912878291</v>
      </c>
      <c r="Q55" s="20">
        <f t="shared" si="53"/>
        <v>756.19539804826275</v>
      </c>
      <c r="R55" s="59">
        <f t="shared" si="0"/>
        <v>1049.5287313815961</v>
      </c>
      <c r="S55" s="59">
        <f ca="1">AVERAGE(OFFSET($R$3,0,0,'Données projet'!$E$9+1,1))-AVERAGE(OFFSET($H$3,0,0,'Données projet'!$E$9+1,1))</f>
        <v>410.32666742287449</v>
      </c>
      <c r="T55" s="59">
        <f t="shared" si="34"/>
        <v>494.36941732405256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54.541320310088899</v>
      </c>
      <c r="AA55" s="21">
        <f>EXP(-LN(2)/25)*AA54+(1-EXP(-LN(2)/25))/(LN(2)/25)*Calculateur!V55*Calculateur!X55*VLOOKUP('Données projet'!$B$9,Paramètres!$A$1:$I$89,3,0)*0.475*44/12</f>
        <v>28.61907526207353</v>
      </c>
      <c r="AB55" s="21">
        <f>EXP(-LN(2)/2)*AB54+(1-EXP(-LN(2)/2))/(LN(2)/2)*V55*Y55*VLOOKUP('Données projet'!$B$9,Paramètres!$A$1:$I$89,3,0)*0.475*44/12</f>
        <v>2.114729074293666</v>
      </c>
      <c r="AC55" s="22">
        <f t="shared" si="3"/>
        <v>85.275124646456092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8.8333333333333339</v>
      </c>
      <c r="AI55" s="13">
        <f>IF('Données projet'!$A$62&gt;35,AI54+AH55-AQ54,IF(A55&lt;'Données projet'!$A$62,$AF$205^A55,IF(A55='Données projet'!$A$62,'Données projet'!$B$62,AI54+AH55-AQ54)))</f>
        <v>270.33333333333331</v>
      </c>
      <c r="AJ55" s="13">
        <f>AI55*VLOOKUP('Données projet'!$B$10,Paramètres!$A$1:$I$89,3,0)*VLOOKUP('Données projet'!$B$10,Paramètres!$A$1:$I$89,5,0)</f>
        <v>168.68799999999999</v>
      </c>
      <c r="AK55" s="13">
        <f t="shared" si="35"/>
        <v>42.796046864020248</v>
      </c>
      <c r="AL55" s="20">
        <f t="shared" si="4"/>
        <v>368.33471495483519</v>
      </c>
      <c r="AM55" s="59">
        <f t="shared" si="5"/>
        <v>661.66804828816851</v>
      </c>
      <c r="AN55" s="59">
        <f ca="1">AVERAGE(OFFSET($AM$3,0,0,'Données projet'!$E$10+1,1))-AVERAGE(OFFSET($H$3,0,0,'Données projet'!$E$10+1,1))</f>
        <v>197.20006068829753</v>
      </c>
      <c r="AO55" s="59">
        <f t="shared" si="36"/>
        <v>256.52014906581638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43.073964441876811</v>
      </c>
      <c r="AV55" s="21">
        <f>EXP(-LN(2)/25)*AV54+(1-EXP(-LN(2)/25))/(LN(2)/25)*Calculateur!AQ55*Calculateur!AS55*VLOOKUP('Données projet'!$B$10,Paramètres!$A$1:$I$89,3,0)*0.475*44/12</f>
        <v>27.265580610057814</v>
      </c>
      <c r="AW55" s="21">
        <f>EXP(-LN(2)/2)*AW54+(1-EXP(-LN(2)/2))/(LN(2)/2)*AQ55*AT55*VLOOKUP('Données projet'!$B$10,Paramètres!$A$1:$I$89,3,0)*0.475*44/12</f>
        <v>0.79266794788862927</v>
      </c>
      <c r="AX55" s="21">
        <f t="shared" si="6"/>
        <v>71.132212999823253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>
        <f>BD55*VLOOKUP('Données projet'!$B$11,Paramètres!$A$1:$I$89,3,0)*VLOOKUP('Données projet'!$B$11,Paramètres!$A$1:$I$89,5,0)</f>
        <v>0</v>
      </c>
      <c r="BF55" s="13" t="e">
        <f t="shared" si="37"/>
        <v>#NUM!</v>
      </c>
      <c r="BG55" s="20" t="e">
        <f t="shared" si="7"/>
        <v>#NUM!</v>
      </c>
      <c r="BH55" s="59" t="e">
        <f t="shared" si="8"/>
        <v>#NUM!</v>
      </c>
      <c r="BI55" s="59">
        <f ca="1">AVERAGE(OFFSET($BH$3,0,0,'Données projet'!$E$11+1,1))-AVERAGE(OFFSET($H$3,0,0,'Données projet'!$E$11+1,1))</f>
        <v>102.76553481871144</v>
      </c>
      <c r="BJ55" s="59">
        <f t="shared" si="38"/>
        <v>345.99919346320343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25.067014103846954</v>
      </c>
      <c r="BQ55" s="21">
        <f>EXP(-LN(2)/25)*BQ54+(1-EXP(-LN(2)/25))/(LN(2)/25)*Calculateur!BL55*Calculateur!BN55*VLOOKUP('Données projet'!$B$11,Paramètres!$A$1:$I$89,3,0)*0.475*44/12</f>
        <v>8.3218139129824316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33.388828016829386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18</v>
      </c>
      <c r="N56" s="13">
        <f>IF('Données projet'!$A$36&gt;35,N55+M56-V55,IF(A56&lt;'Données projet'!$A$36,$K$205^A56,IF(A56='Données projet'!$A$36,'Données projet'!$B$36,N55+M56-V55)))</f>
        <v>647.99999999999989</v>
      </c>
      <c r="O56" s="13">
        <f>N56*VLOOKUP('Données projet'!$B$9,Paramètres!$A$1:$I$89,3,0)*VLOOKUP('Données projet'!$B$9,Paramètres!$A$1:$I$89,5,0)</f>
        <v>362.23199999999991</v>
      </c>
      <c r="P56" s="13">
        <f t="shared" si="33"/>
        <v>84.076149451138917</v>
      </c>
      <c r="Q56" s="20">
        <f t="shared" si="53"/>
        <v>777.32002696073334</v>
      </c>
      <c r="R56" s="59">
        <f t="shared" si="0"/>
        <v>1070.6533602940667</v>
      </c>
      <c r="S56" s="59">
        <f ca="1">AVERAGE(OFFSET($R$3,0,0,'Données projet'!$E$9+1,1))-AVERAGE(OFFSET($H$3,0,0,'Données projet'!$E$9+1,1))</f>
        <v>410.32666742287449</v>
      </c>
      <c r="T56" s="59">
        <f t="shared" si="34"/>
        <v>494.36941732405256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53.47179828572861</v>
      </c>
      <c r="AA56" s="21">
        <f>EXP(-LN(2)/25)*AA55+(1-EXP(-LN(2)/25))/(LN(2)/25)*Calculateur!V56*Calculateur!X56*VLOOKUP('Données projet'!$B$9,Paramètres!$A$1:$I$89,3,0)*0.475*44/12</f>
        <v>27.836485144020372</v>
      </c>
      <c r="AB56" s="21">
        <f>EXP(-LN(2)/2)*AB55+(1-EXP(-LN(2)/2))/(LN(2)/2)*V56*Y56*VLOOKUP('Données projet'!$B$9,Paramètres!$A$1:$I$89,3,0)*0.475*44/12</f>
        <v>1.4953392688054015</v>
      </c>
      <c r="AC56" s="22">
        <f t="shared" si="3"/>
        <v>82.803622698554378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8.8333333333333339</v>
      </c>
      <c r="AI56" s="13">
        <f>IF('Données projet'!$A$62&gt;35,AI55+AH56-AQ55,IF(A56&lt;'Données projet'!$A$62,$AF$205^A56,IF(A56='Données projet'!$A$62,'Données projet'!$B$62,AI55+AH56-AQ55)))</f>
        <v>279.16666666666663</v>
      </c>
      <c r="AJ56" s="13">
        <f>AI56*VLOOKUP('Données projet'!$B$10,Paramètres!$A$1:$I$89,3,0)*VLOOKUP('Données projet'!$B$10,Paramètres!$A$1:$I$89,5,0)</f>
        <v>174.19999999999996</v>
      </c>
      <c r="AK56" s="13">
        <f t="shared" si="35"/>
        <v>44.029343585946933</v>
      </c>
      <c r="AL56" s="20">
        <f t="shared" si="4"/>
        <v>380.08277341219082</v>
      </c>
      <c r="AM56" s="59">
        <f t="shared" si="5"/>
        <v>673.41610674552408</v>
      </c>
      <c r="AN56" s="59">
        <f ca="1">AVERAGE(OFFSET($AM$3,0,0,'Données projet'!$E$10+1,1))-AVERAGE(OFFSET($H$3,0,0,'Données projet'!$E$10+1,1))</f>
        <v>197.20006068829753</v>
      </c>
      <c r="AO56" s="59">
        <f t="shared" si="36"/>
        <v>256.52014906581638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42.229310271695716</v>
      </c>
      <c r="AV56" s="21">
        <f>EXP(-LN(2)/25)*AV55+(1-EXP(-LN(2)/25))/(LN(2)/25)*Calculateur!AQ56*Calculateur!AS56*VLOOKUP('Données projet'!$B$10,Paramètres!$A$1:$I$89,3,0)*0.475*44/12</f>
        <v>26.520001874441213</v>
      </c>
      <c r="AW56" s="21">
        <f>EXP(-LN(2)/2)*AW55+(1-EXP(-LN(2)/2))/(LN(2)/2)*AQ56*AT56*VLOOKUP('Données projet'!$B$10,Paramètres!$A$1:$I$89,3,0)*0.475*44/12</f>
        <v>0.56050088118127461</v>
      </c>
      <c r="AX56" s="21">
        <f t="shared" si="6"/>
        <v>69.309813027318199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>
        <f>BD56*VLOOKUP('Données projet'!$B$11,Paramètres!$A$1:$I$89,3,0)*VLOOKUP('Données projet'!$B$11,Paramètres!$A$1:$I$89,5,0)</f>
        <v>0</v>
      </c>
      <c r="BF56" s="13" t="e">
        <f t="shared" si="37"/>
        <v>#NUM!</v>
      </c>
      <c r="BG56" s="20" t="e">
        <f t="shared" si="7"/>
        <v>#NUM!</v>
      </c>
      <c r="BH56" s="59" t="e">
        <f t="shared" si="8"/>
        <v>#NUM!</v>
      </c>
      <c r="BI56" s="59">
        <f ca="1">AVERAGE(OFFSET($BH$3,0,0,'Données projet'!$E$11+1,1))-AVERAGE(OFFSET($H$3,0,0,'Données projet'!$E$11+1,1))</f>
        <v>102.76553481871144</v>
      </c>
      <c r="BJ56" s="59">
        <f t="shared" si="38"/>
        <v>345.99919346320343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24.575465246639418</v>
      </c>
      <c r="BQ56" s="21">
        <f>EXP(-LN(2)/25)*BQ55+(1-EXP(-LN(2)/25))/(LN(2)/25)*Calculateur!BL56*Calculateur!BN56*VLOOKUP('Données projet'!$B$11,Paramètres!$A$1:$I$89,3,0)*0.475*44/12</f>
        <v>8.0942534739067522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32.669718720546172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18</v>
      </c>
      <c r="N57" s="13">
        <f>IF('Données projet'!$A$36&gt;35,N56+M57-V56,IF(A57&lt;'Données projet'!$A$36,$K$205^A57,IF(A57='Données projet'!$A$36,'Données projet'!$B$36,N56+M57-V56)))</f>
        <v>665.99999999999989</v>
      </c>
      <c r="O57" s="13">
        <f>N57*VLOOKUP('Données projet'!$B$9,Paramètres!$A$1:$I$89,3,0)*VLOOKUP('Données projet'!$B$9,Paramètres!$A$1:$I$89,5,0)</f>
        <v>372.29399999999993</v>
      </c>
      <c r="P57" s="13">
        <f t="shared" si="33"/>
        <v>86.136449661008839</v>
      </c>
      <c r="Q57" s="20">
        <f t="shared" si="53"/>
        <v>798.4330331595902</v>
      </c>
      <c r="R57" s="59">
        <f t="shared" si="0"/>
        <v>1091.7663664929235</v>
      </c>
      <c r="S57" s="59">
        <f ca="1">AVERAGE(OFFSET($R$3,0,0,'Données projet'!$E$9+1,1))-AVERAGE(OFFSET($H$3,0,0,'Données projet'!$E$9+1,1))</f>
        <v>410.32666742287449</v>
      </c>
      <c r="T57" s="59">
        <f t="shared" si="34"/>
        <v>494.36941732405256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52.423248935922004</v>
      </c>
      <c r="AA57" s="21">
        <f>EXP(-LN(2)/25)*AA56+(1-EXP(-LN(2)/25))/(LN(2)/25)*Calculateur!V57*Calculateur!X57*VLOOKUP('Données projet'!$B$9,Paramètres!$A$1:$I$89,3,0)*0.475*44/12</f>
        <v>27.075294993900002</v>
      </c>
      <c r="AB57" s="21">
        <f>EXP(-LN(2)/2)*AB56+(1-EXP(-LN(2)/2))/(LN(2)/2)*V57*Y57*VLOOKUP('Données projet'!$B$9,Paramètres!$A$1:$I$89,3,0)*0.475*44/12</f>
        <v>1.057364537146833</v>
      </c>
      <c r="AC57" s="22">
        <f t="shared" si="3"/>
        <v>80.555908466968845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>
        <f>VLOOKUP(A57,'Données projet'!$A$61:$I$81,2,0)</f>
        <v>288</v>
      </c>
      <c r="AG57" s="12">
        <f>VLOOKUP(A57,'Données projet'!$A$61:$I$81,9,0)</f>
        <v>8.8333333333333339</v>
      </c>
      <c r="AH57" s="12">
        <f t="array" ref="AH57">INDEX(AG:AG,MIN(IF(ISNUMBER(AG57:AG253),ROW(AG57:AG253),"")))</f>
        <v>8.8333333333333339</v>
      </c>
      <c r="AI57" s="13">
        <f>IF('Données projet'!$A$62&gt;35,AI56+AH57-AQ56,IF(A57&lt;'Données projet'!$A$62,$AF$205^A57,IF(A57='Données projet'!$A$62,'Données projet'!$B$62,AI56+AH57-AQ56)))</f>
        <v>287.99999999999994</v>
      </c>
      <c r="AJ57" s="13">
        <f>AI57*VLOOKUP('Données projet'!$B$10,Paramètres!$A$1:$I$89,3,0)*VLOOKUP('Données projet'!$B$10,Paramètres!$A$1:$I$89,5,0)</f>
        <v>179.71199999999999</v>
      </c>
      <c r="AK57" s="13">
        <f t="shared" si="35"/>
        <v>45.258105502458051</v>
      </c>
      <c r="AL57" s="20">
        <f t="shared" si="4"/>
        <v>391.82293375011437</v>
      </c>
      <c r="AM57" s="59">
        <f t="shared" si="5"/>
        <v>685.15626708344769</v>
      </c>
      <c r="AN57" s="59">
        <f ca="1">AVERAGE(OFFSET($AM$3,0,0,'Données projet'!$E$10+1,1))-AVERAGE(OFFSET($H$3,0,0,'Données projet'!$E$10+1,1))</f>
        <v>197.20006068829753</v>
      </c>
      <c r="AO57" s="59">
        <f t="shared" si="36"/>
        <v>256.52014906581638</v>
      </c>
      <c r="AP57" s="15">
        <f>IF(ISNA(VLOOKUP(A57,'Données projet'!$A$61:$I$81,3,0)),0,VLOOKUP(A57,'Données projet'!$A$61:$I$81,3,0))</f>
        <v>8</v>
      </c>
      <c r="AQ57" s="15">
        <f>IF(ISNA(VLOOKUP(A57,'Données projet'!$A$61:$I$81,4,0)),0,VLOOKUP(A57,'Données projet'!$A$61:$I$81,4,0))</f>
        <v>36</v>
      </c>
      <c r="AR57" s="16">
        <f>IF(ISNA(VLOOKUP(A57,'Données projet'!$A$61:$I$81,5,0)),0%,VLOOKUP(A57,'Données projet'!$A$61:$I$81,5,0)*VLOOKUP('Données projet'!$B$10,Paramètres!$A$1:$I$89,7,0))</f>
        <v>0.48</v>
      </c>
      <c r="AS57" s="16">
        <f>IF(ISNA(VLOOKUP(A57,'Données projet'!$A$61:$I$81,6,0)),0%,VLOOKUP(A57,'Données projet'!$A$61:$I$81,6,0)*VLOOKUP('Données projet'!$B$10,Paramètres!$A$1:$I$89,7,0))</f>
        <v>6.6000000000000003E-2</v>
      </c>
      <c r="AT57" s="16">
        <f>IF(ISNA(VLOOKUP(A57,'Données projet'!$A$61:$I$81,7,0)),0%,VLOOKUP(A57,'Données projet'!$A$61:$I$81,7,0))</f>
        <v>0.09</v>
      </c>
      <c r="AU57" s="21">
        <f>EXP(-LN(2)/35)*AU56+(1-EXP(-LN(2)/35))/(LN(2)/35)*AQ57*AR57*VLOOKUP('Données projet'!$B$10,Paramètres!$A$1:$I$89,3,0)*0.475*44/12</f>
        <v>55.705192339560739</v>
      </c>
      <c r="AV57" s="21">
        <f>EXP(-LN(2)/25)*AV56+(1-EXP(-LN(2)/25))/(LN(2)/25)*Calculateur!AQ57*Calculateur!AS57*VLOOKUP('Données projet'!$B$10,Paramètres!$A$1:$I$89,3,0)*0.475*44/12</f>
        <v>27.753863301301905</v>
      </c>
      <c r="AW57" s="21">
        <f>EXP(-LN(2)/2)*AW56+(1-EXP(-LN(2)/2))/(LN(2)/2)*AQ57*AT57*VLOOKUP('Données projet'!$B$10,Paramètres!$A$1:$I$89,3,0)*0.475*44/12</f>
        <v>2.6854359437914219</v>
      </c>
      <c r="AX57" s="21">
        <f t="shared" si="6"/>
        <v>86.144491584654062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>
        <f>BD57*VLOOKUP('Données projet'!$B$11,Paramètres!$A$1:$I$89,3,0)*VLOOKUP('Données projet'!$B$11,Paramètres!$A$1:$I$89,5,0)</f>
        <v>0</v>
      </c>
      <c r="BF57" s="13" t="e">
        <f t="shared" si="37"/>
        <v>#NUM!</v>
      </c>
      <c r="BG57" s="20" t="e">
        <f t="shared" si="7"/>
        <v>#NUM!</v>
      </c>
      <c r="BH57" s="59" t="e">
        <f t="shared" si="8"/>
        <v>#NUM!</v>
      </c>
      <c r="BI57" s="59">
        <f ca="1">AVERAGE(OFFSET($BH$3,0,0,'Données projet'!$E$11+1,1))-AVERAGE(OFFSET($H$3,0,0,'Données projet'!$E$11+1,1))</f>
        <v>102.76553481871144</v>
      </c>
      <c r="BJ57" s="59">
        <f t="shared" si="38"/>
        <v>345.99919346320343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24.093555362706525</v>
      </c>
      <c r="BQ57" s="21">
        <f>EXP(-LN(2)/25)*BQ56+(1-EXP(-LN(2)/25))/(LN(2)/25)*Calculateur!BL57*Calculateur!BN57*VLOOKUP('Données projet'!$B$11,Paramètres!$A$1:$I$89,3,0)*0.475*44/12</f>
        <v>7.8729156870044816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31.966471049711007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684</v>
      </c>
      <c r="L58" s="12">
        <f>VLOOKUP(A58,'Données projet'!$A$35:$I$55,9,0)</f>
        <v>18</v>
      </c>
      <c r="M58" s="12">
        <f t="array" ref="M58">INDEX(L:L,MIN(IF(ISNUMBER(L58:L254),ROW(L58:L254),"")))</f>
        <v>18</v>
      </c>
      <c r="N58" s="13">
        <f>IF('Données projet'!$A$36&gt;35,N57+M58-V57,IF(A58&lt;'Données projet'!$A$36,$K$205^A58,IF(A58='Données projet'!$A$36,'Données projet'!$B$36,N57+M58-V57)))</f>
        <v>683.99999999999989</v>
      </c>
      <c r="O58" s="13">
        <f>N58*VLOOKUP('Données projet'!$B$9,Paramètres!$A$1:$I$89,3,0)*VLOOKUP('Données projet'!$B$9,Paramètres!$A$1:$I$89,5,0)</f>
        <v>382.35599999999994</v>
      </c>
      <c r="P58" s="13">
        <f t="shared" si="33"/>
        <v>88.190277629826127</v>
      </c>
      <c r="Q58" s="20">
        <f t="shared" si="53"/>
        <v>819.534766871947</v>
      </c>
      <c r="R58" s="59">
        <f t="shared" si="0"/>
        <v>1112.8681002052804</v>
      </c>
      <c r="S58" s="59">
        <f ca="1">AVERAGE(OFFSET($R$3,0,0,'Données projet'!$E$9+1,1))-AVERAGE(OFFSET($H$3,0,0,'Données projet'!$E$9+1,1))</f>
        <v>410.32666742287449</v>
      </c>
      <c r="T58" s="59">
        <f t="shared" si="34"/>
        <v>494.36941732405256</v>
      </c>
      <c r="U58" s="15">
        <f>IF(ISNA(VLOOKUP(A58,'Données projet'!$A$35:$I$55,3,0)),0,VLOOKUP(A58,'Données projet'!$A$35:$I$55,3,0))</f>
        <v>9</v>
      </c>
      <c r="V58" s="15">
        <f>IF(ISNA(VLOOKUP(A58,'Données projet'!$A$35:$I$55,4,0)),0,VLOOKUP(A58,'Données projet'!$A$35:$I$55,4,0))</f>
        <v>51</v>
      </c>
      <c r="W58" s="16">
        <f>IF(ISNA(VLOOKUP(A58,'Données projet'!$A$35:$I$55,5,0)),0%,VLOOKUP(A58,'Données projet'!$A$35:$I$55,5,0)*VLOOKUP('Données projet'!$B$9,Paramètres!$A$1:$I$89,7,0))</f>
        <v>0.44000000000000006</v>
      </c>
      <c r="X58" s="16">
        <f>IF(ISNA(VLOOKUP(A58,'Données projet'!$A$35:$I$55,6,0)),0%,VLOOKUP(A58,'Données projet'!$A$35:$I$55,6,0)*VLOOKUP('Données projet'!$B$9,Paramètres!$A$1:$I$89,7,0))</f>
        <v>6.0500000000000005E-2</v>
      </c>
      <c r="Y58" s="16">
        <f>IF(ISNA(VLOOKUP(A58,'Données projet'!$A$35:$I$55,7,0)),0%,VLOOKUP(A58,'Données projet'!$A$35:$I$55,7,0))</f>
        <v>0.09</v>
      </c>
      <c r="Z58" s="21">
        <f>EXP(-LN(2)/35)*Z57+(1-EXP(-LN(2)/35))/(LN(2)/35)*V58*W58*VLOOKUP('Données projet'!$B$9,Paramètres!$A$1:$I$89,3,0)*0.475*44/12</f>
        <v>68.035632465768529</v>
      </c>
      <c r="AA58" s="21">
        <f>EXP(-LN(2)/25)*AA57+(1-EXP(-LN(2)/25))/(LN(2)/25)*Calculateur!V58*Calculateur!X58*VLOOKUP('Données projet'!$B$9,Paramètres!$A$1:$I$89,3,0)*0.475*44/12</f>
        <v>28.613961776197009</v>
      </c>
      <c r="AB58" s="21">
        <f>EXP(-LN(2)/2)*AB57+(1-EXP(-LN(2)/2))/(LN(2)/2)*V58*Y58*VLOOKUP('Données projet'!$B$9,Paramètres!$A$1:$I$89,3,0)*0.475*44/12</f>
        <v>3.6527625857190822</v>
      </c>
      <c r="AC58" s="22">
        <f t="shared" si="3"/>
        <v>100.30235682768462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9.3333333333333339</v>
      </c>
      <c r="AI58" s="13">
        <f>IF('Données projet'!$A$62&gt;35,AI57+AH58-AQ57,IF(A58&lt;'Données projet'!$A$62,$AF$205^A58,IF(A58='Données projet'!$A$62,'Données projet'!$B$62,AI57+AH58-AQ57)))</f>
        <v>261.33333333333326</v>
      </c>
      <c r="AJ58" s="13">
        <f>AI58*VLOOKUP('Données projet'!$B$10,Paramètres!$A$1:$I$89,3,0)*VLOOKUP('Données projet'!$B$10,Paramètres!$A$1:$I$89,5,0)</f>
        <v>163.07199999999995</v>
      </c>
      <c r="AK58" s="13">
        <f t="shared" si="35"/>
        <v>41.534644786143375</v>
      </c>
      <c r="AL58" s="20">
        <f t="shared" si="4"/>
        <v>356.35657300253291</v>
      </c>
      <c r="AM58" s="59">
        <f t="shared" si="5"/>
        <v>649.68990633586623</v>
      </c>
      <c r="AN58" s="59">
        <f ca="1">AVERAGE(OFFSET($AM$3,0,0,'Données projet'!$E$10+1,1))-AVERAGE(OFFSET($H$3,0,0,'Données projet'!$E$10+1,1))</f>
        <v>197.20006068829753</v>
      </c>
      <c r="AO58" s="59">
        <f t="shared" si="36"/>
        <v>256.52014906581638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54.612847494594348</v>
      </c>
      <c r="AV58" s="21">
        <f>EXP(-LN(2)/25)*AV57+(1-EXP(-LN(2)/25))/(LN(2)/25)*Calculateur!AQ58*Calculateur!AS58*VLOOKUP('Données projet'!$B$10,Paramètres!$A$1:$I$89,3,0)*0.475*44/12</f>
        <v>26.994932449815565</v>
      </c>
      <c r="AW58" s="21">
        <f>EXP(-LN(2)/2)*AW57+(1-EXP(-LN(2)/2))/(LN(2)/2)*AQ58*AT58*VLOOKUP('Données projet'!$B$10,Paramètres!$A$1:$I$89,3,0)*0.475*44/12</f>
        <v>1.8988899662970109</v>
      </c>
      <c r="AX58" s="21">
        <f t="shared" si="6"/>
        <v>83.506669910706918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>
        <f>BD58*VLOOKUP('Données projet'!$B$11,Paramètres!$A$1:$I$89,3,0)*VLOOKUP('Données projet'!$B$11,Paramètres!$A$1:$I$89,5,0)</f>
        <v>0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102.76553481871144</v>
      </c>
      <c r="BJ58" s="59">
        <f t="shared" si="38"/>
        <v>345.99919346320343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23.621095437661548</v>
      </c>
      <c r="BQ58" s="21">
        <f>EXP(-LN(2)/25)*BQ57+(1-EXP(-LN(2)/25))/(LN(2)/25)*Calculateur!BL58*Calculateur!BN58*VLOOKUP('Données projet'!$B$11,Paramètres!$A$1:$I$89,3,0)*0.475*44/12</f>
        <v>7.6576303935247019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31.27872583118625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17</v>
      </c>
      <c r="N59" s="13">
        <f>IF('Données projet'!$A$36&gt;35,N58+M59-V58,IF(A59&lt;'Données projet'!$A$36,$K$205^A59,IF(A59='Données projet'!$A$36,'Données projet'!$B$36,N58+M59-V58)))</f>
        <v>649.99999999999989</v>
      </c>
      <c r="O59" s="13">
        <f>N59*VLOOKUP('Données projet'!$B$9,Paramètres!$A$1:$I$89,3,0)*VLOOKUP('Données projet'!$B$9,Paramètres!$A$1:$I$89,5,0)</f>
        <v>363.34999999999997</v>
      </c>
      <c r="P59" s="13">
        <f t="shared" si="33"/>
        <v>84.30539746449827</v>
      </c>
      <c r="Q59" s="20">
        <f t="shared" si="53"/>
        <v>779.6664839173344</v>
      </c>
      <c r="R59" s="59">
        <f t="shared" si="0"/>
        <v>1072.9998172506678</v>
      </c>
      <c r="S59" s="59">
        <f ca="1">AVERAGE(OFFSET($R$3,0,0,'Données projet'!$E$9+1,1))-AVERAGE(OFFSET($H$3,0,0,'Données projet'!$E$9+1,1))</f>
        <v>410.32666742287449</v>
      </c>
      <c r="T59" s="59">
        <f t="shared" si="34"/>
        <v>494.36941732405256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66.701495210753066</v>
      </c>
      <c r="AA59" s="21">
        <f>EXP(-LN(2)/25)*AA58+(1-EXP(-LN(2)/25))/(LN(2)/25)*Calculateur!V59*Calculateur!X59*VLOOKUP('Données projet'!$B$9,Paramètres!$A$1:$I$89,3,0)*0.475*44/12</f>
        <v>27.83151148668405</v>
      </c>
      <c r="AB59" s="21">
        <f>EXP(-LN(2)/2)*AB58+(1-EXP(-LN(2)/2))/(LN(2)/2)*V59*Y59*VLOOKUP('Données projet'!$B$9,Paramètres!$A$1:$I$89,3,0)*0.475*44/12</f>
        <v>2.5828931944264708</v>
      </c>
      <c r="AC59" s="22">
        <f t="shared" si="3"/>
        <v>97.115899891863592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9.3333333333333339</v>
      </c>
      <c r="AI59" s="13">
        <f>IF('Données projet'!$A$62&gt;35,AI58+AH59-AQ58,IF(A59&lt;'Données projet'!$A$62,$AF$205^A59,IF(A59='Données projet'!$A$62,'Données projet'!$B$62,AI58+AH59-AQ58)))</f>
        <v>270.66666666666657</v>
      </c>
      <c r="AJ59" s="13">
        <f>AI59*VLOOKUP('Données projet'!$B$10,Paramètres!$A$1:$I$89,3,0)*VLOOKUP('Données projet'!$B$10,Paramètres!$A$1:$I$89,5,0)</f>
        <v>168.89599999999996</v>
      </c>
      <c r="AK59" s="13">
        <f t="shared" si="35"/>
        <v>42.842670630426674</v>
      </c>
      <c r="AL59" s="20">
        <f t="shared" si="4"/>
        <v>368.77818468132637</v>
      </c>
      <c r="AM59" s="59">
        <f t="shared" si="5"/>
        <v>662.11151801465962</v>
      </c>
      <c r="AN59" s="59">
        <f ca="1">AVERAGE(OFFSET($AM$3,0,0,'Données projet'!$E$10+1,1))-AVERAGE(OFFSET($H$3,0,0,'Données projet'!$E$10+1,1))</f>
        <v>197.20006068829753</v>
      </c>
      <c r="AO59" s="59">
        <f t="shared" si="36"/>
        <v>256.52014906581638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53.541922865773181</v>
      </c>
      <c r="AV59" s="21">
        <f>EXP(-LN(2)/25)*AV58+(1-EXP(-LN(2)/25))/(LN(2)/25)*Calculateur!AQ59*Calculateur!AS59*VLOOKUP('Données projet'!$B$10,Paramètres!$A$1:$I$89,3,0)*0.475*44/12</f>
        <v>26.256754602373558</v>
      </c>
      <c r="AW59" s="21">
        <f>EXP(-LN(2)/2)*AW58+(1-EXP(-LN(2)/2))/(LN(2)/2)*AQ59*AT59*VLOOKUP('Données projet'!$B$10,Paramètres!$A$1:$I$89,3,0)*0.475*44/12</f>
        <v>1.3427179718957112</v>
      </c>
      <c r="AX59" s="21">
        <f t="shared" si="6"/>
        <v>81.141395440042444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>
        <f>BD59*VLOOKUP('Données projet'!$B$11,Paramètres!$A$1:$I$89,3,0)*VLOOKUP('Données projet'!$B$11,Paramètres!$A$1:$I$89,5,0)</f>
        <v>0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102.76553481871144</v>
      </c>
      <c r="BJ59" s="59">
        <f t="shared" si="38"/>
        <v>345.99919346320343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23.157900163574606</v>
      </c>
      <c r="BQ59" s="21">
        <f>EXP(-LN(2)/25)*BQ58+(1-EXP(-LN(2)/25))/(LN(2)/25)*Calculateur!BL59*Calculateur!BN59*VLOOKUP('Données projet'!$B$11,Paramètres!$A$1:$I$89,3,0)*0.475*44/12</f>
        <v>7.4482320877164883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30.606132251291093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17</v>
      </c>
      <c r="N60" s="13">
        <f>IF('Données projet'!$A$36&gt;35,N59+M60-V59,IF(A60&lt;'Données projet'!$A$36,$K$205^A60,IF(A60='Données projet'!$A$36,'Données projet'!$B$36,N59+M60-V59)))</f>
        <v>666.99999999999989</v>
      </c>
      <c r="O60" s="13">
        <f>N60*VLOOKUP('Données projet'!$B$9,Paramètres!$A$1:$I$89,3,0)*VLOOKUP('Données projet'!$B$9,Paramètres!$A$1:$I$89,5,0)</f>
        <v>372.85299999999995</v>
      </c>
      <c r="P60" s="13">
        <f t="shared" si="33"/>
        <v>86.250719209905597</v>
      </c>
      <c r="Q60" s="20">
        <f t="shared" si="53"/>
        <v>799.60564429058547</v>
      </c>
      <c r="R60" s="59">
        <f t="shared" si="0"/>
        <v>1092.9389776239188</v>
      </c>
      <c r="S60" s="59">
        <f ca="1">AVERAGE(OFFSET($R$3,0,0,'Données projet'!$E$9+1,1))-AVERAGE(OFFSET($H$3,0,0,'Données projet'!$E$9+1,1))</f>
        <v>410.32666742287449</v>
      </c>
      <c r="T60" s="59">
        <f t="shared" si="34"/>
        <v>494.36941732405256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65.393519573565072</v>
      </c>
      <c r="AA60" s="21">
        <f>EXP(-LN(2)/25)*AA59+(1-EXP(-LN(2)/25))/(LN(2)/25)*Calculateur!V60*Calculateur!X60*VLOOKUP('Données projet'!$B$9,Paramètres!$A$1:$I$89,3,0)*0.475*44/12</f>
        <v>27.070457341485096</v>
      </c>
      <c r="AB60" s="21">
        <f>EXP(-LN(2)/2)*AB59+(1-EXP(-LN(2)/2))/(LN(2)/2)*V60*Y60*VLOOKUP('Données projet'!$B$9,Paramètres!$A$1:$I$89,3,0)*0.475*44/12</f>
        <v>1.8263812928595413</v>
      </c>
      <c r="AC60" s="22">
        <f t="shared" si="3"/>
        <v>94.290358207909705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9.3333333333333339</v>
      </c>
      <c r="AI60" s="13">
        <f>IF('Données projet'!$A$62&gt;35,AI59+AH60-AQ59,IF(A60&lt;'Données projet'!$A$62,$AF$205^A60,IF(A60='Données projet'!$A$62,'Données projet'!$B$62,AI59+AH60-AQ59)))</f>
        <v>279.99999999999989</v>
      </c>
      <c r="AJ60" s="13">
        <f>AI60*VLOOKUP('Données projet'!$B$10,Paramètres!$A$1:$I$89,3,0)*VLOOKUP('Données projet'!$B$10,Paramètres!$A$1:$I$89,5,0)</f>
        <v>174.71999999999994</v>
      </c>
      <c r="AK60" s="13">
        <f t="shared" si="35"/>
        <v>44.145455754865203</v>
      </c>
      <c r="AL60" s="20">
        <f t="shared" si="4"/>
        <v>381.19066877305676</v>
      </c>
      <c r="AM60" s="59">
        <f t="shared" si="5"/>
        <v>674.52400210639007</v>
      </c>
      <c r="AN60" s="59">
        <f ca="1">AVERAGE(OFFSET($AM$3,0,0,'Données projet'!$E$10+1,1))-AVERAGE(OFFSET($H$3,0,0,'Données projet'!$E$10+1,1))</f>
        <v>197.20006068829753</v>
      </c>
      <c r="AO60" s="59">
        <f t="shared" si="36"/>
        <v>256.52014906581638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52.491998415723671</v>
      </c>
      <c r="AV60" s="21">
        <f>EXP(-LN(2)/25)*AV59+(1-EXP(-LN(2)/25))/(LN(2)/25)*Calculateur!AQ60*Calculateur!AS60*VLOOKUP('Données projet'!$B$10,Paramètres!$A$1:$I$89,3,0)*0.475*44/12</f>
        <v>25.53876226698894</v>
      </c>
      <c r="AW60" s="21">
        <f>EXP(-LN(2)/2)*AW59+(1-EXP(-LN(2)/2))/(LN(2)/2)*AQ60*AT60*VLOOKUP('Données projet'!$B$10,Paramètres!$A$1:$I$89,3,0)*0.475*44/12</f>
        <v>0.94944498314850556</v>
      </c>
      <c r="AX60" s="21">
        <f t="shared" si="6"/>
        <v>78.980205665861121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>
        <f>BD60*VLOOKUP('Données projet'!$B$11,Paramètres!$A$1:$I$89,3,0)*VLOOKUP('Données projet'!$B$11,Paramètres!$A$1:$I$89,5,0)</f>
        <v>0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102.76553481871144</v>
      </c>
      <c r="BJ60" s="59">
        <f t="shared" si="38"/>
        <v>345.99919346320343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22.703787866291286</v>
      </c>
      <c r="BQ60" s="21">
        <f>EXP(-LN(2)/25)*BQ59+(1-EXP(-LN(2)/25))/(LN(2)/25)*Calculateur!BL60*Calculateur!BN60*VLOOKUP('Données projet'!$B$11,Paramètres!$A$1:$I$89,3,0)*0.475*44/12</f>
        <v>7.2445597895923788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29.948347655883666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17</v>
      </c>
      <c r="N61" s="13">
        <f>IF('Données projet'!$A$36&gt;35,N60+M61-V60,IF(A61&lt;'Données projet'!$A$36,$K$205^A61,IF(A61='Données projet'!$A$36,'Données projet'!$B$36,N60+M61-V60)))</f>
        <v>683.99999999999989</v>
      </c>
      <c r="O61" s="13">
        <f>N61*VLOOKUP('Données projet'!$B$9,Paramètres!$A$1:$I$89,3,0)*VLOOKUP('Données projet'!$B$9,Paramètres!$A$1:$I$89,5,0)</f>
        <v>382.35599999999994</v>
      </c>
      <c r="P61" s="13">
        <f t="shared" si="33"/>
        <v>88.190277629826127</v>
      </c>
      <c r="Q61" s="20">
        <f t="shared" si="53"/>
        <v>819.534766871947</v>
      </c>
      <c r="R61" s="59">
        <f t="shared" si="0"/>
        <v>1112.8681002052804</v>
      </c>
      <c r="S61" s="59">
        <f ca="1">AVERAGE(OFFSET($R$3,0,0,'Données projet'!$E$9+1,1))-AVERAGE(OFFSET($H$3,0,0,'Données projet'!$E$9+1,1))</f>
        <v>410.32666742287449</v>
      </c>
      <c r="T61" s="59">
        <f t="shared" si="34"/>
        <v>494.36941732405256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64.111192540835972</v>
      </c>
      <c r="AA61" s="21">
        <f>EXP(-LN(2)/25)*AA60+(1-EXP(-LN(2)/25))/(LN(2)/25)*Calculateur!V61*Calculateur!X61*VLOOKUP('Données projet'!$B$9,Paramètres!$A$1:$I$89,3,0)*0.475*44/12</f>
        <v>26.330214261908704</v>
      </c>
      <c r="AB61" s="21">
        <f>EXP(-LN(2)/2)*AB60+(1-EXP(-LN(2)/2))/(LN(2)/2)*V61*Y61*VLOOKUP('Données projet'!$B$9,Paramètres!$A$1:$I$89,3,0)*0.475*44/12</f>
        <v>1.2914465972132356</v>
      </c>
      <c r="AC61" s="22">
        <f t="shared" si="3"/>
        <v>91.732853399957918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9.3333333333333339</v>
      </c>
      <c r="AI61" s="13">
        <f>IF('Données projet'!$A$62&gt;35,AI60+AH61-AQ60,IF(A61&lt;'Données projet'!$A$62,$AF$205^A61,IF(A61='Données projet'!$A$62,'Données projet'!$B$62,AI60+AH61-AQ60)))</f>
        <v>289.3333333333332</v>
      </c>
      <c r="AJ61" s="13">
        <f>AI61*VLOOKUP('Données projet'!$B$10,Paramètres!$A$1:$I$89,3,0)*VLOOKUP('Données projet'!$B$10,Paramètres!$A$1:$I$89,5,0)</f>
        <v>180.54399999999993</v>
      </c>
      <c r="AK61" s="13">
        <f t="shared" si="35"/>
        <v>45.443194879496723</v>
      </c>
      <c r="AL61" s="20">
        <f t="shared" si="4"/>
        <v>393.59436441512338</v>
      </c>
      <c r="AM61" s="59">
        <f t="shared" si="5"/>
        <v>686.92769774845669</v>
      </c>
      <c r="AN61" s="59">
        <f ca="1">AVERAGE(OFFSET($AM$3,0,0,'Données projet'!$E$10+1,1))-AVERAGE(OFFSET($H$3,0,0,'Données projet'!$E$10+1,1))</f>
        <v>197.20006068829753</v>
      </c>
      <c r="AO61" s="59">
        <f t="shared" si="36"/>
        <v>256.52014906581638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51.462662343748953</v>
      </c>
      <c r="AV61" s="21">
        <f>EXP(-LN(2)/25)*AV60+(1-EXP(-LN(2)/25))/(LN(2)/25)*Calculateur!AQ61*Calculateur!AS61*VLOOKUP('Données projet'!$B$10,Paramètres!$A$1:$I$89,3,0)*0.475*44/12</f>
        <v>24.840403469772991</v>
      </c>
      <c r="AW61" s="21">
        <f>EXP(-LN(2)/2)*AW60+(1-EXP(-LN(2)/2))/(LN(2)/2)*AQ61*AT61*VLOOKUP('Données projet'!$B$10,Paramètres!$A$1:$I$89,3,0)*0.475*44/12</f>
        <v>0.6713589859478557</v>
      </c>
      <c r="AX61" s="21">
        <f t="shared" si="6"/>
        <v>76.974424799469801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>
        <f>BD61*VLOOKUP('Données projet'!$B$11,Paramètres!$A$1:$I$89,3,0)*VLOOKUP('Données projet'!$B$11,Paramètres!$A$1:$I$89,5,0)</f>
        <v>0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102.76553481871144</v>
      </c>
      <c r="BJ61" s="59">
        <f t="shared" si="38"/>
        <v>345.99919346320343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22.25858043417654</v>
      </c>
      <c r="BQ61" s="21">
        <f>EXP(-LN(2)/25)*BQ60+(1-EXP(-LN(2)/25))/(LN(2)/25)*Calculateur!BL61*Calculateur!BN61*VLOOKUP('Données projet'!$B$11,Paramètres!$A$1:$I$89,3,0)*0.475*44/12</f>
        <v>7.0464569211711332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29.305037355347672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17</v>
      </c>
      <c r="N62" s="13">
        <f>IF('Données projet'!$A$36&gt;35,N61+M62-V61,IF(A62&lt;'Données projet'!$A$36,$K$205^A62,IF(A62='Données projet'!$A$36,'Données projet'!$B$36,N61+M62-V61)))</f>
        <v>700.99999999999989</v>
      </c>
      <c r="O62" s="13">
        <f>N62*VLOOKUP('Données projet'!$B$9,Paramètres!$A$1:$I$89,3,0)*VLOOKUP('Données projet'!$B$9,Paramètres!$A$1:$I$89,5,0)</f>
        <v>391.85899999999992</v>
      </c>
      <c r="P62" s="13">
        <f t="shared" si="33"/>
        <v>90.124232440176513</v>
      </c>
      <c r="Q62" s="20">
        <f t="shared" si="53"/>
        <v>839.45412983330732</v>
      </c>
      <c r="R62" s="59">
        <f t="shared" si="0"/>
        <v>1132.7874631666407</v>
      </c>
      <c r="S62" s="59">
        <f ca="1">AVERAGE(OFFSET($R$3,0,0,'Données projet'!$E$9+1,1))-AVERAGE(OFFSET($H$3,0,0,'Données projet'!$E$9+1,1))</f>
        <v>410.32666742287449</v>
      </c>
      <c r="T62" s="59">
        <f t="shared" si="34"/>
        <v>494.36941732405256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62.854011159076435</v>
      </c>
      <c r="AA62" s="21">
        <f>EXP(-LN(2)/25)*AA61+(1-EXP(-LN(2)/25))/(LN(2)/25)*Calculateur!V62*Calculateur!X62*VLOOKUP('Données projet'!$B$9,Paramètres!$A$1:$I$89,3,0)*0.475*44/12</f>
        <v>25.61021316827102</v>
      </c>
      <c r="AB62" s="21">
        <f>EXP(-LN(2)/2)*AB61+(1-EXP(-LN(2)/2))/(LN(2)/2)*V62*Y62*VLOOKUP('Données projet'!$B$9,Paramètres!$A$1:$I$89,3,0)*0.475*44/12</f>
        <v>0.91319064642977088</v>
      </c>
      <c r="AC62" s="22">
        <f t="shared" si="3"/>
        <v>89.377414973777221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9.3333333333333339</v>
      </c>
      <c r="AI62" s="13">
        <f>IF('Données projet'!$A$62&gt;35,AI61+AH62-AQ61,IF(A62&lt;'Données projet'!$A$62,$AF$205^A62,IF(A62='Données projet'!$A$62,'Données projet'!$B$62,AI61+AH62-AQ61)))</f>
        <v>298.66666666666652</v>
      </c>
      <c r="AJ62" s="13">
        <f>AI62*VLOOKUP('Données projet'!$B$10,Paramètres!$A$1:$I$89,3,0)*VLOOKUP('Données projet'!$B$10,Paramètres!$A$1:$I$89,5,0)</f>
        <v>186.36799999999991</v>
      </c>
      <c r="AK62" s="13">
        <f t="shared" si="35"/>
        <v>46.736069448566639</v>
      </c>
      <c r="AL62" s="20">
        <f t="shared" si="4"/>
        <v>405.98958762292006</v>
      </c>
      <c r="AM62" s="59">
        <f t="shared" si="5"/>
        <v>699.32292095625337</v>
      </c>
      <c r="AN62" s="59">
        <f ca="1">AVERAGE(OFFSET($AM$3,0,0,'Données projet'!$E$10+1,1))-AVERAGE(OFFSET($H$3,0,0,'Données projet'!$E$10+1,1))</f>
        <v>197.20006068829753</v>
      </c>
      <c r="AO62" s="59">
        <f t="shared" si="36"/>
        <v>256.52014906581638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50.453510924312646</v>
      </c>
      <c r="AV62" s="21">
        <f>EXP(-LN(2)/25)*AV61+(1-EXP(-LN(2)/25))/(LN(2)/25)*Calculateur!AQ62*Calculateur!AS62*VLOOKUP('Données projet'!$B$10,Paramètres!$A$1:$I$89,3,0)*0.475*44/12</f>
        <v>24.161141330592002</v>
      </c>
      <c r="AW62" s="21">
        <f>EXP(-LN(2)/2)*AW61+(1-EXP(-LN(2)/2))/(LN(2)/2)*AQ62*AT62*VLOOKUP('Données projet'!$B$10,Paramètres!$A$1:$I$89,3,0)*0.475*44/12</f>
        <v>0.47472249157425289</v>
      </c>
      <c r="AX62" s="21">
        <f t="shared" si="6"/>
        <v>75.08937474647891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>
        <f>BD62*VLOOKUP('Données projet'!$B$11,Paramètres!$A$1:$I$89,3,0)*VLOOKUP('Données projet'!$B$11,Paramètres!$A$1:$I$89,5,0)</f>
        <v>0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102.76553481871144</v>
      </c>
      <c r="BJ62" s="59">
        <f t="shared" si="38"/>
        <v>345.99919346320343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21.822103248255846</v>
      </c>
      <c r="BQ62" s="21">
        <f>EXP(-LN(2)/25)*BQ61+(1-EXP(-LN(2)/25))/(LN(2)/25)*Calculateur!BL62*Calculateur!BN62*VLOOKUP('Données projet'!$B$11,Paramètres!$A$1:$I$89,3,0)*0.475*44/12</f>
        <v>6.8537711861046438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28.675874434360491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718</v>
      </c>
      <c r="L63" s="12">
        <f>VLOOKUP(A63,'Données projet'!$A$35:$I$55,9,0)</f>
        <v>17</v>
      </c>
      <c r="M63" s="12">
        <f t="array" ref="M63">INDEX(L:L,MIN(IF(ISNUMBER(L63:L259),ROW(L63:L259),"")))</f>
        <v>17</v>
      </c>
      <c r="N63" s="13">
        <f>IF('Données projet'!$A$36&gt;35,N62+M63-V62,IF(A63&lt;'Données projet'!$A$36,$K$205^A63,IF(A63='Données projet'!$A$36,'Données projet'!$B$36,N62+M63-V62)))</f>
        <v>717.99999999999989</v>
      </c>
      <c r="O63" s="13">
        <f>N63*VLOOKUP('Données projet'!$B$9,Paramètres!$A$1:$I$89,3,0)*VLOOKUP('Données projet'!$B$9,Paramètres!$A$1:$I$89,5,0)</f>
        <v>401.36199999999997</v>
      </c>
      <c r="P63" s="13">
        <f t="shared" si="33"/>
        <v>92.052735168600762</v>
      </c>
      <c r="Q63" s="20">
        <f t="shared" si="53"/>
        <v>859.3639970853128</v>
      </c>
      <c r="R63" s="59">
        <f t="shared" si="0"/>
        <v>1152.6973304186461</v>
      </c>
      <c r="S63" s="59">
        <f ca="1">AVERAGE(OFFSET($R$3,0,0,'Données projet'!$E$9+1,1))-AVERAGE(OFFSET($H$3,0,0,'Données projet'!$E$9+1,1))</f>
        <v>410.32666742287449</v>
      </c>
      <c r="T63" s="59">
        <f t="shared" si="34"/>
        <v>494.36941732405256</v>
      </c>
      <c r="U63" s="15">
        <f>IF(ISNA(VLOOKUP(A63,'Données projet'!$A$35:$I$55,3,0)),0,VLOOKUP(A63,'Données projet'!$A$35:$I$55,3,0))</f>
        <v>10</v>
      </c>
      <c r="V63" s="15">
        <f>IF(ISNA(VLOOKUP(A63,'Données projet'!$A$35:$I$55,4,0)),0,VLOOKUP(A63,'Données projet'!$A$35:$I$55,4,0))</f>
        <v>718</v>
      </c>
      <c r="W63" s="16">
        <f>IF(ISNA(VLOOKUP(A63,'Données projet'!$A$35:$I$55,5,0)),0%,VLOOKUP(A63,'Données projet'!$A$35:$I$55,5,0)*VLOOKUP('Données projet'!$B$9,Paramètres!$A$1:$I$89,7,0))</f>
        <v>0.44000000000000006</v>
      </c>
      <c r="X63" s="16">
        <f>IF(ISNA(VLOOKUP(A63,'Données projet'!$A$35:$I$55,6,0)),0%,VLOOKUP(A63,'Données projet'!$A$35:$I$55,6,0)*VLOOKUP('Données projet'!$B$9,Paramètres!$A$1:$I$89,7,0))</f>
        <v>6.0500000000000005E-2</v>
      </c>
      <c r="Y63" s="16">
        <f>IF(ISNA(VLOOKUP(A63,'Données projet'!$A$35:$I$55,7,0)),0%,VLOOKUP(A63,'Données projet'!$A$35:$I$55,7,0))</f>
        <v>0.09</v>
      </c>
      <c r="Z63" s="21">
        <f>EXP(-LN(2)/35)*Z62+(1-EXP(-LN(2)/35))/(LN(2)/35)*V63*W63*VLOOKUP('Données projet'!$B$9,Paramètres!$A$1:$I$89,3,0)*0.475*44/12</f>
        <v>295.89181004162316</v>
      </c>
      <c r="AA63" s="21">
        <f>EXP(-LN(2)/25)*AA62+(1-EXP(-LN(2)/25))/(LN(2)/25)*Calculateur!V63*Calculateur!X63*VLOOKUP('Données projet'!$B$9,Paramètres!$A$1:$I$89,3,0)*0.475*44/12</f>
        <v>56.995239014409002</v>
      </c>
      <c r="AB63" s="21">
        <f>EXP(-LN(2)/2)*AB62+(1-EXP(-LN(2)/2))/(LN(2)/2)*V63*Y63*VLOOKUP('Données projet'!$B$9,Paramètres!$A$1:$I$89,3,0)*0.475*44/12</f>
        <v>41.544875044590185</v>
      </c>
      <c r="AC63" s="22">
        <f t="shared" si="3"/>
        <v>394.43192410062233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308</v>
      </c>
      <c r="AG63" s="12">
        <f>VLOOKUP(A63,'Données projet'!$A$61:$I$81,9,0)</f>
        <v>9.3333333333333339</v>
      </c>
      <c r="AH63" s="12">
        <f t="array" ref="AH63">INDEX(AG:AG,MIN(IF(ISNUMBER(AG63:AG259),ROW(AG63:AG259),"")))</f>
        <v>9.3333333333333339</v>
      </c>
      <c r="AI63" s="13">
        <f>IF('Données projet'!$A$62&gt;35,AI62+AH63-AQ62,IF(A63&lt;'Données projet'!$A$62,$AF$205^A63,IF(A63='Données projet'!$A$62,'Données projet'!$B$62,AI62+AH63-AQ62)))</f>
        <v>307.99999999999983</v>
      </c>
      <c r="AJ63" s="13">
        <f>AI63*VLOOKUP('Données projet'!$B$10,Paramètres!$A$1:$I$89,3,0)*VLOOKUP('Données projet'!$B$10,Paramètres!$A$1:$I$89,5,0)</f>
        <v>192.19199999999989</v>
      </c>
      <c r="AK63" s="13">
        <f t="shared" si="35"/>
        <v>48.024248921932397</v>
      </c>
      <c r="AL63" s="20">
        <f t="shared" si="4"/>
        <v>418.37663353903207</v>
      </c>
      <c r="AM63" s="59">
        <f t="shared" si="5"/>
        <v>711.70996687236538</v>
      </c>
      <c r="AN63" s="59">
        <f ca="1">AVERAGE(OFFSET($AM$3,0,0,'Données projet'!$E$10+1,1))-AVERAGE(OFFSET($H$3,0,0,'Données projet'!$E$10+1,1))</f>
        <v>197.20006068829753</v>
      </c>
      <c r="AO63" s="59">
        <f t="shared" si="36"/>
        <v>256.52014906581638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308</v>
      </c>
      <c r="AR63" s="16">
        <f>IF(ISNA(VLOOKUP(A63,'Données projet'!$A$61:$I$81,5,0)),0%,VLOOKUP(A63,'Données projet'!$A$61:$I$81,5,0)*VLOOKUP('Données projet'!$B$10,Paramètres!$A$1:$I$89,7,0))</f>
        <v>0.48</v>
      </c>
      <c r="AS63" s="16">
        <f>IF(ISNA(VLOOKUP(A63,'Données projet'!$A$61:$I$81,6,0)),0%,VLOOKUP(A63,'Données projet'!$A$61:$I$81,6,0)*VLOOKUP('Données projet'!$B$10,Paramètres!$A$1:$I$89,7,0))</f>
        <v>6.6000000000000003E-2</v>
      </c>
      <c r="AT63" s="16">
        <f>IF(ISNA(VLOOKUP(A63,'Données projet'!$A$61:$I$81,7,0)),0%,VLOOKUP(A63,'Données projet'!$A$61:$I$81,7,0))</f>
        <v>0.09</v>
      </c>
      <c r="AU63" s="21">
        <f>EXP(-LN(2)/35)*AU62+(1-EXP(-LN(2)/35))/(LN(2)/35)*AQ63*AR63*VLOOKUP('Données projet'!$B$10,Paramètres!$A$1:$I$89,3,0)*0.475*44/12</f>
        <v>171.84258474221122</v>
      </c>
      <c r="AV63" s="21">
        <f>EXP(-LN(2)/25)*AV62+(1-EXP(-LN(2)/25))/(LN(2)/25)*Calculateur!AQ63*Calculateur!AS63*VLOOKUP('Données projet'!$B$10,Paramètres!$A$1:$I$89,3,0)*0.475*44/12</f>
        <v>40.261234206022777</v>
      </c>
      <c r="AW63" s="21">
        <f>EXP(-LN(2)/2)*AW62+(1-EXP(-LN(2)/2))/(LN(2)/2)*AQ63*AT63*VLOOKUP('Données projet'!$B$10,Paramètres!$A$1:$I$89,3,0)*0.475*44/12</f>
        <v>19.920218568332515</v>
      </c>
      <c r="AX63" s="21">
        <f t="shared" si="6"/>
        <v>232.02403751656652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>
        <f>BD63*VLOOKUP('Données projet'!$B$11,Paramètres!$A$1:$I$89,3,0)*VLOOKUP('Données projet'!$B$11,Paramètres!$A$1:$I$89,5,0)</f>
        <v>0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102.76553481871144</v>
      </c>
      <c r="BJ63" s="59">
        <f t="shared" si="38"/>
        <v>345.99919346320343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21.394185113726262</v>
      </c>
      <c r="BQ63" s="21">
        <f>EXP(-LN(2)/25)*BQ62+(1-EXP(-LN(2)/25))/(LN(2)/25)*Calculateur!BL63*Calculateur!BN63*VLOOKUP('Données projet'!$B$11,Paramètres!$A$1:$I$89,3,0)*0.475*44/12</f>
        <v>6.6663544525964502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28.060539566322714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-1.1368683772161603E-13</v>
      </c>
      <c r="O64" s="13">
        <f>N64*VLOOKUP('Données projet'!$B$9,Paramètres!$A$1:$I$89,3,0)*VLOOKUP('Données projet'!$B$9,Paramètres!$A$1:$I$89,5,0)</f>
        <v>-6.3550942286383367E-14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410.32666742287449</v>
      </c>
      <c r="T64" s="59">
        <f t="shared" si="34"/>
        <v>494.36941732405256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290.0895521228905</v>
      </c>
      <c r="AA64" s="21">
        <f>EXP(-LN(2)/25)*AA63+(1-EXP(-LN(2)/25))/(LN(2)/25)*Calculateur!V64*Calculateur!X64*VLOOKUP('Données projet'!$B$9,Paramètres!$A$1:$I$89,3,0)*0.475*44/12</f>
        <v>55.43670120631063</v>
      </c>
      <c r="AB64" s="21">
        <f>EXP(-LN(2)/2)*AB63+(1-EXP(-LN(2)/2))/(LN(2)/2)*V64*Y64*VLOOKUP('Données projet'!$B$9,Paramètres!$A$1:$I$89,3,0)*0.475*44/12</f>
        <v>29.376662867577494</v>
      </c>
      <c r="AC64" s="22">
        <f t="shared" si="3"/>
        <v>374.90291619677862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-1.7053025658242404E-13</v>
      </c>
      <c r="AJ64" s="13">
        <f>AI64*VLOOKUP('Données projet'!$B$10,Paramètres!$A$1:$I$89,3,0)*VLOOKUP('Données projet'!$B$10,Paramètres!$A$1:$I$89,5,0)</f>
        <v>-1.064108801074326E-13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197.20006068829753</v>
      </c>
      <c r="AO64" s="59">
        <f t="shared" si="36"/>
        <v>256.52014906581638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168.47285646904365</v>
      </c>
      <c r="AV64" s="21">
        <f>EXP(-LN(2)/25)*AV63+(1-EXP(-LN(2)/25))/(LN(2)/25)*Calculateur!AQ64*Calculateur!AS64*VLOOKUP('Données projet'!$B$10,Paramètres!$A$1:$I$89,3,0)*0.475*44/12</f>
        <v>39.160288639412798</v>
      </c>
      <c r="AW64" s="21">
        <f>EXP(-LN(2)/2)*AW63+(1-EXP(-LN(2)/2))/(LN(2)/2)*AQ64*AT64*VLOOKUP('Données projet'!$B$10,Paramètres!$A$1:$I$89,3,0)*0.475*44/12</f>
        <v>14.085721632386102</v>
      </c>
      <c r="AX64" s="21">
        <f t="shared" si="6"/>
        <v>221.71886674084257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>
        <f>BD64*VLOOKUP('Données projet'!$B$11,Paramètres!$A$1:$I$89,3,0)*VLOOKUP('Données projet'!$B$11,Paramètres!$A$1:$I$89,5,0)</f>
        <v>0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102.76553481871144</v>
      </c>
      <c r="BJ64" s="59">
        <f t="shared" si="38"/>
        <v>345.99919346320343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20.974658192810512</v>
      </c>
      <c r="BQ64" s="21">
        <f>EXP(-LN(2)/25)*BQ63+(1-EXP(-LN(2)/25))/(LN(2)/25)*Calculateur!BL64*Calculateur!BN64*VLOOKUP('Données projet'!$B$11,Paramètres!$A$1:$I$89,3,0)*0.475*44/12</f>
        <v>6.4840626395218557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27.458720832332368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-1.1368683772161603E-13</v>
      </c>
      <c r="O65" s="13">
        <f>N65*VLOOKUP('Données projet'!$B$9,Paramètres!$A$1:$I$89,3,0)*VLOOKUP('Données projet'!$B$9,Paramètres!$A$1:$I$89,5,0)</f>
        <v>-6.3550942286383367E-14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410.32666742287449</v>
      </c>
      <c r="T65" s="59">
        <f t="shared" si="34"/>
        <v>494.36941732405256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284.4010729429163</v>
      </c>
      <c r="AA65" s="21">
        <f>EXP(-LN(2)/25)*AA64+(1-EXP(-LN(2)/25))/(LN(2)/25)*Calculateur!V65*Calculateur!X65*VLOOKUP('Données projet'!$B$9,Paramètres!$A$1:$I$89,3,0)*0.475*44/12</f>
        <v>53.920781696534654</v>
      </c>
      <c r="AB65" s="21">
        <f>EXP(-LN(2)/2)*AB64+(1-EXP(-LN(2)/2))/(LN(2)/2)*V65*Y65*VLOOKUP('Données projet'!$B$9,Paramètres!$A$1:$I$89,3,0)*0.475*44/12</f>
        <v>20.772437522295096</v>
      </c>
      <c r="AC65" s="22">
        <f t="shared" si="3"/>
        <v>359.09429216174607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-1.7053025658242404E-13</v>
      </c>
      <c r="AJ65" s="13">
        <f>AI65*VLOOKUP('Données projet'!$B$10,Paramètres!$A$1:$I$89,3,0)*VLOOKUP('Données projet'!$B$10,Paramètres!$A$1:$I$89,5,0)</f>
        <v>-1.064108801074326E-13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197.20006068829753</v>
      </c>
      <c r="AO65" s="59">
        <f t="shared" si="36"/>
        <v>256.52014906581638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165.1692065119816</v>
      </c>
      <c r="AV65" s="21">
        <f>EXP(-LN(2)/25)*AV64+(1-EXP(-LN(2)/25))/(LN(2)/25)*Calculateur!AQ65*Calculateur!AS65*VLOOKUP('Données projet'!$B$10,Paramètres!$A$1:$I$89,3,0)*0.475*44/12</f>
        <v>38.089448487217979</v>
      </c>
      <c r="AW65" s="21">
        <f>EXP(-LN(2)/2)*AW64+(1-EXP(-LN(2)/2))/(LN(2)/2)*AQ65*AT65*VLOOKUP('Données projet'!$B$10,Paramètres!$A$1:$I$89,3,0)*0.475*44/12</f>
        <v>9.9601092841662595</v>
      </c>
      <c r="AX65" s="21">
        <f t="shared" si="6"/>
        <v>213.21876428336583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>
        <f>BD65*VLOOKUP('Données projet'!$B$11,Paramètres!$A$1:$I$89,3,0)*VLOOKUP('Données projet'!$B$11,Paramètres!$A$1:$I$89,5,0)</f>
        <v>0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102.76553481871144</v>
      </c>
      <c r="BJ65" s="59">
        <f t="shared" si="38"/>
        <v>345.99919346320343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20.563357938927766</v>
      </c>
      <c r="BQ65" s="21">
        <f>EXP(-LN(2)/25)*BQ64+(1-EXP(-LN(2)/25))/(LN(2)/25)*Calculateur!BL65*Calculateur!BN65*VLOOKUP('Données projet'!$B$11,Paramètres!$A$1:$I$89,3,0)*0.475*44/12</f>
        <v>6.3067556056620955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26.870113544589863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-1.1368683772161603E-13</v>
      </c>
      <c r="O66" s="13">
        <f>N66*VLOOKUP('Données projet'!$B$9,Paramètres!$A$1:$I$89,3,0)*VLOOKUP('Données projet'!$B$9,Paramètres!$A$1:$I$89,5,0)</f>
        <v>-6.3550942286383367E-14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410.32666742287449</v>
      </c>
      <c r="T66" s="59">
        <f t="shared" si="34"/>
        <v>494.36941732405256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278.82414137003173</v>
      </c>
      <c r="AA66" s="21">
        <f>EXP(-LN(2)/25)*AA65+(1-EXP(-LN(2)/25))/(LN(2)/25)*Calculateur!V66*Calculateur!X66*VLOOKUP('Données projet'!$B$9,Paramètres!$A$1:$I$89,3,0)*0.475*44/12</f>
        <v>52.446315085472243</v>
      </c>
      <c r="AB66" s="21">
        <f>EXP(-LN(2)/2)*AB65+(1-EXP(-LN(2)/2))/(LN(2)/2)*V66*Y66*VLOOKUP('Données projet'!$B$9,Paramètres!$A$1:$I$89,3,0)*0.475*44/12</f>
        <v>14.688331433788749</v>
      </c>
      <c r="AC66" s="22">
        <f t="shared" si="3"/>
        <v>345.95878788929269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-1.7053025658242404E-13</v>
      </c>
      <c r="AJ66" s="13">
        <f>AI66*VLOOKUP('Données projet'!$B$10,Paramètres!$A$1:$I$89,3,0)*VLOOKUP('Données projet'!$B$10,Paramètres!$A$1:$I$89,5,0)</f>
        <v>-1.064108801074326E-13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197.20006068829753</v>
      </c>
      <c r="AO66" s="59">
        <f t="shared" si="36"/>
        <v>256.52014906581638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161.93033911555005</v>
      </c>
      <c r="AV66" s="21">
        <f>EXP(-LN(2)/25)*AV65+(1-EXP(-LN(2)/25))/(LN(2)/25)*Calculateur!AQ66*Calculateur!AS66*VLOOKUP('Données projet'!$B$10,Paramètres!$A$1:$I$89,3,0)*0.475*44/12</f>
        <v>37.047890515297965</v>
      </c>
      <c r="AW66" s="21">
        <f>EXP(-LN(2)/2)*AW65+(1-EXP(-LN(2)/2))/(LN(2)/2)*AQ66*AT66*VLOOKUP('Données projet'!$B$10,Paramètres!$A$1:$I$89,3,0)*0.475*44/12</f>
        <v>7.0428608161930519</v>
      </c>
      <c r="AX66" s="21">
        <f t="shared" si="6"/>
        <v>206.02109044704108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>
        <f>BD66*VLOOKUP('Données projet'!$B$11,Paramètres!$A$1:$I$89,3,0)*VLOOKUP('Données projet'!$B$11,Paramètres!$A$1:$I$89,5,0)</f>
        <v>0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102.76553481871144</v>
      </c>
      <c r="BJ66" s="59">
        <f t="shared" si="38"/>
        <v>345.99919346320343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20.160123032155276</v>
      </c>
      <c r="BQ66" s="21">
        <f>EXP(-LN(2)/25)*BQ65+(1-EXP(-LN(2)/25))/(LN(2)/25)*Calculateur!BL66*Calculateur!BN66*VLOOKUP('Données projet'!$B$11,Paramètres!$A$1:$I$89,3,0)*0.475*44/12</f>
        <v>6.1342970419674021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26.294420074122677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-1.1368683772161603E-13</v>
      </c>
      <c r="O67" s="13">
        <f>N67*VLOOKUP('Données projet'!$B$9,Paramètres!$A$1:$I$89,3,0)*VLOOKUP('Données projet'!$B$9,Paramètres!$A$1:$I$89,5,0)</f>
        <v>-6.3550942286383367E-14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410.32666742287449</v>
      </c>
      <c r="T67" s="59">
        <f t="shared" si="34"/>
        <v>494.36941732405256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273.35657002369902</v>
      </c>
      <c r="AA67" s="21">
        <f>EXP(-LN(2)/25)*AA66+(1-EXP(-LN(2)/25))/(LN(2)/25)*Calculateur!V67*Calculateur!X67*VLOOKUP('Données projet'!$B$9,Paramètres!$A$1:$I$89,3,0)*0.475*44/12</f>
        <v>51.012167841428159</v>
      </c>
      <c r="AB67" s="21">
        <f>EXP(-LN(2)/2)*AB66+(1-EXP(-LN(2)/2))/(LN(2)/2)*V67*Y67*VLOOKUP('Données projet'!$B$9,Paramètres!$A$1:$I$89,3,0)*0.475*44/12</f>
        <v>10.38621876114755</v>
      </c>
      <c r="AC67" s="22">
        <f t="shared" si="3"/>
        <v>334.75495662627475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-1.7053025658242404E-13</v>
      </c>
      <c r="AJ67" s="13">
        <f>AI67*VLOOKUP('Données projet'!$B$10,Paramètres!$A$1:$I$89,3,0)*VLOOKUP('Données projet'!$B$10,Paramètres!$A$1:$I$89,5,0)</f>
        <v>-1.064108801074326E-13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197.20006068829753</v>
      </c>
      <c r="AO67" s="59">
        <f t="shared" si="36"/>
        <v>256.52014906581638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158.75498393324847</v>
      </c>
      <c r="AV67" s="21">
        <f>EXP(-LN(2)/25)*AV66+(1-EXP(-LN(2)/25))/(LN(2)/25)*Calculateur!AQ67*Calculateur!AS67*VLOOKUP('Données projet'!$B$10,Paramètres!$A$1:$I$89,3,0)*0.475*44/12</f>
        <v>36.034814000893256</v>
      </c>
      <c r="AW67" s="21">
        <f>EXP(-LN(2)/2)*AW66+(1-EXP(-LN(2)/2))/(LN(2)/2)*AQ67*AT67*VLOOKUP('Données projet'!$B$10,Paramètres!$A$1:$I$89,3,0)*0.475*44/12</f>
        <v>4.9800546420831306</v>
      </c>
      <c r="AX67" s="21">
        <f t="shared" si="6"/>
        <v>199.76985257622485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>
        <f>BD67*VLOOKUP('Données projet'!$B$11,Paramètres!$A$1:$I$89,3,0)*VLOOKUP('Données projet'!$B$11,Paramètres!$A$1:$I$89,5,0)</f>
        <v>0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102.76553481871144</v>
      </c>
      <c r="BJ67" s="59">
        <f t="shared" si="38"/>
        <v>345.99919346320343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19.764795315955585</v>
      </c>
      <c r="BQ67" s="21">
        <f>EXP(-LN(2)/25)*BQ66+(1-EXP(-LN(2)/25))/(LN(2)/25)*Calculateur!BL67*Calculateur!BN67*VLOOKUP('Données projet'!$B$11,Paramètres!$A$1:$I$89,3,0)*0.475*44/12</f>
        <v>5.9665543667661423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25.731349682721728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-1.1368683772161603E-13</v>
      </c>
      <c r="O68" s="13">
        <f>N68*VLOOKUP('Données projet'!$B$9,Paramètres!$A$1:$I$89,3,0)*VLOOKUP('Données projet'!$B$9,Paramètres!$A$1:$I$89,5,0)</f>
        <v>-6.3550942286383367E-14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410.32666742287449</v>
      </c>
      <c r="T68" s="59">
        <f t="shared" si="34"/>
        <v>494.36941732405256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267.99621441657865</v>
      </c>
      <c r="AA68" s="21">
        <f>EXP(-LN(2)/25)*AA67+(1-EXP(-LN(2)/25))/(LN(2)/25)*Calculateur!V68*Calculateur!X68*VLOOKUP('Données projet'!$B$9,Paramètres!$A$1:$I$89,3,0)*0.475*44/12</f>
        <v>49.617237429190986</v>
      </c>
      <c r="AB68" s="21">
        <f>EXP(-LN(2)/2)*AB67+(1-EXP(-LN(2)/2))/(LN(2)/2)*V68*Y68*VLOOKUP('Données projet'!$B$9,Paramètres!$A$1:$I$89,3,0)*0.475*44/12</f>
        <v>7.3441657168943761</v>
      </c>
      <c r="AC68" s="22">
        <f t="shared" ref="AC68:AC131" si="57">SUM(Z68:AB68)</f>
        <v>324.95761756266404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-1.7053025658242404E-13</v>
      </c>
      <c r="AJ68" s="13">
        <f>AI68*VLOOKUP('Données projet'!$B$10,Paramètres!$A$1:$I$89,3,0)*VLOOKUP('Données projet'!$B$10,Paramètres!$A$1:$I$89,5,0)</f>
        <v>-1.064108801074326E-13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197.20006068829753</v>
      </c>
      <c r="AO68" s="59">
        <f t="shared" si="36"/>
        <v>256.52014906581638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155.64189552929639</v>
      </c>
      <c r="AV68" s="21">
        <f>EXP(-LN(2)/25)*AV67+(1-EXP(-LN(2)/25))/(LN(2)/25)*Calculateur!AQ68*Calculateur!AS68*VLOOKUP('Données projet'!$B$10,Paramètres!$A$1:$I$89,3,0)*0.475*44/12</f>
        <v>35.049440117050324</v>
      </c>
      <c r="AW68" s="21">
        <f>EXP(-LN(2)/2)*AW67+(1-EXP(-LN(2)/2))/(LN(2)/2)*AQ68*AT68*VLOOKUP('Données projet'!$B$10,Paramètres!$A$1:$I$89,3,0)*0.475*44/12</f>
        <v>3.5214304080965269</v>
      </c>
      <c r="AX68" s="21">
        <f t="shared" ref="AX68:AX131" si="60">SUM(AU68:AW68)</f>
        <v>194.21276605444325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>
        <f>BD68*VLOOKUP('Données projet'!$B$11,Paramètres!$A$1:$I$89,3,0)*VLOOKUP('Données projet'!$B$11,Paramètres!$A$1:$I$89,5,0)</f>
        <v>0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102.76553481871144</v>
      </c>
      <c r="BJ68" s="59">
        <f t="shared" si="38"/>
        <v>345.99919346320343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19.377219735144472</v>
      </c>
      <c r="BQ68" s="21">
        <f>EXP(-LN(2)/25)*BQ67+(1-EXP(-LN(2)/25))/(LN(2)/25)*Calculateur!BL68*Calculateur!BN68*VLOOKUP('Données projet'!$B$11,Paramètres!$A$1:$I$89,3,0)*0.475*44/12</f>
        <v>5.803398623839465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25.180618358983935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-1.1368683772161603E-13</v>
      </c>
      <c r="O69" s="13">
        <f>N69*VLOOKUP('Données projet'!$B$9,Paramètres!$A$1:$I$89,3,0)*VLOOKUP('Données projet'!$B$9,Paramètres!$A$1:$I$89,5,0)</f>
        <v>-6.3550942286383367E-14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410.32666742287449</v>
      </c>
      <c r="T69" s="59">
        <f t="shared" ref="T69:T132" si="88">$T$3</f>
        <v>494.36941732405256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262.74097211341984</v>
      </c>
      <c r="AA69" s="21">
        <f>EXP(-LN(2)/25)*AA68+(1-EXP(-LN(2)/25))/(LN(2)/25)*Calculateur!V69*Calculateur!X69*VLOOKUP('Données projet'!$B$9,Paramètres!$A$1:$I$89,3,0)*0.475*44/12</f>
        <v>48.260451462432641</v>
      </c>
      <c r="AB69" s="21">
        <f>EXP(-LN(2)/2)*AB68+(1-EXP(-LN(2)/2))/(LN(2)/2)*V69*Y69*VLOOKUP('Données projet'!$B$9,Paramètres!$A$1:$I$89,3,0)*0.475*44/12</f>
        <v>5.1931093805737758</v>
      </c>
      <c r="AC69" s="22">
        <f t="shared" si="57"/>
        <v>316.19453295642626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-1.7053025658242404E-13</v>
      </c>
      <c r="AJ69" s="13">
        <f>AI69*VLOOKUP('Données projet'!$B$10,Paramètres!$A$1:$I$89,3,0)*VLOOKUP('Données projet'!$B$10,Paramètres!$A$1:$I$89,5,0)</f>
        <v>-1.064108801074326E-13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197.20006068829753</v>
      </c>
      <c r="AO69" s="59">
        <f t="shared" ref="AO69:AO132" si="90">$AO$3</f>
        <v>256.52014906581638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152.58985289014939</v>
      </c>
      <c r="AV69" s="21">
        <f>EXP(-LN(2)/25)*AV68+(1-EXP(-LN(2)/25))/(LN(2)/25)*Calculateur!AQ69*Calculateur!AS69*VLOOKUP('Données projet'!$B$10,Paramètres!$A$1:$I$89,3,0)*0.475*44/12</f>
        <v>34.091011333879635</v>
      </c>
      <c r="AW69" s="21">
        <f>EXP(-LN(2)/2)*AW68+(1-EXP(-LN(2)/2))/(LN(2)/2)*AQ69*AT69*VLOOKUP('Données projet'!$B$10,Paramètres!$A$1:$I$89,3,0)*0.475*44/12</f>
        <v>2.4900273210415658</v>
      </c>
      <c r="AX69" s="21">
        <f t="shared" si="60"/>
        <v>189.17089154507059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>
        <f>BD69*VLOOKUP('Données projet'!$B$11,Paramètres!$A$1:$I$89,3,0)*VLOOKUP('Données projet'!$B$11,Paramètres!$A$1:$I$89,5,0)</f>
        <v>0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102.76553481871144</v>
      </c>
      <c r="BJ69" s="59">
        <f t="shared" ref="BJ69:BJ132" si="92">$BJ$3</f>
        <v>345.99919346320343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18.997244275075303</v>
      </c>
      <c r="BQ69" s="21">
        <f>EXP(-LN(2)/25)*BQ68+(1-EXP(-LN(2)/25))/(LN(2)/25)*Calculateur!BL69*Calculateur!BN69*VLOOKUP('Données projet'!$B$11,Paramètres!$A$1:$I$89,3,0)*0.475*44/12</f>
        <v>5.6447043832831048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24.641948658358409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-1.1368683772161603E-13</v>
      </c>
      <c r="O70" s="13">
        <f>N70*VLOOKUP('Données projet'!$B$9,Paramètres!$A$1:$I$89,3,0)*VLOOKUP('Données projet'!$B$9,Paramètres!$A$1:$I$89,5,0)</f>
        <v>-6.3550942286383367E-14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410.32666742287449</v>
      </c>
      <c r="T70" s="59">
        <f t="shared" si="88"/>
        <v>494.36941732405256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257.58878190644469</v>
      </c>
      <c r="AA70" s="21">
        <f>EXP(-LN(2)/25)*AA69+(1-EXP(-LN(2)/25))/(LN(2)/25)*Calculateur!V70*Calculateur!X70*VLOOKUP('Données projet'!$B$9,Paramètres!$A$1:$I$89,3,0)*0.475*44/12</f>
        <v>46.940766879285576</v>
      </c>
      <c r="AB70" s="21">
        <f>EXP(-LN(2)/2)*AB69+(1-EXP(-LN(2)/2))/(LN(2)/2)*V70*Y70*VLOOKUP('Données projet'!$B$9,Paramètres!$A$1:$I$89,3,0)*0.475*44/12</f>
        <v>3.6720828584471885</v>
      </c>
      <c r="AC70" s="22">
        <f t="shared" si="57"/>
        <v>308.2016316441775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-1.7053025658242404E-13</v>
      </c>
      <c r="AJ70" s="13">
        <f>AI70*VLOOKUP('Données projet'!$B$10,Paramètres!$A$1:$I$89,3,0)*VLOOKUP('Données projet'!$B$10,Paramètres!$A$1:$I$89,5,0)</f>
        <v>-1.064108801074326E-13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197.20006068829753</v>
      </c>
      <c r="AO70" s="59">
        <f t="shared" si="90"/>
        <v>256.52014906581638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149.59765894559385</v>
      </c>
      <c r="AV70" s="21">
        <f>EXP(-LN(2)/25)*AV69+(1-EXP(-LN(2)/25))/(LN(2)/25)*Calculateur!AQ70*Calculateur!AS70*VLOOKUP('Données projet'!$B$10,Paramètres!$A$1:$I$89,3,0)*0.475*44/12</f>
        <v>33.158790836186327</v>
      </c>
      <c r="AW70" s="21">
        <f>EXP(-LN(2)/2)*AW69+(1-EXP(-LN(2)/2))/(LN(2)/2)*AQ70*AT70*VLOOKUP('Données projet'!$B$10,Paramètres!$A$1:$I$89,3,0)*0.475*44/12</f>
        <v>1.7607152040482636</v>
      </c>
      <c r="AX70" s="21">
        <f t="shared" si="60"/>
        <v>184.51716498582846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>
        <f>BD70*VLOOKUP('Données projet'!$B$11,Paramètres!$A$1:$I$89,3,0)*VLOOKUP('Données projet'!$B$11,Paramètres!$A$1:$I$89,5,0)</f>
        <v>0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102.76553481871144</v>
      </c>
      <c r="BJ70" s="59">
        <f t="shared" si="92"/>
        <v>345.99919346320343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18.624719902015947</v>
      </c>
      <c r="BQ70" s="21">
        <f>EXP(-LN(2)/25)*BQ69+(1-EXP(-LN(2)/25))/(LN(2)/25)*Calculateur!BL70*Calculateur!BN70*VLOOKUP('Données projet'!$B$11,Paramètres!$A$1:$I$89,3,0)*0.475*44/12</f>
        <v>5.4903496450801255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24.115069547096073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-1.1368683772161603E-13</v>
      </c>
      <c r="O71" s="13">
        <f>N71*VLOOKUP('Données projet'!$B$9,Paramètres!$A$1:$I$89,3,0)*VLOOKUP('Données projet'!$B$9,Paramètres!$A$1:$I$89,5,0)</f>
        <v>-6.3550942286383367E-14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410.32666742287449</v>
      </c>
      <c r="T71" s="59">
        <f t="shared" si="88"/>
        <v>494.36941732405256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252.53762300690261</v>
      </c>
      <c r="AA71" s="21">
        <f>EXP(-LN(2)/25)*AA70+(1-EXP(-LN(2)/25))/(LN(2)/25)*Calculateur!V71*Calculateur!X71*VLOOKUP('Données projet'!$B$9,Paramètres!$A$1:$I$89,3,0)*0.475*44/12</f>
        <v>45.657169140463864</v>
      </c>
      <c r="AB71" s="21">
        <f>EXP(-LN(2)/2)*AB70+(1-EXP(-LN(2)/2))/(LN(2)/2)*V71*Y71*VLOOKUP('Données projet'!$B$9,Paramètres!$A$1:$I$89,3,0)*0.475*44/12</f>
        <v>2.5965546902868883</v>
      </c>
      <c r="AC71" s="22">
        <f t="shared" si="57"/>
        <v>300.79134683765335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-1.7053025658242404E-13</v>
      </c>
      <c r="AJ71" s="13">
        <f>AI71*VLOOKUP('Données projet'!$B$10,Paramètres!$A$1:$I$89,3,0)*VLOOKUP('Données projet'!$B$10,Paramètres!$A$1:$I$89,5,0)</f>
        <v>-1.064108801074326E-13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197.20006068829753</v>
      </c>
      <c r="AO71" s="59">
        <f t="shared" si="90"/>
        <v>256.52014906581638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146.66414009923295</v>
      </c>
      <c r="AV71" s="21">
        <f>EXP(-LN(2)/25)*AV70+(1-EXP(-LN(2)/25))/(LN(2)/25)*Calculateur!AQ71*Calculateur!AS71*VLOOKUP('Données projet'!$B$10,Paramètres!$A$1:$I$89,3,0)*0.475*44/12</f>
        <v>32.252061957025788</v>
      </c>
      <c r="AW71" s="21">
        <f>EXP(-LN(2)/2)*AW70+(1-EXP(-LN(2)/2))/(LN(2)/2)*AQ71*AT71*VLOOKUP('Données projet'!$B$10,Paramètres!$A$1:$I$89,3,0)*0.475*44/12</f>
        <v>1.2450136605207831</v>
      </c>
      <c r="AX71" s="21">
        <f t="shared" si="60"/>
        <v>180.16121571677951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>
        <f>BD71*VLOOKUP('Données projet'!$B$11,Paramètres!$A$1:$I$89,3,0)*VLOOKUP('Données projet'!$B$11,Paramètres!$A$1:$I$89,5,0)</f>
        <v>0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102.76553481871144</v>
      </c>
      <c r="BJ71" s="59">
        <f t="shared" si="92"/>
        <v>345.99919346320343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18.259500504694852</v>
      </c>
      <c r="BQ71" s="21">
        <f>EXP(-LN(2)/25)*BQ70+(1-EXP(-LN(2)/25))/(LN(2)/25)*Calculateur!BL71*Calculateur!BN71*VLOOKUP('Données projet'!$B$11,Paramètres!$A$1:$I$89,3,0)*0.475*44/12</f>
        <v>5.3402157453104699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23.599716250005322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-1.1368683772161603E-13</v>
      </c>
      <c r="O72" s="13">
        <f>N72*VLOOKUP('Données projet'!$B$9,Paramètres!$A$1:$I$89,3,0)*VLOOKUP('Données projet'!$B$9,Paramètres!$A$1:$I$89,5,0)</f>
        <v>-6.3550942286383367E-14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410.32666742287449</v>
      </c>
      <c r="T72" s="59">
        <f t="shared" si="88"/>
        <v>494.36941732405256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247.58551425247782</v>
      </c>
      <c r="AA72" s="21">
        <f>EXP(-LN(2)/25)*AA71+(1-EXP(-LN(2)/25))/(LN(2)/25)*Calculateur!V72*Calculateur!X72*VLOOKUP('Données projet'!$B$9,Paramètres!$A$1:$I$89,3,0)*0.475*44/12</f>
        <v>44.408671449311704</v>
      </c>
      <c r="AB72" s="21">
        <f>EXP(-LN(2)/2)*AB71+(1-EXP(-LN(2)/2))/(LN(2)/2)*V72*Y72*VLOOKUP('Données projet'!$B$9,Paramètres!$A$1:$I$89,3,0)*0.475*44/12</f>
        <v>1.8360414292235945</v>
      </c>
      <c r="AC72" s="22">
        <f t="shared" si="57"/>
        <v>293.83022713101315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-1.7053025658242404E-13</v>
      </c>
      <c r="AJ72" s="13">
        <f>AI72*VLOOKUP('Données projet'!$B$10,Paramètres!$A$1:$I$89,3,0)*VLOOKUP('Données projet'!$B$10,Paramètres!$A$1:$I$89,5,0)</f>
        <v>-1.064108801074326E-13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197.20006068829753</v>
      </c>
      <c r="AO72" s="59">
        <f t="shared" si="90"/>
        <v>256.52014906581638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143.78814576817939</v>
      </c>
      <c r="AV72" s="21">
        <f>EXP(-LN(2)/25)*AV71+(1-EXP(-LN(2)/25))/(LN(2)/25)*Calculateur!AQ72*Calculateur!AS72*VLOOKUP('Données projet'!$B$10,Paramètres!$A$1:$I$89,3,0)*0.475*44/12</f>
        <v>31.370127626748694</v>
      </c>
      <c r="AW72" s="21">
        <f>EXP(-LN(2)/2)*AW71+(1-EXP(-LN(2)/2))/(LN(2)/2)*AQ72*AT72*VLOOKUP('Données projet'!$B$10,Paramètres!$A$1:$I$89,3,0)*0.475*44/12</f>
        <v>0.88035760202413205</v>
      </c>
      <c r="AX72" s="21">
        <f t="shared" si="60"/>
        <v>176.03863099695221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>
        <f>BD72*VLOOKUP('Données projet'!$B$11,Paramètres!$A$1:$I$89,3,0)*VLOOKUP('Données projet'!$B$11,Paramètres!$A$1:$I$89,5,0)</f>
        <v>0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102.76553481871144</v>
      </c>
      <c r="BJ72" s="59">
        <f t="shared" si="92"/>
        <v>345.99919346320343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17.901442836993386</v>
      </c>
      <c r="BQ72" s="21">
        <f>EXP(-LN(2)/25)*BQ71+(1-EXP(-LN(2)/25))/(LN(2)/25)*Calculateur!BL72*Calculateur!BN72*VLOOKUP('Données projet'!$B$11,Paramètres!$A$1:$I$89,3,0)*0.475*44/12</f>
        <v>5.1941872649252145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23.095630101918601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-1.1368683772161603E-13</v>
      </c>
      <c r="O73" s="13">
        <f>N73*VLOOKUP('Données projet'!$B$9,Paramètres!$A$1:$I$89,3,0)*VLOOKUP('Données projet'!$B$9,Paramètres!$A$1:$I$89,5,0)</f>
        <v>-6.3550942286383367E-14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410.32666742287449</v>
      </c>
      <c r="T73" s="59">
        <f t="shared" si="88"/>
        <v>494.36941732405256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242.73051333023921</v>
      </c>
      <c r="AA73" s="21">
        <f>EXP(-LN(2)/25)*AA72+(1-EXP(-LN(2)/25))/(LN(2)/25)*Calculateur!V73*Calculateur!X73*VLOOKUP('Données projet'!$B$9,Paramètres!$A$1:$I$89,3,0)*0.475*44/12</f>
        <v>43.19431399317974</v>
      </c>
      <c r="AB73" s="21">
        <f>EXP(-LN(2)/2)*AB72+(1-EXP(-LN(2)/2))/(LN(2)/2)*V73*Y73*VLOOKUP('Données projet'!$B$9,Paramètres!$A$1:$I$89,3,0)*0.475*44/12</f>
        <v>1.2982773451434444</v>
      </c>
      <c r="AC73" s="22">
        <f t="shared" si="57"/>
        <v>287.22310466856237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-1.7053025658242404E-13</v>
      </c>
      <c r="AJ73" s="13">
        <f>AI73*VLOOKUP('Données projet'!$B$10,Paramètres!$A$1:$I$89,3,0)*VLOOKUP('Données projet'!$B$10,Paramètres!$A$1:$I$89,5,0)</f>
        <v>-1.064108801074326E-13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197.20006068829753</v>
      </c>
      <c r="AO73" s="59">
        <f t="shared" si="90"/>
        <v>256.52014906581638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140.96854793177445</v>
      </c>
      <c r="AV73" s="21">
        <f>EXP(-LN(2)/25)*AV72+(1-EXP(-LN(2)/25))/(LN(2)/25)*Calculateur!AQ73*Calculateur!AS73*VLOOKUP('Données projet'!$B$10,Paramètres!$A$1:$I$89,3,0)*0.475*44/12</f>
        <v>30.512309837111935</v>
      </c>
      <c r="AW73" s="21">
        <f>EXP(-LN(2)/2)*AW72+(1-EXP(-LN(2)/2))/(LN(2)/2)*AQ73*AT73*VLOOKUP('Données projet'!$B$10,Paramètres!$A$1:$I$89,3,0)*0.475*44/12</f>
        <v>0.62250683026039166</v>
      </c>
      <c r="AX73" s="21">
        <f t="shared" si="60"/>
        <v>172.10336459914677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>
        <f>BD73*VLOOKUP('Données projet'!$B$11,Paramètres!$A$1:$I$89,3,0)*VLOOKUP('Données projet'!$B$11,Paramètres!$A$1:$I$89,5,0)</f>
        <v>0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102.76553481871144</v>
      </c>
      <c r="BJ73" s="59">
        <f t="shared" si="92"/>
        <v>345.99919346320343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17.550406461761934</v>
      </c>
      <c r="BQ73" s="21">
        <f>EXP(-LN(2)/25)*BQ72+(1-EXP(-LN(2)/25))/(LN(2)/25)*Calculateur!BL73*Calculateur!BN73*VLOOKUP('Données projet'!$B$11,Paramètres!$A$1:$I$89,3,0)*0.475*44/12</f>
        <v>5.0521519410153974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22.602558402777333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-1.1368683772161603E-13</v>
      </c>
      <c r="O74" s="13">
        <f>N74*VLOOKUP('Données projet'!$B$9,Paramètres!$A$1:$I$89,3,0)*VLOOKUP('Données projet'!$B$9,Paramètres!$A$1:$I$89,5,0)</f>
        <v>-6.3550942286383367E-14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410.32666742287449</v>
      </c>
      <c r="T74" s="59">
        <f t="shared" si="88"/>
        <v>494.36941732405256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237.97071601482753</v>
      </c>
      <c r="AA74" s="21">
        <f>EXP(-LN(2)/25)*AA73+(1-EXP(-LN(2)/25))/(LN(2)/25)*Calculateur!V74*Calculateur!X74*VLOOKUP('Données projet'!$B$9,Paramètres!$A$1:$I$89,3,0)*0.475*44/12</f>
        <v>42.013163205545986</v>
      </c>
      <c r="AB74" s="21">
        <f>EXP(-LN(2)/2)*AB73+(1-EXP(-LN(2)/2))/(LN(2)/2)*V74*Y74*VLOOKUP('Données projet'!$B$9,Paramètres!$A$1:$I$89,3,0)*0.475*44/12</f>
        <v>0.91802071461179746</v>
      </c>
      <c r="AC74" s="22">
        <f t="shared" si="57"/>
        <v>280.90189993498529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-1.7053025658242404E-13</v>
      </c>
      <c r="AJ74" s="13">
        <f>AI74*VLOOKUP('Données projet'!$B$10,Paramètres!$A$1:$I$89,3,0)*VLOOKUP('Données projet'!$B$10,Paramètres!$A$1:$I$89,5,0)</f>
        <v>-1.064108801074326E-13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197.20006068829753</v>
      </c>
      <c r="AO74" s="59">
        <f t="shared" si="90"/>
        <v>256.52014906581638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138.20424068915653</v>
      </c>
      <c r="AV74" s="21">
        <f>EXP(-LN(2)/25)*AV73+(1-EXP(-LN(2)/25))/(LN(2)/25)*Calculateur!AQ74*Calculateur!AS74*VLOOKUP('Données projet'!$B$10,Paramètres!$A$1:$I$89,3,0)*0.475*44/12</f>
        <v>29.677949120043472</v>
      </c>
      <c r="AW74" s="21">
        <f>EXP(-LN(2)/2)*AW73+(1-EXP(-LN(2)/2))/(LN(2)/2)*AQ74*AT74*VLOOKUP('Données projet'!$B$10,Paramètres!$A$1:$I$89,3,0)*0.475*44/12</f>
        <v>0.44017880101206608</v>
      </c>
      <c r="AX74" s="21">
        <f t="shared" si="60"/>
        <v>168.32236861021207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102.76553481871144</v>
      </c>
      <c r="BJ74" s="59">
        <f t="shared" si="92"/>
        <v>345.99919346320343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17.206253695737725</v>
      </c>
      <c r="BQ74" s="21">
        <f>EXP(-LN(2)/25)*BQ73+(1-EXP(-LN(2)/25))/(LN(2)/25)*Calculateur!BL74*Calculateur!BN74*VLOOKUP('Données projet'!$B$11,Paramètres!$A$1:$I$89,3,0)*0.475*44/12</f>
        <v>4.9140005805072073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22.120254276244932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-1.1368683772161603E-13</v>
      </c>
      <c r="O75" s="13">
        <f>N75*VLOOKUP('Données projet'!$B$9,Paramètres!$A$1:$I$89,3,0)*VLOOKUP('Données projet'!$B$9,Paramètres!$A$1:$I$89,5,0)</f>
        <v>-6.3550942286383367E-14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410.32666742287449</v>
      </c>
      <c r="T75" s="59">
        <f t="shared" si="88"/>
        <v>494.36941732405256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233.30425542158139</v>
      </c>
      <c r="AA75" s="21">
        <f>EXP(-LN(2)/25)*AA74+(1-EXP(-LN(2)/25))/(LN(2)/25)*Calculateur!V75*Calculateur!X75*VLOOKUP('Données projet'!$B$9,Paramètres!$A$1:$I$89,3,0)*0.475*44/12</f>
        <v>40.8643110483141</v>
      </c>
      <c r="AB75" s="21">
        <f>EXP(-LN(2)/2)*AB74+(1-EXP(-LN(2)/2))/(LN(2)/2)*V75*Y75*VLOOKUP('Données projet'!$B$9,Paramètres!$A$1:$I$89,3,0)*0.475*44/12</f>
        <v>0.64913867257172231</v>
      </c>
      <c r="AC75" s="22">
        <f t="shared" si="57"/>
        <v>274.81770514246722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-1.7053025658242404E-13</v>
      </c>
      <c r="AJ75" s="13">
        <f>AI75*VLOOKUP('Données projet'!$B$10,Paramètres!$A$1:$I$89,3,0)*VLOOKUP('Données projet'!$B$10,Paramètres!$A$1:$I$89,5,0)</f>
        <v>-1.064108801074326E-13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197.20006068829753</v>
      </c>
      <c r="AO75" s="59">
        <f t="shared" si="90"/>
        <v>256.52014906581638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135.49413982550544</v>
      </c>
      <c r="AV75" s="21">
        <f>EXP(-LN(2)/25)*AV74+(1-EXP(-LN(2)/25))/(LN(2)/25)*Calculateur!AQ75*Calculateur!AS75*VLOOKUP('Données projet'!$B$10,Paramètres!$A$1:$I$89,3,0)*0.475*44/12</f>
        <v>28.86640404066037</v>
      </c>
      <c r="AW75" s="21">
        <f>EXP(-LN(2)/2)*AW74+(1-EXP(-LN(2)/2))/(LN(2)/2)*AQ75*AT75*VLOOKUP('Données projet'!$B$10,Paramètres!$A$1:$I$89,3,0)*0.475*44/12</f>
        <v>0.31125341513019589</v>
      </c>
      <c r="AX75" s="21">
        <f t="shared" si="60"/>
        <v>164.67179728129602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102.76553481871144</v>
      </c>
      <c r="BJ75" s="59">
        <f t="shared" si="92"/>
        <v>345.99919346320343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16.868849555542791</v>
      </c>
      <c r="BQ75" s="21">
        <f>EXP(-LN(2)/25)*BQ74+(1-EXP(-LN(2)/25))/(LN(2)/25)*Calculateur!BL75*Calculateur!BN75*VLOOKUP('Données projet'!$B$11,Paramètres!$A$1:$I$89,3,0)*0.475*44/12</f>
        <v>4.7796269762171786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21.648476531759968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-1.1368683772161603E-13</v>
      </c>
      <c r="O76" s="13">
        <f>N76*VLOOKUP('Données projet'!$B$9,Paramètres!$A$1:$I$89,3,0)*VLOOKUP('Données projet'!$B$9,Paramètres!$A$1:$I$89,5,0)</f>
        <v>-6.3550942286383367E-14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410.32666742287449</v>
      </c>
      <c r="T76" s="59">
        <f t="shared" si="88"/>
        <v>494.36941732405256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228.72930127430888</v>
      </c>
      <c r="AA76" s="21">
        <f>EXP(-LN(2)/25)*AA75+(1-EXP(-LN(2)/25))/(LN(2)/25)*Calculateur!V76*Calculateur!X76*VLOOKUP('Données projet'!$B$9,Paramètres!$A$1:$I$89,3,0)*0.475*44/12</f>
        <v>39.74687431373723</v>
      </c>
      <c r="AB76" s="21">
        <f>EXP(-LN(2)/2)*AB75+(1-EXP(-LN(2)/2))/(LN(2)/2)*V76*Y76*VLOOKUP('Données projet'!$B$9,Paramètres!$A$1:$I$89,3,0)*0.475*44/12</f>
        <v>0.45901035730589879</v>
      </c>
      <c r="AC76" s="22">
        <f t="shared" si="57"/>
        <v>268.93518594535198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-1.7053025658242404E-13</v>
      </c>
      <c r="AJ76" s="13">
        <f>AI76*VLOOKUP('Données projet'!$B$10,Paramètres!$A$1:$I$89,3,0)*VLOOKUP('Données projet'!$B$10,Paramètres!$A$1:$I$89,5,0)</f>
        <v>-1.064108801074326E-13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197.20006068829753</v>
      </c>
      <c r="AO76" s="59">
        <f t="shared" si="90"/>
        <v>256.52014906581638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132.83718238679222</v>
      </c>
      <c r="AV76" s="21">
        <f>EXP(-LN(2)/25)*AV75+(1-EXP(-LN(2)/25))/(LN(2)/25)*Calculateur!AQ76*Calculateur!AS76*VLOOKUP('Données projet'!$B$10,Paramètres!$A$1:$I$89,3,0)*0.475*44/12</f>
        <v>28.077050704150299</v>
      </c>
      <c r="AW76" s="21">
        <f>EXP(-LN(2)/2)*AW75+(1-EXP(-LN(2)/2))/(LN(2)/2)*AQ76*AT76*VLOOKUP('Données projet'!$B$10,Paramètres!$A$1:$I$89,3,0)*0.475*44/12</f>
        <v>0.22008940050603307</v>
      </c>
      <c r="AX76" s="21">
        <f t="shared" si="60"/>
        <v>161.13432249144856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102.76553481871144</v>
      </c>
      <c r="BJ76" s="59">
        <f t="shared" si="92"/>
        <v>345.99919346320343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16.538061704740873</v>
      </c>
      <c r="BQ76" s="21">
        <f>EXP(-LN(2)/25)*BQ75+(1-EXP(-LN(2)/25))/(LN(2)/25)*Calculateur!BL76*Calculateur!BN76*VLOOKUP('Données projet'!$B$11,Paramètres!$A$1:$I$89,3,0)*0.475*44/12</f>
        <v>4.6489278252028612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21.186989529943734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-1.1368683772161603E-13</v>
      </c>
      <c r="O77" s="13">
        <f>N77*VLOOKUP('Données projet'!$B$9,Paramètres!$A$1:$I$89,3,0)*VLOOKUP('Données projet'!$B$9,Paramètres!$A$1:$I$89,5,0)</f>
        <v>-6.3550942286383367E-14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410.32666742287449</v>
      </c>
      <c r="T77" s="59">
        <f t="shared" si="88"/>
        <v>494.36941732405256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224.24405918741789</v>
      </c>
      <c r="AA77" s="21">
        <f>EXP(-LN(2)/25)*AA76+(1-EXP(-LN(2)/25))/(LN(2)/25)*Calculateur!V77*Calculateur!X77*VLOOKUP('Données projet'!$B$9,Paramètres!$A$1:$I$89,3,0)*0.475*44/12</f>
        <v>38.659993945430806</v>
      </c>
      <c r="AB77" s="21">
        <f>EXP(-LN(2)/2)*AB76+(1-EXP(-LN(2)/2))/(LN(2)/2)*V77*Y77*VLOOKUP('Données projet'!$B$9,Paramètres!$A$1:$I$89,3,0)*0.475*44/12</f>
        <v>0.32456933628586121</v>
      </c>
      <c r="AC77" s="22">
        <f t="shared" si="57"/>
        <v>263.22862246913451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-1.7053025658242404E-13</v>
      </c>
      <c r="AJ77" s="13">
        <f>AI77*VLOOKUP('Données projet'!$B$10,Paramètres!$A$1:$I$89,3,0)*VLOOKUP('Données projet'!$B$10,Paramètres!$A$1:$I$89,5,0)</f>
        <v>-1.064108801074326E-13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197.20006068829753</v>
      </c>
      <c r="AO77" s="59">
        <f t="shared" si="90"/>
        <v>256.52014906581638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130.23232626286816</v>
      </c>
      <c r="AV77" s="21">
        <f>EXP(-LN(2)/25)*AV76+(1-EXP(-LN(2)/25))/(LN(2)/25)*Calculateur!AQ77*Calculateur!AS77*VLOOKUP('Données projet'!$B$10,Paramètres!$A$1:$I$89,3,0)*0.475*44/12</f>
        <v>27.309282276137385</v>
      </c>
      <c r="AW77" s="21">
        <f>EXP(-LN(2)/2)*AW76+(1-EXP(-LN(2)/2))/(LN(2)/2)*AQ77*AT77*VLOOKUP('Données projet'!$B$10,Paramètres!$A$1:$I$89,3,0)*0.475*44/12</f>
        <v>0.15562670756509794</v>
      </c>
      <c r="AX77" s="21">
        <f t="shared" si="60"/>
        <v>157.69723524657064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102.76553481871144</v>
      </c>
      <c r="BJ77" s="59">
        <f t="shared" si="92"/>
        <v>345.99919346320343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16.213760401932515</v>
      </c>
      <c r="BQ77" s="21">
        <f>EXP(-LN(2)/25)*BQ76+(1-EXP(-LN(2)/25))/(LN(2)/25)*Calculateur!BL77*Calculateur!BN77*VLOOKUP('Données projet'!$B$11,Paramètres!$A$1:$I$89,3,0)*0.475*44/12</f>
        <v>4.5218026493462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20.735563051278714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-1.1368683772161603E-13</v>
      </c>
      <c r="O78" s="13">
        <f>N78*VLOOKUP('Données projet'!$B$9,Paramètres!$A$1:$I$89,3,0)*VLOOKUP('Données projet'!$B$9,Paramètres!$A$1:$I$89,5,0)</f>
        <v>-6.3550942286383367E-14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410.32666742287449</v>
      </c>
      <c r="T78" s="59">
        <f t="shared" si="88"/>
        <v>494.36941732405256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219.84676996212329</v>
      </c>
      <c r="AA78" s="21">
        <f>EXP(-LN(2)/25)*AA77+(1-EXP(-LN(2)/25))/(LN(2)/25)*Calculateur!V78*Calculateur!X78*VLOOKUP('Données projet'!$B$9,Paramètres!$A$1:$I$89,3,0)*0.475*44/12</f>
        <v>37.602834377952277</v>
      </c>
      <c r="AB78" s="21">
        <f>EXP(-LN(2)/2)*AB77+(1-EXP(-LN(2)/2))/(LN(2)/2)*V78*Y78*VLOOKUP('Données projet'!$B$9,Paramètres!$A$1:$I$89,3,0)*0.475*44/12</f>
        <v>0.22950517865294945</v>
      </c>
      <c r="AC78" s="22">
        <f t="shared" si="57"/>
        <v>257.67910951872852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-1.7053025658242404E-13</v>
      </c>
      <c r="AJ78" s="13">
        <f>AI78*VLOOKUP('Données projet'!$B$10,Paramètres!$A$1:$I$89,3,0)*VLOOKUP('Données projet'!$B$10,Paramètres!$A$1:$I$89,5,0)</f>
        <v>-1.064108801074326E-13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197.20006068829753</v>
      </c>
      <c r="AO78" s="59">
        <f t="shared" si="90"/>
        <v>256.52014906581638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127.67854977872889</v>
      </c>
      <c r="AV78" s="21">
        <f>EXP(-LN(2)/25)*AV77+(1-EXP(-LN(2)/25))/(LN(2)/25)*Calculateur!AQ78*Calculateur!AS78*VLOOKUP('Données projet'!$B$10,Paramètres!$A$1:$I$89,3,0)*0.475*44/12</f>
        <v>26.562508516163668</v>
      </c>
      <c r="AW78" s="21">
        <f>EXP(-LN(2)/2)*AW77+(1-EXP(-LN(2)/2))/(LN(2)/2)*AQ78*AT78*VLOOKUP('Données projet'!$B$10,Paramètres!$A$1:$I$89,3,0)*0.475*44/12</f>
        <v>0.11004470025301653</v>
      </c>
      <c r="AX78" s="21">
        <f t="shared" si="60"/>
        <v>154.35110299514557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102.76553481871144</v>
      </c>
      <c r="BJ78" s="59">
        <f t="shared" si="92"/>
        <v>345.99919346320343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15.895818449867964</v>
      </c>
      <c r="BQ78" s="21">
        <f>EXP(-LN(2)/25)*BQ77+(1-EXP(-LN(2)/25))/(LN(2)/25)*Calculateur!BL78*Calculateur!BN78*VLOOKUP('Données projet'!$B$11,Paramètres!$A$1:$I$89,3,0)*0.475*44/12</f>
        <v>4.3981537181085617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20.293972167976527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-1.1368683772161603E-13</v>
      </c>
      <c r="O79" s="13">
        <f>N79*VLOOKUP('Données projet'!$B$9,Paramètres!$A$1:$I$89,3,0)*VLOOKUP('Données projet'!$B$9,Paramètres!$A$1:$I$89,5,0)</f>
        <v>-6.3550942286383367E-14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410.32666742287449</v>
      </c>
      <c r="T79" s="59">
        <f t="shared" si="88"/>
        <v>494.36941732405256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215.53570889645511</v>
      </c>
      <c r="AA79" s="21">
        <f>EXP(-LN(2)/25)*AA78+(1-EXP(-LN(2)/25))/(LN(2)/25)*Calculateur!V79*Calculateur!X79*VLOOKUP('Données projet'!$B$9,Paramètres!$A$1:$I$89,3,0)*0.475*44/12</f>
        <v>36.574582894440056</v>
      </c>
      <c r="AB79" s="21">
        <f>EXP(-LN(2)/2)*AB78+(1-EXP(-LN(2)/2))/(LN(2)/2)*V79*Y79*VLOOKUP('Données projet'!$B$9,Paramètres!$A$1:$I$89,3,0)*0.475*44/12</f>
        <v>0.16228466814293063</v>
      </c>
      <c r="AC79" s="22">
        <f t="shared" si="57"/>
        <v>252.27257645903808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-1.7053025658242404E-13</v>
      </c>
      <c r="AJ79" s="13">
        <f>AI79*VLOOKUP('Données projet'!$B$10,Paramètres!$A$1:$I$89,3,0)*VLOOKUP('Données projet'!$B$10,Paramètres!$A$1:$I$89,5,0)</f>
        <v>-1.064108801074326E-13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197.20006068829753</v>
      </c>
      <c r="AO79" s="59">
        <f t="shared" si="90"/>
        <v>256.52014906581638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125.17485129379375</v>
      </c>
      <c r="AV79" s="21">
        <f>EXP(-LN(2)/25)*AV78+(1-EXP(-LN(2)/25))/(LN(2)/25)*Calculateur!AQ79*Calculateur!AS79*VLOOKUP('Données projet'!$B$10,Paramètres!$A$1:$I$89,3,0)*0.475*44/12</f>
        <v>25.83615532392756</v>
      </c>
      <c r="AW79" s="21">
        <f>EXP(-LN(2)/2)*AW78+(1-EXP(-LN(2)/2))/(LN(2)/2)*AQ79*AT79*VLOOKUP('Données projet'!$B$10,Paramètres!$A$1:$I$89,3,0)*0.475*44/12</f>
        <v>7.7813353782548972E-2</v>
      </c>
      <c r="AX79" s="21">
        <f t="shared" si="60"/>
        <v>151.08881997150385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102.76553481871144</v>
      </c>
      <c r="BJ79" s="59">
        <f t="shared" si="92"/>
        <v>345.99919346320343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15.584111145557957</v>
      </c>
      <c r="BQ79" s="21">
        <f>EXP(-LN(2)/25)*BQ78+(1-EXP(-LN(2)/25))/(LN(2)/25)*Calculateur!BL79*Calculateur!BN79*VLOOKUP('Données projet'!$B$11,Paramètres!$A$1:$I$89,3,0)*0.475*44/12</f>
        <v>4.277885973398031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19.861997118955987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-1.1368683772161603E-13</v>
      </c>
      <c r="O80" s="13">
        <f>N80*VLOOKUP('Données projet'!$B$9,Paramètres!$A$1:$I$89,3,0)*VLOOKUP('Données projet'!$B$9,Paramètres!$A$1:$I$89,5,0)</f>
        <v>-6.3550942286383367E-14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410.32666742287449</v>
      </c>
      <c r="T80" s="59">
        <f t="shared" si="88"/>
        <v>494.36941732405256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211.30918510879707</v>
      </c>
      <c r="AA80" s="21">
        <f>EXP(-LN(2)/25)*AA79+(1-EXP(-LN(2)/25))/(LN(2)/25)*Calculateur!V80*Calculateur!X80*VLOOKUP('Données projet'!$B$9,Paramètres!$A$1:$I$89,3,0)*0.475*44/12</f>
        <v>35.574449001817868</v>
      </c>
      <c r="AB80" s="21">
        <f>EXP(-LN(2)/2)*AB79+(1-EXP(-LN(2)/2))/(LN(2)/2)*V80*Y80*VLOOKUP('Données projet'!$B$9,Paramètres!$A$1:$I$89,3,0)*0.475*44/12</f>
        <v>0.11475258932647474</v>
      </c>
      <c r="AC80" s="22">
        <f t="shared" si="57"/>
        <v>246.99838669994142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-1.7053025658242404E-13</v>
      </c>
      <c r="AJ80" s="13">
        <f>AI80*VLOOKUP('Données projet'!$B$10,Paramètres!$A$1:$I$89,3,0)*VLOOKUP('Données projet'!$B$10,Paramètres!$A$1:$I$89,5,0)</f>
        <v>-1.064108801074326E-13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197.20006068829753</v>
      </c>
      <c r="AO80" s="59">
        <f t="shared" si="90"/>
        <v>256.52014906581638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122.7202488090429</v>
      </c>
      <c r="AV80" s="21">
        <f>EXP(-LN(2)/25)*AV79+(1-EXP(-LN(2)/25))/(LN(2)/25)*Calculateur!AQ80*Calculateur!AS80*VLOOKUP('Données projet'!$B$10,Paramètres!$A$1:$I$89,3,0)*0.475*44/12</f>
        <v>25.1296642979304</v>
      </c>
      <c r="AW80" s="21">
        <f>EXP(-LN(2)/2)*AW79+(1-EXP(-LN(2)/2))/(LN(2)/2)*AQ80*AT80*VLOOKUP('Données projet'!$B$10,Paramètres!$A$1:$I$89,3,0)*0.475*44/12</f>
        <v>5.5022350126508267E-2</v>
      </c>
      <c r="AX80" s="21">
        <f t="shared" si="60"/>
        <v>147.90493545709981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102.76553481871144</v>
      </c>
      <c r="BJ80" s="59">
        <f t="shared" si="92"/>
        <v>345.99919346320343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15.278516231362786</v>
      </c>
      <c r="BQ80" s="21">
        <f>EXP(-LN(2)/25)*BQ79+(1-EXP(-LN(2)/25))/(LN(2)/25)*Calculateur!BL80*Calculateur!BN80*VLOOKUP('Données projet'!$B$11,Paramètres!$A$1:$I$89,3,0)*0.475*44/12</f>
        <v>4.1609069564912158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19.439423187854004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-1.1368683772161603E-13</v>
      </c>
      <c r="O81" s="13">
        <f>N81*VLOOKUP('Données projet'!$B$9,Paramètres!$A$1:$I$89,3,0)*VLOOKUP('Données projet'!$B$9,Paramètres!$A$1:$I$89,5,0)</f>
        <v>-6.3550942286383367E-14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410.32666742287449</v>
      </c>
      <c r="T81" s="59">
        <f t="shared" si="88"/>
        <v>494.36941732405256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207.16554087469004</v>
      </c>
      <c r="AA81" s="21">
        <f>EXP(-LN(2)/25)*AA80+(1-EXP(-LN(2)/25))/(LN(2)/25)*Calculateur!V81*Calculateur!X81*VLOOKUP('Données projet'!$B$9,Paramètres!$A$1:$I$89,3,0)*0.475*44/12</f>
        <v>34.601663823084195</v>
      </c>
      <c r="AB81" s="21">
        <f>EXP(-LN(2)/2)*AB80+(1-EXP(-LN(2)/2))/(LN(2)/2)*V81*Y81*VLOOKUP('Données projet'!$B$9,Paramètres!$A$1:$I$89,3,0)*0.475*44/12</f>
        <v>8.114233407146533E-2</v>
      </c>
      <c r="AC81" s="22">
        <f t="shared" si="57"/>
        <v>241.84834703184569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-1.7053025658242404E-13</v>
      </c>
      <c r="AJ81" s="13">
        <f>AI81*VLOOKUP('Données projet'!$B$10,Paramètres!$A$1:$I$89,3,0)*VLOOKUP('Données projet'!$B$10,Paramètres!$A$1:$I$89,5,0)</f>
        <v>-1.064108801074326E-13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197.20006068829753</v>
      </c>
      <c r="AO81" s="59">
        <f t="shared" si="90"/>
        <v>256.52014906581638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120.31377958185833</v>
      </c>
      <c r="AV81" s="21">
        <f>EXP(-LN(2)/25)*AV80+(1-EXP(-LN(2)/25))/(LN(2)/25)*Calculateur!AQ81*Calculateur!AS81*VLOOKUP('Données projet'!$B$10,Paramètres!$A$1:$I$89,3,0)*0.475*44/12</f>
        <v>24.442492306191884</v>
      </c>
      <c r="AW81" s="21">
        <f>EXP(-LN(2)/2)*AW80+(1-EXP(-LN(2)/2))/(LN(2)/2)*AQ81*AT81*VLOOKUP('Données projet'!$B$10,Paramètres!$A$1:$I$89,3,0)*0.475*44/12</f>
        <v>3.8906676891274486E-2</v>
      </c>
      <c r="AX81" s="21">
        <f t="shared" si="60"/>
        <v>144.79517856494149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102.76553481871144</v>
      </c>
      <c r="BJ81" s="59">
        <f t="shared" si="92"/>
        <v>345.99919346320343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14.978913847040491</v>
      </c>
      <c r="BQ81" s="21">
        <f>EXP(-LN(2)/25)*BQ80+(1-EXP(-LN(2)/25))/(LN(2)/25)*Calculateur!BL81*Calculateur!BN81*VLOOKUP('Données projet'!$B$11,Paramètres!$A$1:$I$89,3,0)*0.475*44/12</f>
        <v>4.0471267369533761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19.026040583993868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-1.1368683772161603E-13</v>
      </c>
      <c r="O82" s="13">
        <f>N82*VLOOKUP('Données projet'!$B$9,Paramètres!$A$1:$I$89,3,0)*VLOOKUP('Données projet'!$B$9,Paramètres!$A$1:$I$89,5,0)</f>
        <v>-6.3550942286383367E-14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410.32666742287449</v>
      </c>
      <c r="T82" s="59">
        <f t="shared" si="88"/>
        <v>494.36941732405256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203.10315097664042</v>
      </c>
      <c r="AA82" s="21">
        <f>EXP(-LN(2)/25)*AA81+(1-EXP(-LN(2)/25))/(LN(2)/25)*Calculateur!V82*Calculateur!X82*VLOOKUP('Données projet'!$B$9,Paramètres!$A$1:$I$89,3,0)*0.475*44/12</f>
        <v>33.655479506219542</v>
      </c>
      <c r="AB82" s="21">
        <f>EXP(-LN(2)/2)*AB81+(1-EXP(-LN(2)/2))/(LN(2)/2)*V82*Y82*VLOOKUP('Données projet'!$B$9,Paramètres!$A$1:$I$89,3,0)*0.475*44/12</f>
        <v>5.7376294663237376E-2</v>
      </c>
      <c r="AC82" s="22">
        <f t="shared" si="57"/>
        <v>236.8160067775232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-1.7053025658242404E-13</v>
      </c>
      <c r="AJ82" s="13">
        <f>AI82*VLOOKUP('Données projet'!$B$10,Paramètres!$A$1:$I$89,3,0)*VLOOKUP('Données projet'!$B$10,Paramètres!$A$1:$I$89,5,0)</f>
        <v>-1.064108801074326E-13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197.20006068829753</v>
      </c>
      <c r="AO82" s="59">
        <f t="shared" si="90"/>
        <v>256.52014906581638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117.95449974841755</v>
      </c>
      <c r="AV82" s="21">
        <f>EXP(-LN(2)/25)*AV81+(1-EXP(-LN(2)/25))/(LN(2)/25)*Calculateur!AQ82*Calculateur!AS82*VLOOKUP('Données projet'!$B$10,Paramètres!$A$1:$I$89,3,0)*0.475*44/12</f>
        <v>23.774111068704261</v>
      </c>
      <c r="AW82" s="21">
        <f>EXP(-LN(2)/2)*AW81+(1-EXP(-LN(2)/2))/(LN(2)/2)*AQ82*AT82*VLOOKUP('Données projet'!$B$10,Paramètres!$A$1:$I$89,3,0)*0.475*44/12</f>
        <v>2.7511175063254133E-2</v>
      </c>
      <c r="AX82" s="21">
        <f t="shared" si="60"/>
        <v>141.75612199218509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102.76553481871144</v>
      </c>
      <c r="BJ82" s="59">
        <f t="shared" si="92"/>
        <v>345.99919346320343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14.685186482735347</v>
      </c>
      <c r="BQ82" s="21">
        <f>EXP(-LN(2)/25)*BQ81+(1-EXP(-LN(2)/25))/(LN(2)/25)*Calculateur!BL82*Calculateur!BN82*VLOOKUP('Données projet'!$B$11,Paramètres!$A$1:$I$89,3,0)*0.475*44/12</f>
        <v>3.9364578435022408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18.621644326237586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-1.1368683772161603E-13</v>
      </c>
      <c r="O83" s="13">
        <f>N83*VLOOKUP('Données projet'!$B$9,Paramètres!$A$1:$I$89,3,0)*VLOOKUP('Données projet'!$B$9,Paramètres!$A$1:$I$89,5,0)</f>
        <v>-6.3550942286383367E-14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410.32666742287449</v>
      </c>
      <c r="T83" s="59">
        <f t="shared" si="88"/>
        <v>494.36941732405256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199.1204220666784</v>
      </c>
      <c r="AA83" s="21">
        <f>EXP(-LN(2)/25)*AA82+(1-EXP(-LN(2)/25))/(LN(2)/25)*Calculateur!V83*Calculateur!X83*VLOOKUP('Données projet'!$B$9,Paramètres!$A$1:$I$89,3,0)*0.475*44/12</f>
        <v>32.735168649257226</v>
      </c>
      <c r="AB83" s="21">
        <f>EXP(-LN(2)/2)*AB82+(1-EXP(-LN(2)/2))/(LN(2)/2)*V83*Y83*VLOOKUP('Données projet'!$B$9,Paramètres!$A$1:$I$89,3,0)*0.475*44/12</f>
        <v>4.0571167035732665E-2</v>
      </c>
      <c r="AC83" s="22">
        <f t="shared" si="57"/>
        <v>231.89616188297134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-1.7053025658242404E-13</v>
      </c>
      <c r="AJ83" s="13">
        <f>AI83*VLOOKUP('Données projet'!$B$10,Paramètres!$A$1:$I$89,3,0)*VLOOKUP('Données projet'!$B$10,Paramètres!$A$1:$I$89,5,0)</f>
        <v>-1.064108801074326E-13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197.20006068829753</v>
      </c>
      <c r="AO83" s="59">
        <f t="shared" si="90"/>
        <v>256.52014906581638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115.64148395349193</v>
      </c>
      <c r="AV83" s="21">
        <f>EXP(-LN(2)/25)*AV82+(1-EXP(-LN(2)/25))/(LN(2)/25)*Calculateur!AQ83*Calculateur!AS83*VLOOKUP('Données projet'!$B$10,Paramètres!$A$1:$I$89,3,0)*0.475*44/12</f>
        <v>23.124006751304378</v>
      </c>
      <c r="AW83" s="21">
        <f>EXP(-LN(2)/2)*AW82+(1-EXP(-LN(2)/2))/(LN(2)/2)*AQ83*AT83*VLOOKUP('Données projet'!$B$10,Paramètres!$A$1:$I$89,3,0)*0.475*44/12</f>
        <v>1.9453338445637243E-2</v>
      </c>
      <c r="AX83" s="21">
        <f t="shared" si="60"/>
        <v>138.78494404324195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102.76553481871144</v>
      </c>
      <c r="BJ83" s="59">
        <f t="shared" si="92"/>
        <v>345.99919346320343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14.397218932888222</v>
      </c>
      <c r="BQ83" s="21">
        <f>EXP(-LN(2)/25)*BQ82+(1-EXP(-LN(2)/25))/(LN(2)/25)*Calculateur!BL83*Calculateur!BN83*VLOOKUP('Données projet'!$B$11,Paramètres!$A$1:$I$89,3,0)*0.475*44/12</f>
        <v>3.8288151967623509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18.226034129650571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-1.1368683772161603E-13</v>
      </c>
      <c r="O84" s="13">
        <f>N84*VLOOKUP('Données projet'!$B$9,Paramètres!$A$1:$I$89,3,0)*VLOOKUP('Données projet'!$B$9,Paramètres!$A$1:$I$89,5,0)</f>
        <v>-6.3550942286383367E-14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410.32666742287449</v>
      </c>
      <c r="T84" s="59">
        <f t="shared" si="88"/>
        <v>494.36941732405256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195.21579204141597</v>
      </c>
      <c r="AA84" s="21">
        <f>EXP(-LN(2)/25)*AA83+(1-EXP(-LN(2)/25))/(LN(2)/25)*Calculateur!V84*Calculateur!X84*VLOOKUP('Données projet'!$B$9,Paramètres!$A$1:$I$89,3,0)*0.475*44/12</f>
        <v>31.840023741075584</v>
      </c>
      <c r="AB84" s="21">
        <f>EXP(-LN(2)/2)*AB83+(1-EXP(-LN(2)/2))/(LN(2)/2)*V84*Y84*VLOOKUP('Données projet'!$B$9,Paramètres!$A$1:$I$89,3,0)*0.475*44/12</f>
        <v>2.8688147331618688E-2</v>
      </c>
      <c r="AC84" s="22">
        <f t="shared" si="57"/>
        <v>227.08450392982317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-1.7053025658242404E-13</v>
      </c>
      <c r="AJ84" s="13">
        <f>AI84*VLOOKUP('Données projet'!$B$10,Paramètres!$A$1:$I$89,3,0)*VLOOKUP('Données projet'!$B$10,Paramètres!$A$1:$I$89,5,0)</f>
        <v>-1.064108801074326E-13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197.20006068829753</v>
      </c>
      <c r="AO84" s="59">
        <f t="shared" si="90"/>
        <v>256.52014906581638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113.37382498750448</v>
      </c>
      <c r="AV84" s="21">
        <f>EXP(-LN(2)/25)*AV83+(1-EXP(-LN(2)/25))/(LN(2)/25)*Calculateur!AQ84*Calculateur!AS84*VLOOKUP('Données projet'!$B$10,Paramètres!$A$1:$I$89,3,0)*0.475*44/12</f>
        <v>22.491679570651296</v>
      </c>
      <c r="AW84" s="21">
        <f>EXP(-LN(2)/2)*AW83+(1-EXP(-LN(2)/2))/(LN(2)/2)*AQ84*AT84*VLOOKUP('Données projet'!$B$10,Paramètres!$A$1:$I$89,3,0)*0.475*44/12</f>
        <v>1.3755587531627067E-2</v>
      </c>
      <c r="AX84" s="21">
        <f t="shared" si="60"/>
        <v>135.8792601456874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102.76553481871144</v>
      </c>
      <c r="BJ84" s="59">
        <f t="shared" si="92"/>
        <v>345.99919346320343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14.114898251050738</v>
      </c>
      <c r="BQ84" s="21">
        <f>EXP(-LN(2)/25)*BQ83+(1-EXP(-LN(2)/25))/(LN(2)/25)*Calculateur!BL84*Calculateur!BN84*VLOOKUP('Données projet'!$B$11,Paramètres!$A$1:$I$89,3,0)*0.475*44/12</f>
        <v>3.7241160438582441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17.839014294908981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-1.1368683772161603E-13</v>
      </c>
      <c r="O85" s="13">
        <f>N85*VLOOKUP('Données projet'!$B$9,Paramètres!$A$1:$I$89,3,0)*VLOOKUP('Données projet'!$B$9,Paramètres!$A$1:$I$89,5,0)</f>
        <v>-6.3550942286383367E-14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410.32666742287449</v>
      </c>
      <c r="T85" s="59">
        <f t="shared" si="88"/>
        <v>494.36941732405256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191.38772942935978</v>
      </c>
      <c r="AA85" s="21">
        <f>EXP(-LN(2)/25)*AA84+(1-EXP(-LN(2)/25))/(LN(2)/25)*Calculateur!V85*Calculateur!X85*VLOOKUP('Données projet'!$B$9,Paramètres!$A$1:$I$89,3,0)*0.475*44/12</f>
        <v>30.969356617481793</v>
      </c>
      <c r="AB85" s="21">
        <f>EXP(-LN(2)/2)*AB84+(1-EXP(-LN(2)/2))/(LN(2)/2)*V85*Y85*VLOOKUP('Données projet'!$B$9,Paramètres!$A$1:$I$89,3,0)*0.475*44/12</f>
        <v>2.0285583517866333E-2</v>
      </c>
      <c r="AC85" s="22">
        <f t="shared" si="57"/>
        <v>222.37737163035945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-1.7053025658242404E-13</v>
      </c>
      <c r="AJ85" s="13">
        <f>AI85*VLOOKUP('Données projet'!$B$10,Paramètres!$A$1:$I$89,3,0)*VLOOKUP('Données projet'!$B$10,Paramètres!$A$1:$I$89,5,0)</f>
        <v>-1.064108801074326E-13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197.20006068829753</v>
      </c>
      <c r="AO85" s="59">
        <f t="shared" si="90"/>
        <v>256.52014906581638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111.15063343070464</v>
      </c>
      <c r="AV85" s="21">
        <f>EXP(-LN(2)/25)*AV84+(1-EXP(-LN(2)/25))/(LN(2)/25)*Calculateur!AQ85*Calculateur!AS85*VLOOKUP('Données projet'!$B$10,Paramètres!$A$1:$I$89,3,0)*0.475*44/12</f>
        <v>21.876643410005812</v>
      </c>
      <c r="AW85" s="21">
        <f>EXP(-LN(2)/2)*AW84+(1-EXP(-LN(2)/2))/(LN(2)/2)*AQ85*AT85*VLOOKUP('Données projet'!$B$10,Paramètres!$A$1:$I$89,3,0)*0.475*44/12</f>
        <v>9.7266692228186215E-3</v>
      </c>
      <c r="AX85" s="21">
        <f t="shared" si="60"/>
        <v>133.03700350993327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102.76553481871144</v>
      </c>
      <c r="BJ85" s="59">
        <f t="shared" si="92"/>
        <v>345.99919346320343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13.838113705585474</v>
      </c>
      <c r="BQ85" s="21">
        <f>EXP(-LN(2)/25)*BQ84+(1-EXP(-LN(2)/25))/(LN(2)/25)*Calculateur!BL85*Calculateur!BN85*VLOOKUP('Données projet'!$B$11,Paramètres!$A$1:$I$89,3,0)*0.475*44/12</f>
        <v>3.6222798947961894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17.460393600381664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-1.1368683772161603E-13</v>
      </c>
      <c r="O86" s="13">
        <f>N86*VLOOKUP('Données projet'!$B$9,Paramètres!$A$1:$I$89,3,0)*VLOOKUP('Données projet'!$B$9,Paramètres!$A$1:$I$89,5,0)</f>
        <v>-6.3550942286383367E-14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410.32666742287449</v>
      </c>
      <c r="T86" s="59">
        <f t="shared" si="88"/>
        <v>494.36941732405256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187.63473279023836</v>
      </c>
      <c r="AA86" s="21">
        <f>EXP(-LN(2)/25)*AA85+(1-EXP(-LN(2)/25))/(LN(2)/25)*Calculateur!V86*Calculateur!X86*VLOOKUP('Données projet'!$B$9,Paramètres!$A$1:$I$89,3,0)*0.475*44/12</f>
        <v>30.122497932169072</v>
      </c>
      <c r="AB86" s="21">
        <f>EXP(-LN(2)/2)*AB85+(1-EXP(-LN(2)/2))/(LN(2)/2)*V86*Y86*VLOOKUP('Données projet'!$B$9,Paramètres!$A$1:$I$89,3,0)*0.475*44/12</f>
        <v>1.4344073665809344E-2</v>
      </c>
      <c r="AC86" s="22">
        <f t="shared" si="57"/>
        <v>217.77157479607322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-1.7053025658242404E-13</v>
      </c>
      <c r="AJ86" s="13">
        <f>AI86*VLOOKUP('Données projet'!$B$10,Paramètres!$A$1:$I$89,3,0)*VLOOKUP('Données projet'!$B$10,Paramètres!$A$1:$I$89,5,0)</f>
        <v>-1.064108801074326E-13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197.20006068829753</v>
      </c>
      <c r="AO86" s="59">
        <f t="shared" si="90"/>
        <v>256.52014906581638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108.9710373043207</v>
      </c>
      <c r="AV86" s="21">
        <f>EXP(-LN(2)/25)*AV85+(1-EXP(-LN(2)/25))/(LN(2)/25)*Calculateur!AQ86*Calculateur!AS86*VLOOKUP('Données projet'!$B$10,Paramètres!$A$1:$I$89,3,0)*0.475*44/12</f>
        <v>21.278425445516525</v>
      </c>
      <c r="AW86" s="21">
        <f>EXP(-LN(2)/2)*AW85+(1-EXP(-LN(2)/2))/(LN(2)/2)*AQ86*AT86*VLOOKUP('Données projet'!$B$10,Paramètres!$A$1:$I$89,3,0)*0.475*44/12</f>
        <v>6.8777937658135333E-3</v>
      </c>
      <c r="AX86" s="21">
        <f t="shared" si="60"/>
        <v>130.25634054360305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102.76553481871144</v>
      </c>
      <c r="BJ86" s="59">
        <f t="shared" si="92"/>
        <v>345.99919346320343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13.566756736234883</v>
      </c>
      <c r="BQ86" s="21">
        <f>EXP(-LN(2)/25)*BQ85+(1-EXP(-LN(2)/25))/(LN(2)/25)*Calculateur!BL86*Calculateur!BN86*VLOOKUP('Données projet'!$B$11,Paramètres!$A$1:$I$89,3,0)*0.475*44/12</f>
        <v>3.5232284605855666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17.08998519682045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-1.1368683772161603E-13</v>
      </c>
      <c r="O87" s="13">
        <f>N87*VLOOKUP('Données projet'!$B$9,Paramètres!$A$1:$I$89,3,0)*VLOOKUP('Données projet'!$B$9,Paramètres!$A$1:$I$89,5,0)</f>
        <v>-6.3550942286383367E-14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410.32666742287449</v>
      </c>
      <c r="T87" s="59">
        <f t="shared" si="88"/>
        <v>494.36941732405256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183.95533012610821</v>
      </c>
      <c r="AA87" s="21">
        <f>EXP(-LN(2)/25)*AA86+(1-EXP(-LN(2)/25))/(LN(2)/25)*Calculateur!V87*Calculateur!X87*VLOOKUP('Données projet'!$B$9,Paramètres!$A$1:$I$89,3,0)*0.475*44/12</f>
        <v>29.298796642140587</v>
      </c>
      <c r="AB87" s="21">
        <f>EXP(-LN(2)/2)*AB86+(1-EXP(-LN(2)/2))/(LN(2)/2)*V87*Y87*VLOOKUP('Données projet'!$B$9,Paramètres!$A$1:$I$89,3,0)*0.475*44/12</f>
        <v>1.0142791758933166E-2</v>
      </c>
      <c r="AC87" s="22">
        <f t="shared" si="57"/>
        <v>213.26426956000773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-1.7053025658242404E-13</v>
      </c>
      <c r="AJ87" s="13">
        <f>AI87*VLOOKUP('Données projet'!$B$10,Paramètres!$A$1:$I$89,3,0)*VLOOKUP('Données projet'!$B$10,Paramètres!$A$1:$I$89,5,0)</f>
        <v>-1.064108801074326E-13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197.20006068829753</v>
      </c>
      <c r="AO87" s="59">
        <f t="shared" si="90"/>
        <v>256.52014906581638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106.83418172855278</v>
      </c>
      <c r="AV87" s="21">
        <f>EXP(-LN(2)/25)*AV86+(1-EXP(-LN(2)/25))/(LN(2)/25)*Calculateur!AQ87*Calculateur!AS87*VLOOKUP('Données projet'!$B$10,Paramètres!$A$1:$I$89,3,0)*0.475*44/12</f>
        <v>20.696565782725113</v>
      </c>
      <c r="AW87" s="21">
        <f>EXP(-LN(2)/2)*AW86+(1-EXP(-LN(2)/2))/(LN(2)/2)*AQ87*AT87*VLOOKUP('Données projet'!$B$10,Paramètres!$A$1:$I$89,3,0)*0.475*44/12</f>
        <v>4.8633346114093107E-3</v>
      </c>
      <c r="AX87" s="21">
        <f t="shared" si="60"/>
        <v>127.53561084588931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102.76553481871144</v>
      </c>
      <c r="BJ87" s="59">
        <f t="shared" si="92"/>
        <v>345.99919346320343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13.300720911541847</v>
      </c>
      <c r="BQ87" s="21">
        <f>EXP(-LN(2)/25)*BQ86+(1-EXP(-LN(2)/25))/(LN(2)/25)*Calculateur!BL87*Calculateur!BN87*VLOOKUP('Données projet'!$B$11,Paramètres!$A$1:$I$89,3,0)*0.475*44/12</f>
        <v>3.4268855930523219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16.727606504594167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-1.1368683772161603E-13</v>
      </c>
      <c r="O88" s="13">
        <f>N88*VLOOKUP('Données projet'!$B$9,Paramètres!$A$1:$I$89,3,0)*VLOOKUP('Données projet'!$B$9,Paramètres!$A$1:$I$89,5,0)</f>
        <v>-6.3550942286383367E-14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410.32666742287449</v>
      </c>
      <c r="T88" s="59">
        <f t="shared" si="88"/>
        <v>494.36941732405256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180.3480783040076</v>
      </c>
      <c r="AA88" s="21">
        <f>EXP(-LN(2)/25)*AA87+(1-EXP(-LN(2)/25))/(LN(2)/25)*Calculateur!V88*Calculateur!X88*VLOOKUP('Données projet'!$B$9,Paramètres!$A$1:$I$89,3,0)*0.475*44/12</f>
        <v>28.497619507204501</v>
      </c>
      <c r="AB88" s="21">
        <f>EXP(-LN(2)/2)*AB87+(1-EXP(-LN(2)/2))/(LN(2)/2)*V88*Y88*VLOOKUP('Données projet'!$B$9,Paramètres!$A$1:$I$89,3,0)*0.475*44/12</f>
        <v>7.172036832904672E-3</v>
      </c>
      <c r="AC88" s="22">
        <f t="shared" si="57"/>
        <v>208.852869848045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-1.7053025658242404E-13</v>
      </c>
      <c r="AJ88" s="13">
        <f>AI88*VLOOKUP('Données projet'!$B$10,Paramètres!$A$1:$I$89,3,0)*VLOOKUP('Données projet'!$B$10,Paramètres!$A$1:$I$89,5,0)</f>
        <v>-1.064108801074326E-13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197.20006068829753</v>
      </c>
      <c r="AO88" s="59">
        <f t="shared" si="90"/>
        <v>256.52014906581638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104.73922858727246</v>
      </c>
      <c r="AV88" s="21">
        <f>EXP(-LN(2)/25)*AV87+(1-EXP(-LN(2)/25))/(LN(2)/25)*Calculateur!AQ88*Calculateur!AS88*VLOOKUP('Données projet'!$B$10,Paramètres!$A$1:$I$89,3,0)*0.475*44/12</f>
        <v>20.130617103011403</v>
      </c>
      <c r="AW88" s="21">
        <f>EXP(-LN(2)/2)*AW87+(1-EXP(-LN(2)/2))/(LN(2)/2)*AQ88*AT88*VLOOKUP('Données projet'!$B$10,Paramètres!$A$1:$I$89,3,0)*0.475*44/12</f>
        <v>3.4388968829067667E-3</v>
      </c>
      <c r="AX88" s="21">
        <f t="shared" si="60"/>
        <v>124.87328458716678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102.76553481871144</v>
      </c>
      <c r="BJ88" s="59">
        <f t="shared" si="92"/>
        <v>345.99919346320343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13.039901887105211</v>
      </c>
      <c r="BQ88" s="21">
        <f>EXP(-LN(2)/25)*BQ87+(1-EXP(-LN(2)/25))/(LN(2)/25)*Calculateur!BL88*Calculateur!BN88*VLOOKUP('Données projet'!$B$11,Paramètres!$A$1:$I$89,3,0)*0.475*44/12</f>
        <v>3.3331772262982251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16.373079113403435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-1.1368683772161603E-13</v>
      </c>
      <c r="O89" s="13">
        <f>N89*VLOOKUP('Données projet'!$B$9,Paramètres!$A$1:$I$89,3,0)*VLOOKUP('Données projet'!$B$9,Paramètres!$A$1:$I$89,5,0)</f>
        <v>-6.3550942286383367E-14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410.32666742287449</v>
      </c>
      <c r="T89" s="59">
        <f t="shared" si="88"/>
        <v>494.36941732405256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176.81156248993204</v>
      </c>
      <c r="AA89" s="21">
        <f>EXP(-LN(2)/25)*AA88+(1-EXP(-LN(2)/25))/(LN(2)/25)*Calculateur!V89*Calculateur!X89*VLOOKUP('Données projet'!$B$9,Paramètres!$A$1:$I$89,3,0)*0.475*44/12</f>
        <v>27.718350603155315</v>
      </c>
      <c r="AB89" s="21">
        <f>EXP(-LN(2)/2)*AB88+(1-EXP(-LN(2)/2))/(LN(2)/2)*V89*Y89*VLOOKUP('Données projet'!$B$9,Paramètres!$A$1:$I$89,3,0)*0.475*44/12</f>
        <v>5.0713958794665831E-3</v>
      </c>
      <c r="AC89" s="22">
        <f t="shared" si="57"/>
        <v>204.53498448896684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-1.7053025658242404E-13</v>
      </c>
      <c r="AJ89" s="13">
        <f>AI89*VLOOKUP('Données projet'!$B$10,Paramètres!$A$1:$I$89,3,0)*VLOOKUP('Données projet'!$B$10,Paramètres!$A$1:$I$89,5,0)</f>
        <v>-1.064108801074326E-13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197.20006068829753</v>
      </c>
      <c r="AO89" s="59">
        <f t="shared" si="90"/>
        <v>256.52014906581638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102.6853561992974</v>
      </c>
      <c r="AV89" s="21">
        <f>EXP(-LN(2)/25)*AV88+(1-EXP(-LN(2)/25))/(LN(2)/25)*Calculateur!AQ89*Calculateur!AS89*VLOOKUP('Données projet'!$B$10,Paramètres!$A$1:$I$89,3,0)*0.475*44/12</f>
        <v>19.580144319706413</v>
      </c>
      <c r="AW89" s="21">
        <f>EXP(-LN(2)/2)*AW88+(1-EXP(-LN(2)/2))/(LN(2)/2)*AQ89*AT89*VLOOKUP('Données projet'!$B$10,Paramètres!$A$1:$I$89,3,0)*0.475*44/12</f>
        <v>2.4316673057046554E-3</v>
      </c>
      <c r="AX89" s="21">
        <f t="shared" si="60"/>
        <v>122.26793218630951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102.76553481871144</v>
      </c>
      <c r="BJ89" s="59">
        <f t="shared" si="92"/>
        <v>345.99919346320343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12.784197364653881</v>
      </c>
      <c r="BQ89" s="21">
        <f>EXP(-LN(2)/25)*BQ88+(1-EXP(-LN(2)/25))/(LN(2)/25)*Calculateur!BL89*Calculateur!BN89*VLOOKUP('Données projet'!$B$11,Paramètres!$A$1:$I$89,3,0)*0.475*44/12</f>
        <v>3.2420313197609278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16.026228684414811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-1.1368683772161603E-13</v>
      </c>
      <c r="O90" s="13">
        <f>N90*VLOOKUP('Données projet'!$B$9,Paramètres!$A$1:$I$89,3,0)*VLOOKUP('Données projet'!$B$9,Paramètres!$A$1:$I$89,5,0)</f>
        <v>-6.3550942286383367E-14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410.32666742287449</v>
      </c>
      <c r="T90" s="59">
        <f t="shared" si="88"/>
        <v>494.36941732405256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173.34439559390884</v>
      </c>
      <c r="AA90" s="21">
        <f>EXP(-LN(2)/25)*AA89+(1-EXP(-LN(2)/25))/(LN(2)/25)*Calculateur!V90*Calculateur!X90*VLOOKUP('Données projet'!$B$9,Paramètres!$A$1:$I$89,3,0)*0.475*44/12</f>
        <v>26.960390848267327</v>
      </c>
      <c r="AB90" s="21">
        <f>EXP(-LN(2)/2)*AB89+(1-EXP(-LN(2)/2))/(LN(2)/2)*V90*Y90*VLOOKUP('Données projet'!$B$9,Paramètres!$A$1:$I$89,3,0)*0.475*44/12</f>
        <v>3.586018416452336E-3</v>
      </c>
      <c r="AC90" s="22">
        <f t="shared" si="57"/>
        <v>200.30837246059264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-1.7053025658242404E-13</v>
      </c>
      <c r="AJ90" s="13">
        <f>AI90*VLOOKUP('Données projet'!$B$10,Paramètres!$A$1:$I$89,3,0)*VLOOKUP('Données projet'!$B$10,Paramètres!$A$1:$I$89,5,0)</f>
        <v>-1.064108801074326E-13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197.20006068829753</v>
      </c>
      <c r="AO90" s="59">
        <f t="shared" si="90"/>
        <v>256.52014906581638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100.67175899611208</v>
      </c>
      <c r="AV90" s="21">
        <f>EXP(-LN(2)/25)*AV89+(1-EXP(-LN(2)/25))/(LN(2)/25)*Calculateur!AQ90*Calculateur!AS90*VLOOKUP('Données projet'!$B$10,Paramètres!$A$1:$I$89,3,0)*0.475*44/12</f>
        <v>19.044724243609004</v>
      </c>
      <c r="AW90" s="21">
        <f>EXP(-LN(2)/2)*AW89+(1-EXP(-LN(2)/2))/(LN(2)/2)*AQ90*AT90*VLOOKUP('Données projet'!$B$10,Paramètres!$A$1:$I$89,3,0)*0.475*44/12</f>
        <v>1.7194484414533833E-3</v>
      </c>
      <c r="AX90" s="21">
        <f t="shared" si="60"/>
        <v>119.71820268816252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102.76553481871144</v>
      </c>
      <c r="BJ90" s="59">
        <f t="shared" si="92"/>
        <v>345.99919346320343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12.533507051923463</v>
      </c>
      <c r="BQ90" s="21">
        <f>EXP(-LN(2)/25)*BQ89+(1-EXP(-LN(2)/25))/(LN(2)/25)*Calculateur!BL90*Calculateur!BN90*VLOOKUP('Données projet'!$B$11,Paramètres!$A$1:$I$89,3,0)*0.475*44/12</f>
        <v>3.1533778028310477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15.68688485475451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-1.1368683772161603E-13</v>
      </c>
      <c r="O91" s="13">
        <f>N91*VLOOKUP('Données projet'!$B$9,Paramètres!$A$1:$I$89,3,0)*VLOOKUP('Données projet'!$B$9,Paramètres!$A$1:$I$89,5,0)</f>
        <v>-6.3550942286383367E-14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410.32666742287449</v>
      </c>
      <c r="T91" s="59">
        <f t="shared" si="88"/>
        <v>494.36941732405256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169.94521772595365</v>
      </c>
      <c r="AA91" s="21">
        <f>EXP(-LN(2)/25)*AA90+(1-EXP(-LN(2)/25))/(LN(2)/25)*Calculateur!V91*Calculateur!X91*VLOOKUP('Données projet'!$B$9,Paramètres!$A$1:$I$89,3,0)*0.475*44/12</f>
        <v>26.223157542736121</v>
      </c>
      <c r="AB91" s="21">
        <f>EXP(-LN(2)/2)*AB90+(1-EXP(-LN(2)/2))/(LN(2)/2)*V91*Y91*VLOOKUP('Données projet'!$B$9,Paramètres!$A$1:$I$89,3,0)*0.475*44/12</f>
        <v>2.5356979397332916E-3</v>
      </c>
      <c r="AC91" s="22">
        <f t="shared" si="57"/>
        <v>196.17091096662949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-1.7053025658242404E-13</v>
      </c>
      <c r="AJ91" s="13">
        <f>AI91*VLOOKUP('Données projet'!$B$10,Paramètres!$A$1:$I$89,3,0)*VLOOKUP('Données projet'!$B$10,Paramètres!$A$1:$I$89,5,0)</f>
        <v>-1.064108801074326E-13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197.20006068829753</v>
      </c>
      <c r="AO91" s="59">
        <f t="shared" si="90"/>
        <v>256.52014906581638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98.697647205908197</v>
      </c>
      <c r="AV91" s="21">
        <f>EXP(-LN(2)/25)*AV90+(1-EXP(-LN(2)/25))/(LN(2)/25)*Calculateur!AQ91*Calculateur!AS91*VLOOKUP('Données projet'!$B$10,Paramètres!$A$1:$I$89,3,0)*0.475*44/12</f>
        <v>18.523945257648993</v>
      </c>
      <c r="AW91" s="21">
        <f>EXP(-LN(2)/2)*AW90+(1-EXP(-LN(2)/2))/(LN(2)/2)*AQ91*AT91*VLOOKUP('Données projet'!$B$10,Paramètres!$A$1:$I$89,3,0)*0.475*44/12</f>
        <v>1.2158336528523277E-3</v>
      </c>
      <c r="AX91" s="21">
        <f t="shared" si="60"/>
        <v>117.22280829721004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102.76553481871144</v>
      </c>
      <c r="BJ91" s="59">
        <f t="shared" si="92"/>
        <v>345.99919346320343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12.287732623319696</v>
      </c>
      <c r="BQ91" s="21">
        <f>EXP(-LN(2)/25)*BQ90+(1-EXP(-LN(2)/25))/(LN(2)/25)*Calculateur!BL91*Calculateur!BN91*VLOOKUP('Données projet'!$B$11,Paramètres!$A$1:$I$89,3,0)*0.475*44/12</f>
        <v>3.0671485209837011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15.354881144303398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-1.1368683772161603E-13</v>
      </c>
      <c r="O92" s="13">
        <f>N92*VLOOKUP('Données projet'!$B$9,Paramètres!$A$1:$I$89,3,0)*VLOOKUP('Données projet'!$B$9,Paramètres!$A$1:$I$89,5,0)</f>
        <v>-6.3550942286383367E-14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410.32666742287449</v>
      </c>
      <c r="T92" s="59">
        <f t="shared" si="88"/>
        <v>494.36941732405256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166.6126956626953</v>
      </c>
      <c r="AA92" s="21">
        <f>EXP(-LN(2)/25)*AA91+(1-EXP(-LN(2)/25))/(LN(2)/25)*Calculateur!V92*Calculateur!X92*VLOOKUP('Données projet'!$B$9,Paramètres!$A$1:$I$89,3,0)*0.475*44/12</f>
        <v>25.506083920714079</v>
      </c>
      <c r="AB92" s="21">
        <f>EXP(-LN(2)/2)*AB91+(1-EXP(-LN(2)/2))/(LN(2)/2)*V92*Y92*VLOOKUP('Données projet'!$B$9,Paramètres!$A$1:$I$89,3,0)*0.475*44/12</f>
        <v>1.793009208226168E-3</v>
      </c>
      <c r="AC92" s="22">
        <f t="shared" si="57"/>
        <v>192.12057259261761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-1.7053025658242404E-13</v>
      </c>
      <c r="AJ92" s="13">
        <f>AI92*VLOOKUP('Données projet'!$B$10,Paramètres!$A$1:$I$89,3,0)*VLOOKUP('Données projet'!$B$10,Paramètres!$A$1:$I$89,5,0)</f>
        <v>-1.064108801074326E-13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197.20006068829753</v>
      </c>
      <c r="AO92" s="59">
        <f t="shared" si="90"/>
        <v>256.52014906581638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96.762246543820908</v>
      </c>
      <c r="AV92" s="21">
        <f>EXP(-LN(2)/25)*AV91+(1-EXP(-LN(2)/25))/(LN(2)/25)*Calculateur!AQ92*Calculateur!AS92*VLOOKUP('Données projet'!$B$10,Paramètres!$A$1:$I$89,3,0)*0.475*44/12</f>
        <v>18.017407000446639</v>
      </c>
      <c r="AW92" s="21">
        <f>EXP(-LN(2)/2)*AW91+(1-EXP(-LN(2)/2))/(LN(2)/2)*AQ92*AT92*VLOOKUP('Données projet'!$B$10,Paramètres!$A$1:$I$89,3,0)*0.475*44/12</f>
        <v>8.5972422072669167E-4</v>
      </c>
      <c r="AX92" s="21">
        <f t="shared" si="60"/>
        <v>114.78051326848828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102.76553481871144</v>
      </c>
      <c r="BJ92" s="59">
        <f t="shared" si="92"/>
        <v>345.99919346320343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12.04677768135325</v>
      </c>
      <c r="BQ92" s="21">
        <f>EXP(-LN(2)/25)*BQ91+(1-EXP(-LN(2)/25))/(LN(2)/25)*Calculateur!BL92*Calculateur!BN92*VLOOKUP('Données projet'!$B$11,Paramètres!$A$1:$I$89,3,0)*0.475*44/12</f>
        <v>2.9832771833830711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15.030054864736321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-1.1368683772161603E-13</v>
      </c>
      <c r="O93" s="13">
        <f>N93*VLOOKUP('Données projet'!$B$9,Paramètres!$A$1:$I$89,3,0)*VLOOKUP('Données projet'!$B$9,Paramètres!$A$1:$I$89,5,0)</f>
        <v>-6.3550942286383367E-14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410.32666742287449</v>
      </c>
      <c r="T93" s="59">
        <f t="shared" si="88"/>
        <v>494.36941732405256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163.34552232445969</v>
      </c>
      <c r="AA93" s="21">
        <f>EXP(-LN(2)/25)*AA92+(1-EXP(-LN(2)/25))/(LN(2)/25)*Calculateur!V93*Calculateur!X93*VLOOKUP('Données projet'!$B$9,Paramètres!$A$1:$I$89,3,0)*0.475*44/12</f>
        <v>24.808618714595493</v>
      </c>
      <c r="AB93" s="21">
        <f>EXP(-LN(2)/2)*AB92+(1-EXP(-LN(2)/2))/(LN(2)/2)*V93*Y93*VLOOKUP('Données projet'!$B$9,Paramètres!$A$1:$I$89,3,0)*0.475*44/12</f>
        <v>1.2678489698666458E-3</v>
      </c>
      <c r="AC93" s="22">
        <f t="shared" si="57"/>
        <v>188.15540888802505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-1.7053025658242404E-13</v>
      </c>
      <c r="AJ93" s="13">
        <f>AI93*VLOOKUP('Données projet'!$B$10,Paramètres!$A$1:$I$89,3,0)*VLOOKUP('Données projet'!$B$10,Paramètres!$A$1:$I$89,5,0)</f>
        <v>-1.064108801074326E-13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197.20006068829753</v>
      </c>
      <c r="AO93" s="59">
        <f t="shared" si="90"/>
        <v>256.52014906581638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94.864797908239311</v>
      </c>
      <c r="AV93" s="21">
        <f>EXP(-LN(2)/25)*AV92+(1-EXP(-LN(2)/25))/(LN(2)/25)*Calculateur!AQ93*Calculateur!AS93*VLOOKUP('Données projet'!$B$10,Paramètres!$A$1:$I$89,3,0)*0.475*44/12</f>
        <v>17.524720058525169</v>
      </c>
      <c r="AW93" s="21">
        <f>EXP(-LN(2)/2)*AW92+(1-EXP(-LN(2)/2))/(LN(2)/2)*AQ93*AT93*VLOOKUP('Données projet'!$B$10,Paramètres!$A$1:$I$89,3,0)*0.475*44/12</f>
        <v>6.0791682642616384E-4</v>
      </c>
      <c r="AX93" s="21">
        <f t="shared" si="60"/>
        <v>112.39012588359091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102.76553481871144</v>
      </c>
      <c r="BJ93" s="59">
        <f t="shared" si="92"/>
        <v>345.99919346320343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11.810547718830762</v>
      </c>
      <c r="BQ93" s="21">
        <f>EXP(-LN(2)/25)*BQ92+(1-EXP(-LN(2)/25))/(LN(2)/25)*Calculateur!BL93*Calculateur!BN93*VLOOKUP('Données projet'!$B$11,Paramètres!$A$1:$I$89,3,0)*0.475*44/12</f>
        <v>2.9016993119197325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14.712247030750493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-1.1368683772161603E-13</v>
      </c>
      <c r="O94" s="13">
        <f>N94*VLOOKUP('Données projet'!$B$9,Paramètres!$A$1:$I$89,3,0)*VLOOKUP('Données projet'!$B$9,Paramètres!$A$1:$I$89,5,0)</f>
        <v>-6.3550942286383367E-14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410.32666742287449</v>
      </c>
      <c r="T94" s="59">
        <f t="shared" si="88"/>
        <v>494.36941732405256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160.14241626260792</v>
      </c>
      <c r="AA94" s="21">
        <f>EXP(-LN(2)/25)*AA93+(1-EXP(-LN(2)/25))/(LN(2)/25)*Calculateur!V94*Calculateur!X94*VLOOKUP('Données projet'!$B$9,Paramètres!$A$1:$I$89,3,0)*0.475*44/12</f>
        <v>24.130225731216321</v>
      </c>
      <c r="AB94" s="21">
        <f>EXP(-LN(2)/2)*AB93+(1-EXP(-LN(2)/2))/(LN(2)/2)*V94*Y94*VLOOKUP('Données projet'!$B$9,Paramètres!$A$1:$I$89,3,0)*0.475*44/12</f>
        <v>8.96504604113084E-4</v>
      </c>
      <c r="AC94" s="22">
        <f t="shared" si="57"/>
        <v>184.27353849842834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-1.7053025658242404E-13</v>
      </c>
      <c r="AJ94" s="13">
        <f>AI94*VLOOKUP('Données projet'!$B$10,Paramètres!$A$1:$I$89,3,0)*VLOOKUP('Données projet'!$B$10,Paramètres!$A$1:$I$89,5,0)</f>
        <v>-1.064108801074326E-13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197.20006068829753</v>
      </c>
      <c r="AO94" s="59">
        <f t="shared" si="90"/>
        <v>256.52014906581638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93.004557083072086</v>
      </c>
      <c r="AV94" s="21">
        <f>EXP(-LN(2)/25)*AV93+(1-EXP(-LN(2)/25))/(LN(2)/25)*Calculateur!AQ94*Calculateur!AS94*VLOOKUP('Données projet'!$B$10,Paramètres!$A$1:$I$89,3,0)*0.475*44/12</f>
        <v>17.045505666939825</v>
      </c>
      <c r="AW94" s="21">
        <f>EXP(-LN(2)/2)*AW93+(1-EXP(-LN(2)/2))/(LN(2)/2)*AQ94*AT94*VLOOKUP('Données projet'!$B$10,Paramètres!$A$1:$I$89,3,0)*0.475*44/12</f>
        <v>4.2986211036334583E-4</v>
      </c>
      <c r="AX94" s="21">
        <f t="shared" si="60"/>
        <v>110.05049261212227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102.76553481871144</v>
      </c>
      <c r="BJ94" s="59">
        <f t="shared" si="92"/>
        <v>345.99919346320343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11.578950081787291</v>
      </c>
      <c r="BQ94" s="21">
        <f>EXP(-LN(2)/25)*BQ93+(1-EXP(-LN(2)/25))/(LN(2)/25)*Calculateur!BL94*Calculateur!BN94*VLOOKUP('Données projet'!$B$11,Paramètres!$A$1:$I$89,3,0)*0.475*44/12</f>
        <v>2.8223521916415524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14.401302273428843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-1.1368683772161603E-13</v>
      </c>
      <c r="O95" s="13">
        <f>N95*VLOOKUP('Données projet'!$B$9,Paramètres!$A$1:$I$89,3,0)*VLOOKUP('Données projet'!$B$9,Paramètres!$A$1:$I$89,5,0)</f>
        <v>-6.3550942286383367E-14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410.32666742287449</v>
      </c>
      <c r="T95" s="59">
        <f t="shared" si="88"/>
        <v>494.36941732405256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157.00212115692727</v>
      </c>
      <c r="AA95" s="21">
        <f>EXP(-LN(2)/25)*AA94+(1-EXP(-LN(2)/25))/(LN(2)/25)*Calculateur!V95*Calculateur!X95*VLOOKUP('Données projet'!$B$9,Paramètres!$A$1:$I$89,3,0)*0.475*44/12</f>
        <v>23.470383439642788</v>
      </c>
      <c r="AB95" s="21">
        <f>EXP(-LN(2)/2)*AB94+(1-EXP(-LN(2)/2))/(LN(2)/2)*V95*Y95*VLOOKUP('Données projet'!$B$9,Paramètres!$A$1:$I$89,3,0)*0.475*44/12</f>
        <v>6.3392448493332289E-4</v>
      </c>
      <c r="AC95" s="22">
        <f t="shared" si="57"/>
        <v>180.47313852105498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-1.7053025658242404E-13</v>
      </c>
      <c r="AJ95" s="13">
        <f>AI95*VLOOKUP('Données projet'!$B$10,Paramètres!$A$1:$I$89,3,0)*VLOOKUP('Données projet'!$B$10,Paramètres!$A$1:$I$89,5,0)</f>
        <v>-1.064108801074326E-13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197.20006068829753</v>
      </c>
      <c r="AO95" s="59">
        <f t="shared" si="90"/>
        <v>256.52014906581638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91.180794445851518</v>
      </c>
      <c r="AV95" s="21">
        <f>EXP(-LN(2)/25)*AV94+(1-EXP(-LN(2)/25))/(LN(2)/25)*Calculateur!AQ95*Calculateur!AS95*VLOOKUP('Données projet'!$B$10,Paramètres!$A$1:$I$89,3,0)*0.475*44/12</f>
        <v>16.579395418093171</v>
      </c>
      <c r="AW95" s="21">
        <f>EXP(-LN(2)/2)*AW94+(1-EXP(-LN(2)/2))/(LN(2)/2)*AQ95*AT95*VLOOKUP('Données projet'!$B$10,Paramètres!$A$1:$I$89,3,0)*0.475*44/12</f>
        <v>3.0395841321308192E-4</v>
      </c>
      <c r="AX95" s="21">
        <f t="shared" si="60"/>
        <v>107.7604938223579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102.76553481871144</v>
      </c>
      <c r="BJ95" s="59">
        <f t="shared" si="92"/>
        <v>345.99919346320343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11.351893933145632</v>
      </c>
      <c r="BQ95" s="21">
        <f>EXP(-LN(2)/25)*BQ94+(1-EXP(-LN(2)/25))/(LN(2)/25)*Calculateur!BL95*Calculateur!BN95*VLOOKUP('Données projet'!$B$11,Paramètres!$A$1:$I$89,3,0)*0.475*44/12</f>
        <v>2.7451748225400627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14.097068755685696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-1.1368683772161603E-13</v>
      </c>
      <c r="O96" s="13">
        <f>N96*VLOOKUP('Données projet'!$B$9,Paramètres!$A$1:$I$89,3,0)*VLOOKUP('Données projet'!$B$9,Paramètres!$A$1:$I$89,5,0)</f>
        <v>-6.3550942286383367E-14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410.32666742287449</v>
      </c>
      <c r="T96" s="59">
        <f t="shared" si="88"/>
        <v>494.36941732405256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153.92340532287815</v>
      </c>
      <c r="AA96" s="21">
        <f>EXP(-LN(2)/25)*AA95+(1-EXP(-LN(2)/25))/(LN(2)/25)*Calculateur!V96*Calculateur!X96*VLOOKUP('Données projet'!$B$9,Paramètres!$A$1:$I$89,3,0)*0.475*44/12</f>
        <v>22.828584570231932</v>
      </c>
      <c r="AB96" s="21">
        <f>EXP(-LN(2)/2)*AB95+(1-EXP(-LN(2)/2))/(LN(2)/2)*V96*Y96*VLOOKUP('Données projet'!$B$9,Paramètres!$A$1:$I$89,3,0)*0.475*44/12</f>
        <v>4.48252302056542E-4</v>
      </c>
      <c r="AC96" s="22">
        <f t="shared" si="57"/>
        <v>176.75243814541213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-1.7053025658242404E-13</v>
      </c>
      <c r="AJ96" s="13">
        <f>AI96*VLOOKUP('Données projet'!$B$10,Paramètres!$A$1:$I$89,3,0)*VLOOKUP('Données projet'!$B$10,Paramètres!$A$1:$I$89,5,0)</f>
        <v>-1.064108801074326E-13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197.20006068829753</v>
      </c>
      <c r="AO96" s="59">
        <f t="shared" si="90"/>
        <v>256.52014906581638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89.392794681561483</v>
      </c>
      <c r="AV96" s="21">
        <f>EXP(-LN(2)/25)*AV95+(1-EXP(-LN(2)/25))/(LN(2)/25)*Calculateur!AQ96*Calculateur!AS96*VLOOKUP('Données projet'!$B$10,Paramètres!$A$1:$I$89,3,0)*0.475*44/12</f>
        <v>16.126030978512901</v>
      </c>
      <c r="AW96" s="21">
        <f>EXP(-LN(2)/2)*AW95+(1-EXP(-LN(2)/2))/(LN(2)/2)*AQ96*AT96*VLOOKUP('Données projet'!$B$10,Paramètres!$A$1:$I$89,3,0)*0.475*44/12</f>
        <v>2.1493105518167292E-4</v>
      </c>
      <c r="AX96" s="21">
        <f t="shared" si="60"/>
        <v>105.51904059112957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102.76553481871144</v>
      </c>
      <c r="BJ96" s="59">
        <f t="shared" si="92"/>
        <v>345.99919346320343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11.129290217088259</v>
      </c>
      <c r="BQ96" s="21">
        <f>EXP(-LN(2)/25)*BQ95+(1-EXP(-LN(2)/25))/(LN(2)/25)*Calculateur!BL96*Calculateur!BN96*VLOOKUP('Données projet'!$B$11,Paramètres!$A$1:$I$89,3,0)*0.475*44/12</f>
        <v>2.670107872655235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13.799398089743494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-1.1368683772161603E-13</v>
      </c>
      <c r="O97" s="13">
        <f>N97*VLOOKUP('Données projet'!$B$9,Paramètres!$A$1:$I$89,3,0)*VLOOKUP('Données projet'!$B$9,Paramètres!$A$1:$I$89,5,0)</f>
        <v>-6.3550942286383367E-14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410.32666742287449</v>
      </c>
      <c r="T97" s="59">
        <f t="shared" si="88"/>
        <v>494.36941732405256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150.90506122850348</v>
      </c>
      <c r="AA97" s="21">
        <f>EXP(-LN(2)/25)*AA96+(1-EXP(-LN(2)/25))/(LN(2)/25)*Calculateur!V97*Calculateur!X97*VLOOKUP('Données projet'!$B$9,Paramètres!$A$1:$I$89,3,0)*0.475*44/12</f>
        <v>22.204335724655852</v>
      </c>
      <c r="AB97" s="21">
        <f>EXP(-LN(2)/2)*AB96+(1-EXP(-LN(2)/2))/(LN(2)/2)*V97*Y97*VLOOKUP('Données projet'!$B$9,Paramètres!$A$1:$I$89,3,0)*0.475*44/12</f>
        <v>3.1696224246666145E-4</v>
      </c>
      <c r="AC97" s="22">
        <f t="shared" si="57"/>
        <v>173.10971391540181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-1.7053025658242404E-13</v>
      </c>
      <c r="AJ97" s="13">
        <f>AI97*VLOOKUP('Données projet'!$B$10,Paramètres!$A$1:$I$89,3,0)*VLOOKUP('Données projet'!$B$10,Paramètres!$A$1:$I$89,5,0)</f>
        <v>-1.064108801074326E-13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197.20006068829753</v>
      </c>
      <c r="AO97" s="59">
        <f t="shared" si="90"/>
        <v>256.52014906581638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87.639856502076995</v>
      </c>
      <c r="AV97" s="21">
        <f>EXP(-LN(2)/25)*AV96+(1-EXP(-LN(2)/25))/(LN(2)/25)*Calculateur!AQ97*Calculateur!AS97*VLOOKUP('Données projet'!$B$10,Paramètres!$A$1:$I$89,3,0)*0.475*44/12</f>
        <v>15.685063813374352</v>
      </c>
      <c r="AW97" s="21">
        <f>EXP(-LN(2)/2)*AW96+(1-EXP(-LN(2)/2))/(LN(2)/2)*AQ97*AT97*VLOOKUP('Données projet'!$B$10,Paramètres!$A$1:$I$89,3,0)*0.475*44/12</f>
        <v>1.5197920660654096E-4</v>
      </c>
      <c r="AX97" s="21">
        <f t="shared" si="60"/>
        <v>103.32507229465796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102.76553481871144</v>
      </c>
      <c r="BJ97" s="59">
        <f t="shared" si="92"/>
        <v>345.99919346320343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10.911051624127913</v>
      </c>
      <c r="BQ97" s="21">
        <f>EXP(-LN(2)/25)*BQ96+(1-EXP(-LN(2)/25))/(LN(2)/25)*Calculateur!BL97*Calculateur!BN97*VLOOKUP('Données projet'!$B$11,Paramètres!$A$1:$I$89,3,0)*0.475*44/12</f>
        <v>2.5970936324626073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13.50814525659052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-1.1368683772161603E-13</v>
      </c>
      <c r="O98" s="13">
        <f>N98*VLOOKUP('Données projet'!$B$9,Paramètres!$A$1:$I$89,3,0)*VLOOKUP('Données projet'!$B$9,Paramètres!$A$1:$I$89,5,0)</f>
        <v>-6.3550942286383367E-14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410.32666742287449</v>
      </c>
      <c r="T98" s="59">
        <f t="shared" si="88"/>
        <v>494.36941732405256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147.94590502081138</v>
      </c>
      <c r="AA98" s="21">
        <f>EXP(-LN(2)/25)*AA97+(1-EXP(-LN(2)/25))/(LN(2)/25)*Calculateur!V98*Calculateur!X98*VLOOKUP('Données projet'!$B$9,Paramètres!$A$1:$I$89,3,0)*0.475*44/12</f>
        <v>21.59715699658987</v>
      </c>
      <c r="AB98" s="21">
        <f>EXP(-LN(2)/2)*AB97+(1-EXP(-LN(2)/2))/(LN(2)/2)*V98*Y98*VLOOKUP('Données projet'!$B$9,Paramètres!$A$1:$I$89,3,0)*0.475*44/12</f>
        <v>2.24126151028271E-4</v>
      </c>
      <c r="AC98" s="22">
        <f t="shared" si="57"/>
        <v>169.54328614355228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-1.7053025658242404E-13</v>
      </c>
      <c r="AJ98" s="13">
        <f>AI98*VLOOKUP('Données projet'!$B$10,Paramètres!$A$1:$I$89,3,0)*VLOOKUP('Données projet'!$B$10,Paramètres!$A$1:$I$89,5,0)</f>
        <v>-1.064108801074326E-13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197.20006068829753</v>
      </c>
      <c r="AO98" s="59">
        <f t="shared" si="90"/>
        <v>256.52014906581638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85.92129237110548</v>
      </c>
      <c r="AV98" s="21">
        <f>EXP(-LN(2)/25)*AV97+(1-EXP(-LN(2)/25))/(LN(2)/25)*Calculateur!AQ98*Calculateur!AS98*VLOOKUP('Données projet'!$B$10,Paramètres!$A$1:$I$89,3,0)*0.475*44/12</f>
        <v>15.256154918555973</v>
      </c>
      <c r="AW98" s="21">
        <f>EXP(-LN(2)/2)*AW97+(1-EXP(-LN(2)/2))/(LN(2)/2)*AQ98*AT98*VLOOKUP('Données projet'!$B$10,Paramètres!$A$1:$I$89,3,0)*0.475*44/12</f>
        <v>1.0746552759083646E-4</v>
      </c>
      <c r="AX98" s="21">
        <f t="shared" si="60"/>
        <v>101.17755475518905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102.76553481871144</v>
      </c>
      <c r="BJ98" s="59">
        <f t="shared" si="92"/>
        <v>345.99919346320343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10.697092556863121</v>
      </c>
      <c r="BQ98" s="21">
        <f>EXP(-LN(2)/25)*BQ97+(1-EXP(-LN(2)/25))/(LN(2)/25)*Calculateur!BL98*Calculateur!BN98*VLOOKUP('Données projet'!$B$11,Paramètres!$A$1:$I$89,3,0)*0.475*44/12</f>
        <v>2.5260759705076987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13.22316852737082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-1.1368683772161603E-13</v>
      </c>
      <c r="O99" s="13">
        <f>N99*VLOOKUP('Données projet'!$B$9,Paramètres!$A$1:$I$89,3,0)*VLOOKUP('Données projet'!$B$9,Paramètres!$A$1:$I$89,5,0)</f>
        <v>-6.3550942286383367E-14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410.32666742287449</v>
      </c>
      <c r="T99" s="59">
        <f t="shared" si="88"/>
        <v>494.36941732405256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145.04477606144505</v>
      </c>
      <c r="AA99" s="21">
        <f>EXP(-LN(2)/25)*AA98+(1-EXP(-LN(2)/25))/(LN(2)/25)*Calculateur!V99*Calculateur!X99*VLOOKUP('Données projet'!$B$9,Paramètres!$A$1:$I$89,3,0)*0.475*44/12</f>
        <v>21.006581602772993</v>
      </c>
      <c r="AB99" s="21">
        <f>EXP(-LN(2)/2)*AB98+(1-EXP(-LN(2)/2))/(LN(2)/2)*V99*Y99*VLOOKUP('Données projet'!$B$9,Paramètres!$A$1:$I$89,3,0)*0.475*44/12</f>
        <v>1.5848112123333072E-4</v>
      </c>
      <c r="AC99" s="22">
        <f t="shared" si="57"/>
        <v>166.05151614533929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-1.7053025658242404E-13</v>
      </c>
      <c r="AJ99" s="13">
        <f>AI99*VLOOKUP('Données projet'!$B$10,Paramètres!$A$1:$I$89,3,0)*VLOOKUP('Données projet'!$B$10,Paramètres!$A$1:$I$89,5,0)</f>
        <v>-1.064108801074326E-13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197.20006068829753</v>
      </c>
      <c r="AO99" s="59">
        <f t="shared" si="90"/>
        <v>256.52014906581638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84.236428234521711</v>
      </c>
      <c r="AV99" s="21">
        <f>EXP(-LN(2)/25)*AV98+(1-EXP(-LN(2)/25))/(LN(2)/25)*Calculateur!AQ99*Calculateur!AS99*VLOOKUP('Données projet'!$B$10,Paramètres!$A$1:$I$89,3,0)*0.475*44/12</f>
        <v>14.838974560021741</v>
      </c>
      <c r="AW99" s="21">
        <f>EXP(-LN(2)/2)*AW98+(1-EXP(-LN(2)/2))/(LN(2)/2)*AQ99*AT99*VLOOKUP('Données projet'!$B$10,Paramètres!$A$1:$I$89,3,0)*0.475*44/12</f>
        <v>7.598960330327048E-5</v>
      </c>
      <c r="AX99" s="21">
        <f t="shared" si="60"/>
        <v>99.075478784146753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102.76553481871144</v>
      </c>
      <c r="BJ99" s="59">
        <f t="shared" si="92"/>
        <v>345.99919346320343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10.487329096405245</v>
      </c>
      <c r="BQ99" s="21">
        <f>EXP(-LN(2)/25)*BQ98+(1-EXP(-LN(2)/25))/(LN(2)/25)*Calculateur!BL99*Calculateur!BN99*VLOOKUP('Données projet'!$B$11,Paramètres!$A$1:$I$89,3,0)*0.475*44/12</f>
        <v>2.4570002902536037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12.944329386658849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-1.1368683772161603E-13</v>
      </c>
      <c r="O100" s="13">
        <f>N100*VLOOKUP('Données projet'!$B$9,Paramètres!$A$1:$I$89,3,0)*VLOOKUP('Données projet'!$B$9,Paramètres!$A$1:$I$89,5,0)</f>
        <v>-6.3550942286383367E-14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410.32666742287449</v>
      </c>
      <c r="T100" s="59">
        <f t="shared" si="88"/>
        <v>494.36941732405256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142.20053647145795</v>
      </c>
      <c r="AA100" s="21">
        <f>EXP(-LN(2)/25)*AA99+(1-EXP(-LN(2)/25))/(LN(2)/25)*Calculateur!V100*Calculateur!X100*VLOOKUP('Données projet'!$B$9,Paramètres!$A$1:$I$89,3,0)*0.475*44/12</f>
        <v>20.43215552415705</v>
      </c>
      <c r="AB100" s="21">
        <f>EXP(-LN(2)/2)*AB99+(1-EXP(-LN(2)/2))/(LN(2)/2)*V100*Y100*VLOOKUP('Données projet'!$B$9,Paramètres!$A$1:$I$89,3,0)*0.475*44/12</f>
        <v>1.120630755141355E-4</v>
      </c>
      <c r="AC100" s="22">
        <f t="shared" si="57"/>
        <v>162.63280405869051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-1.7053025658242404E-13</v>
      </c>
      <c r="AJ100" s="13">
        <f>AI100*VLOOKUP('Données projet'!$B$10,Paramètres!$A$1:$I$89,3,0)*VLOOKUP('Données projet'!$B$10,Paramètres!$A$1:$I$89,5,0)</f>
        <v>-1.064108801074326E-13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197.20006068829753</v>
      </c>
      <c r="AO100" s="59">
        <f t="shared" si="90"/>
        <v>256.52014906581638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82.5846032559907</v>
      </c>
      <c r="AV100" s="21">
        <f>EXP(-LN(2)/25)*AV99+(1-EXP(-LN(2)/25))/(LN(2)/25)*Calculateur!AQ100*Calculateur!AS100*VLOOKUP('Données projet'!$B$10,Paramètres!$A$1:$I$89,3,0)*0.475*44/12</f>
        <v>14.433202020330191</v>
      </c>
      <c r="AW100" s="21">
        <f>EXP(-LN(2)/2)*AW99+(1-EXP(-LN(2)/2))/(LN(2)/2)*AQ100*AT100*VLOOKUP('Données projet'!$B$10,Paramètres!$A$1:$I$89,3,0)*0.475*44/12</f>
        <v>5.3732763795418229E-5</v>
      </c>
      <c r="AX100" s="21">
        <f t="shared" si="60"/>
        <v>97.017859009084674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102.76553481871144</v>
      </c>
      <c r="BJ100" s="59">
        <f t="shared" si="92"/>
        <v>345.99919346320343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10.281678969463872</v>
      </c>
      <c r="BQ100" s="21">
        <f>EXP(-LN(2)/25)*BQ99+(1-EXP(-LN(2)/25))/(LN(2)/25)*Calculateur!BL100*Calculateur!BN100*VLOOKUP('Données projet'!$B$11,Paramètres!$A$1:$I$89,3,0)*0.475*44/12</f>
        <v>2.3898134881085893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12.671492457572462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-1.1368683772161603E-13</v>
      </c>
      <c r="O101" s="13">
        <f>N101*VLOOKUP('Données projet'!$B$9,Paramètres!$A$1:$I$89,3,0)*VLOOKUP('Données projet'!$B$9,Paramètres!$A$1:$I$89,5,0)</f>
        <v>-6.3550942286383367E-14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410.32666742287449</v>
      </c>
      <c r="T101" s="59">
        <f t="shared" si="88"/>
        <v>494.36941732405256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139.41207068501566</v>
      </c>
      <c r="AA101" s="21">
        <f>EXP(-LN(2)/25)*AA100+(1-EXP(-LN(2)/25))/(LN(2)/25)*Calculateur!V101*Calculateur!X101*VLOOKUP('Données projet'!$B$9,Paramètres!$A$1:$I$89,3,0)*0.475*44/12</f>
        <v>19.873437156868615</v>
      </c>
      <c r="AB101" s="21">
        <f>EXP(-LN(2)/2)*AB100+(1-EXP(-LN(2)/2))/(LN(2)/2)*V101*Y101*VLOOKUP('Données projet'!$B$9,Paramètres!$A$1:$I$89,3,0)*0.475*44/12</f>
        <v>7.9240560616665361E-5</v>
      </c>
      <c r="AC101" s="22">
        <f t="shared" si="57"/>
        <v>159.28558708244489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-1.7053025658242404E-13</v>
      </c>
      <c r="AJ101" s="13">
        <f>AI101*VLOOKUP('Données projet'!$B$10,Paramètres!$A$1:$I$89,3,0)*VLOOKUP('Données projet'!$B$10,Paramètres!$A$1:$I$89,5,0)</f>
        <v>-1.064108801074326E-13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197.20006068829753</v>
      </c>
      <c r="AO101" s="59">
        <f t="shared" si="90"/>
        <v>256.52014906581638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80.965169557774928</v>
      </c>
      <c r="AV101" s="21">
        <f>EXP(-LN(2)/25)*AV100+(1-EXP(-LN(2)/25))/(LN(2)/25)*Calculateur!AQ101*Calculateur!AS101*VLOOKUP('Données projet'!$B$10,Paramètres!$A$1:$I$89,3,0)*0.475*44/12</f>
        <v>14.038525352075155</v>
      </c>
      <c r="AW101" s="21">
        <f>EXP(-LN(2)/2)*AW100+(1-EXP(-LN(2)/2))/(LN(2)/2)*AQ101*AT101*VLOOKUP('Données projet'!$B$10,Paramètres!$A$1:$I$89,3,0)*0.475*44/12</f>
        <v>3.799480165163524E-5</v>
      </c>
      <c r="AX101" s="21">
        <f t="shared" si="60"/>
        <v>95.003732904651741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102.76553481871144</v>
      </c>
      <c r="BJ101" s="59">
        <f t="shared" si="92"/>
        <v>345.99919346320343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10.080061516077627</v>
      </c>
      <c r="BQ101" s="21">
        <f>EXP(-LN(2)/25)*BQ100+(1-EXP(-LN(2)/25))/(LN(2)/25)*Calculateur!BL101*Calculateur!BN101*VLOOKUP('Données projet'!$B$11,Paramètres!$A$1:$I$89,3,0)*0.475*44/12</f>
        <v>2.3244639126014306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12.404525428679058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-1.1368683772161603E-13</v>
      </c>
      <c r="O102" s="13">
        <f>N102*VLOOKUP('Données projet'!$B$9,Paramètres!$A$1:$I$89,3,0)*VLOOKUP('Données projet'!$B$9,Paramètres!$A$1:$I$89,5,0)</f>
        <v>-6.3550942286383367E-14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410.32666742287449</v>
      </c>
      <c r="T102" s="59">
        <f t="shared" si="88"/>
        <v>494.36941732405256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136.67828501184931</v>
      </c>
      <c r="AA102" s="21">
        <f>EXP(-LN(2)/25)*AA101+(1-EXP(-LN(2)/25))/(LN(2)/25)*Calculateur!V102*Calculateur!X102*VLOOKUP('Données projet'!$B$9,Paramètres!$A$1:$I$89,3,0)*0.475*44/12</f>
        <v>19.329996972715403</v>
      </c>
      <c r="AB102" s="21">
        <f>EXP(-LN(2)/2)*AB101+(1-EXP(-LN(2)/2))/(LN(2)/2)*V102*Y102*VLOOKUP('Données projet'!$B$9,Paramètres!$A$1:$I$89,3,0)*0.475*44/12</f>
        <v>5.603153775706775E-5</v>
      </c>
      <c r="AC102" s="22">
        <f t="shared" si="57"/>
        <v>156.00833801610247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-1.7053025658242404E-13</v>
      </c>
      <c r="AJ102" s="13">
        <f>AI102*VLOOKUP('Données projet'!$B$10,Paramètres!$A$1:$I$89,3,0)*VLOOKUP('Données projet'!$B$10,Paramètres!$A$1:$I$89,5,0)</f>
        <v>-1.064108801074326E-13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197.20006068829753</v>
      </c>
      <c r="AO102" s="59">
        <f t="shared" si="90"/>
        <v>256.52014906581638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79.377491966624135</v>
      </c>
      <c r="AV102" s="21">
        <f>EXP(-LN(2)/25)*AV101+(1-EXP(-LN(2)/25))/(LN(2)/25)*Calculateur!AQ102*Calculateur!AS102*VLOOKUP('Données projet'!$B$10,Paramètres!$A$1:$I$89,3,0)*0.475*44/12</f>
        <v>13.654641138068698</v>
      </c>
      <c r="AW102" s="21">
        <f>EXP(-LN(2)/2)*AW101+(1-EXP(-LN(2)/2))/(LN(2)/2)*AQ102*AT102*VLOOKUP('Données projet'!$B$10,Paramètres!$A$1:$I$89,3,0)*0.475*44/12</f>
        <v>2.6866381897709115E-5</v>
      </c>
      <c r="AX102" s="21">
        <f t="shared" si="60"/>
        <v>93.032159971074734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102.76553481871144</v>
      </c>
      <c r="BJ102" s="59">
        <f t="shared" si="92"/>
        <v>345.99919346320343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9.8823976579777835</v>
      </c>
      <c r="BQ102" s="21">
        <f>EXP(-LN(2)/25)*BQ101+(1-EXP(-LN(2)/25))/(LN(2)/25)*Calculateur!BL102*Calculateur!BN102*VLOOKUP('Données projet'!$B$11,Paramètres!$A$1:$I$89,3,0)*0.475*44/12</f>
        <v>2.2609013246731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12.143298982650883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-1.1368683772161603E-13</v>
      </c>
      <c r="O103" s="13">
        <f>N103*VLOOKUP('Données projet'!$B$9,Paramètres!$A$1:$I$89,3,0)*VLOOKUP('Données projet'!$B$9,Paramètres!$A$1:$I$89,5,0)</f>
        <v>-6.3550942286383367E-14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410.32666742287449</v>
      </c>
      <c r="T103" s="59">
        <f t="shared" si="88"/>
        <v>494.36941732405256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133.99810720828916</v>
      </c>
      <c r="AA103" s="21">
        <f>EXP(-LN(2)/25)*AA102+(1-EXP(-LN(2)/25))/(LN(2)/25)*Calculateur!V103*Calculateur!X103*VLOOKUP('Données projet'!$B$9,Paramètres!$A$1:$I$89,3,0)*0.475*44/12</f>
        <v>18.801417188976139</v>
      </c>
      <c r="AB103" s="21">
        <f>EXP(-LN(2)/2)*AB102+(1-EXP(-LN(2)/2))/(LN(2)/2)*V103*Y103*VLOOKUP('Données projet'!$B$9,Paramètres!$A$1:$I$89,3,0)*0.475*44/12</f>
        <v>3.9620280308332681E-5</v>
      </c>
      <c r="AC103" s="22">
        <f t="shared" si="57"/>
        <v>152.79956401754561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-1.7053025658242404E-13</v>
      </c>
      <c r="AJ103" s="13">
        <f>AI103*VLOOKUP('Données projet'!$B$10,Paramètres!$A$1:$I$89,3,0)*VLOOKUP('Données projet'!$B$10,Paramètres!$A$1:$I$89,5,0)</f>
        <v>-1.064108801074326E-13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197.20006068829753</v>
      </c>
      <c r="AO103" s="59">
        <f t="shared" si="90"/>
        <v>256.52014906581638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77.820947764648096</v>
      </c>
      <c r="AV103" s="21">
        <f>EXP(-LN(2)/25)*AV102+(1-EXP(-LN(2)/25))/(LN(2)/25)*Calculateur!AQ103*Calculateur!AS103*VLOOKUP('Données projet'!$B$10,Paramètres!$A$1:$I$89,3,0)*0.475*44/12</f>
        <v>13.281254258081839</v>
      </c>
      <c r="AW103" s="21">
        <f>EXP(-LN(2)/2)*AW102+(1-EXP(-LN(2)/2))/(LN(2)/2)*AQ103*AT103*VLOOKUP('Données projet'!$B$10,Paramètres!$A$1:$I$89,3,0)*0.475*44/12</f>
        <v>1.899740082581762E-5</v>
      </c>
      <c r="AX103" s="21">
        <f t="shared" si="60"/>
        <v>91.10222102013077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102.76553481871144</v>
      </c>
      <c r="BJ103" s="59">
        <f t="shared" si="92"/>
        <v>345.99919346320343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9.688609867572227</v>
      </c>
      <c r="BQ103" s="21">
        <f>EXP(-LN(2)/25)*BQ102+(1-EXP(-LN(2)/25))/(LN(2)/25)*Calculateur!BL103*Calculateur!BN103*VLOOKUP('Données projet'!$B$11,Paramètres!$A$1:$I$89,3,0)*0.475*44/12</f>
        <v>2.1990768590542809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11.887686726626509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-6.3550942286383367E-14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410.32666742287449</v>
      </c>
      <c r="T104" s="59">
        <f t="shared" si="88"/>
        <v>494.36941732405256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131.37048605670975</v>
      </c>
      <c r="AA104" s="21">
        <f>EXP(-LN(2)/25)*AA103+(1-EXP(-LN(2)/25))/(LN(2)/25)*Calculateur!V104*Calculateur!X104*VLOOKUP('Données projet'!$B$9,Paramètres!$A$1:$I$89,3,0)*0.475*44/12</f>
        <v>18.287291447220028</v>
      </c>
      <c r="AB104" s="21">
        <f>EXP(-LN(2)/2)*AB103+(1-EXP(-LN(2)/2))/(LN(2)/2)*V104*Y104*VLOOKUP('Données projet'!$B$9,Paramètres!$A$1:$I$89,3,0)*0.475*44/12</f>
        <v>2.8015768878533875E-5</v>
      </c>
      <c r="AC104" s="22">
        <f t="shared" si="57"/>
        <v>149.65780551969866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-1.7053025658242404E-13</v>
      </c>
      <c r="AJ104" s="13">
        <f>AI104*VLOOKUP('Données projet'!$B$10,Paramètres!$A$1:$I$89,3,0)*VLOOKUP('Données projet'!$B$10,Paramètres!$A$1:$I$89,5,0)</f>
        <v>-1.064108801074326E-13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197.20006068829753</v>
      </c>
      <c r="AO104" s="59">
        <f t="shared" si="90"/>
        <v>256.52014906581638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76.294926445074594</v>
      </c>
      <c r="AV104" s="21">
        <f>EXP(-LN(2)/25)*AV103+(1-EXP(-LN(2)/25))/(LN(2)/25)*Calculateur!AQ104*Calculateur!AS104*VLOOKUP('Données projet'!$B$10,Paramètres!$A$1:$I$89,3,0)*0.475*44/12</f>
        <v>12.918077661963785</v>
      </c>
      <c r="AW104" s="21">
        <f>EXP(-LN(2)/2)*AW103+(1-EXP(-LN(2)/2))/(LN(2)/2)*AQ104*AT104*VLOOKUP('Données projet'!$B$10,Paramètres!$A$1:$I$89,3,0)*0.475*44/12</f>
        <v>1.3433190948854557E-5</v>
      </c>
      <c r="AX104" s="21">
        <f t="shared" si="60"/>
        <v>89.21301754022933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102.76553481871144</v>
      </c>
      <c r="BJ104" s="59">
        <f t="shared" si="92"/>
        <v>345.99919346320343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9.4986221375376427</v>
      </c>
      <c r="BQ104" s="21">
        <f>EXP(-LN(2)/25)*BQ103+(1-EXP(-LN(2)/25))/(LN(2)/25)*Calculateur!BL104*Calculateur!BN104*VLOOKUP('Données projet'!$B$11,Paramètres!$A$1:$I$89,3,0)*0.475*44/12</f>
        <v>2.1389429866990155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11.637565124236659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-6.3550942286383367E-14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410.32666742287449</v>
      </c>
      <c r="T105" s="59">
        <f t="shared" si="88"/>
        <v>494.36941732405256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128.79439095322218</v>
      </c>
      <c r="AA105" s="21">
        <f>EXP(-LN(2)/25)*AA104+(1-EXP(-LN(2)/25))/(LN(2)/25)*Calculateur!V105*Calculateur!X105*VLOOKUP('Données projet'!$B$9,Paramètres!$A$1:$I$89,3,0)*0.475*44/12</f>
        <v>17.787224500908934</v>
      </c>
      <c r="AB105" s="21">
        <f>EXP(-LN(2)/2)*AB104+(1-EXP(-LN(2)/2))/(LN(2)/2)*V105*Y105*VLOOKUP('Données projet'!$B$9,Paramètres!$A$1:$I$89,3,0)*0.475*44/12</f>
        <v>1.981014015416634E-5</v>
      </c>
      <c r="AC105" s="22">
        <f t="shared" si="57"/>
        <v>146.58163526427126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-1.7053025658242404E-13</v>
      </c>
      <c r="AJ105" s="13">
        <f>AI105*VLOOKUP('Données projet'!$B$10,Paramètres!$A$1:$I$89,3,0)*VLOOKUP('Données projet'!$B$10,Paramètres!$A$1:$I$89,5,0)</f>
        <v>-1.064108801074326E-13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197.20006068829753</v>
      </c>
      <c r="AO105" s="59">
        <f t="shared" si="90"/>
        <v>256.52014906581638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74.798829472796839</v>
      </c>
      <c r="AV105" s="21">
        <f>EXP(-LN(2)/25)*AV104+(1-EXP(-LN(2)/25))/(LN(2)/25)*Calculateur!AQ105*Calculateur!AS105*VLOOKUP('Données projet'!$B$10,Paramètres!$A$1:$I$89,3,0)*0.475*44/12</f>
        <v>12.564832148965206</v>
      </c>
      <c r="AW105" s="21">
        <f>EXP(-LN(2)/2)*AW104+(1-EXP(-LN(2)/2))/(LN(2)/2)*AQ105*AT105*VLOOKUP('Données projet'!$B$10,Paramètres!$A$1:$I$89,3,0)*0.475*44/12</f>
        <v>9.49870041290881E-6</v>
      </c>
      <c r="AX105" s="21">
        <f t="shared" si="60"/>
        <v>87.363671120462456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102.76553481871144</v>
      </c>
      <c r="BJ105" s="59">
        <f t="shared" si="92"/>
        <v>345.99919346320343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9.3123599510079647</v>
      </c>
      <c r="BQ105" s="21">
        <f>EXP(-LN(2)/25)*BQ104+(1-EXP(-LN(2)/25))/(LN(2)/25)*Calculateur!BL105*Calculateur!BN105*VLOOKUP('Données projet'!$B$11,Paramètres!$A$1:$I$89,3,0)*0.475*44/12</f>
        <v>2.0804534782456079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11.392813429253572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-6.3550942286383367E-14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410.32666742287449</v>
      </c>
      <c r="T106" s="59">
        <f t="shared" si="88"/>
        <v>494.36941732405256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126.26881150345113</v>
      </c>
      <c r="AA106" s="21">
        <f>EXP(-LN(2)/25)*AA105+(1-EXP(-LN(2)/25))/(LN(2)/25)*Calculateur!V106*Calculateur!X106*VLOOKUP('Données projet'!$B$9,Paramètres!$A$1:$I$89,3,0)*0.475*44/12</f>
        <v>17.300831911542097</v>
      </c>
      <c r="AB106" s="21">
        <f>EXP(-LN(2)/2)*AB105+(1-EXP(-LN(2)/2))/(LN(2)/2)*V106*Y106*VLOOKUP('Données projet'!$B$9,Paramètres!$A$1:$I$89,3,0)*0.475*44/12</f>
        <v>1.4007884439266938E-5</v>
      </c>
      <c r="AC106" s="22">
        <f t="shared" si="57"/>
        <v>143.56965742287767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-1.7053025658242404E-13</v>
      </c>
      <c r="AJ106" s="13">
        <f>AI106*VLOOKUP('Données projet'!$B$10,Paramètres!$A$1:$I$89,3,0)*VLOOKUP('Données projet'!$B$10,Paramètres!$A$1:$I$89,5,0)</f>
        <v>-1.064108801074326E-13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197.20006068829753</v>
      </c>
      <c r="AO106" s="59">
        <f t="shared" si="90"/>
        <v>256.52014906581638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73.332070049616391</v>
      </c>
      <c r="AV106" s="21">
        <f>EXP(-LN(2)/25)*AV105+(1-EXP(-LN(2)/25))/(LN(2)/25)*Calculateur!AQ106*Calculateur!AS106*VLOOKUP('Données projet'!$B$10,Paramètres!$A$1:$I$89,3,0)*0.475*44/12</f>
        <v>12.221246153095947</v>
      </c>
      <c r="AW106" s="21">
        <f>EXP(-LN(2)/2)*AW105+(1-EXP(-LN(2)/2))/(LN(2)/2)*AQ106*AT106*VLOOKUP('Données projet'!$B$10,Paramètres!$A$1:$I$89,3,0)*0.475*44/12</f>
        <v>6.7165954744272787E-6</v>
      </c>
      <c r="AX106" s="21">
        <f t="shared" si="60"/>
        <v>85.553322919307817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102.76553481871144</v>
      </c>
      <c r="BJ106" s="59">
        <f t="shared" si="92"/>
        <v>345.99919346320343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9.1297502523474172</v>
      </c>
      <c r="BQ106" s="21">
        <f>EXP(-LN(2)/25)*BQ105+(1-EXP(-LN(2)/25))/(LN(2)/25)*Calculateur!BL106*Calculateur!BN106*VLOOKUP('Données projet'!$B$11,Paramètres!$A$1:$I$89,3,0)*0.475*44/12</f>
        <v>2.0235633684766881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11.153313620824106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-6.3550942286383367E-14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410.32666742287449</v>
      </c>
      <c r="T107" s="59">
        <f t="shared" si="88"/>
        <v>494.36941732405256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123.79275712623874</v>
      </c>
      <c r="AA107" s="21">
        <f>EXP(-LN(2)/25)*AA106+(1-EXP(-LN(2)/25))/(LN(2)/25)*Calculateur!V107*Calculateur!X107*VLOOKUP('Données projet'!$B$9,Paramètres!$A$1:$I$89,3,0)*0.475*44/12</f>
        <v>16.827739753109771</v>
      </c>
      <c r="AB107" s="21">
        <f>EXP(-LN(2)/2)*AB106+(1-EXP(-LN(2)/2))/(LN(2)/2)*V107*Y107*VLOOKUP('Données projet'!$B$9,Paramètres!$A$1:$I$89,3,0)*0.475*44/12</f>
        <v>9.9050700770831702E-6</v>
      </c>
      <c r="AC107" s="22">
        <f t="shared" si="57"/>
        <v>140.62050678441858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-1.7053025658242404E-13</v>
      </c>
      <c r="AJ107" s="13">
        <f>AI107*VLOOKUP('Données projet'!$B$10,Paramètres!$A$1:$I$89,3,0)*VLOOKUP('Données projet'!$B$10,Paramètres!$A$1:$I$89,5,0)</f>
        <v>-1.064108801074326E-13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197.20006068829753</v>
      </c>
      <c r="AO107" s="59">
        <f t="shared" si="90"/>
        <v>256.52014906581638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71.89407288408961</v>
      </c>
      <c r="AV107" s="21">
        <f>EXP(-LN(2)/25)*AV106+(1-EXP(-LN(2)/25))/(LN(2)/25)*Calculateur!AQ107*Calculateur!AS107*VLOOKUP('Données projet'!$B$10,Paramètres!$A$1:$I$89,3,0)*0.475*44/12</f>
        <v>11.887055534352136</v>
      </c>
      <c r="AW107" s="21">
        <f>EXP(-LN(2)/2)*AW106+(1-EXP(-LN(2)/2))/(LN(2)/2)*AQ107*AT107*VLOOKUP('Données projet'!$B$10,Paramètres!$A$1:$I$89,3,0)*0.475*44/12</f>
        <v>4.749350206454405E-6</v>
      </c>
      <c r="AX107" s="21">
        <f t="shared" si="60"/>
        <v>83.78113316779195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102.76553481871144</v>
      </c>
      <c r="BJ107" s="59">
        <f t="shared" si="92"/>
        <v>345.99919346320343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8.9507214184966841</v>
      </c>
      <c r="BQ107" s="21">
        <f>EXP(-LN(2)/25)*BQ106+(1-EXP(-LN(2)/25))/(LN(2)/25)*Calculateur!BL107*Calculateur!BN107*VLOOKUP('Données projet'!$B$11,Paramètres!$A$1:$I$89,3,0)*0.475*44/12</f>
        <v>1.9682289217511204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10.918950340247804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-6.3550942286383367E-14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410.32666742287449</v>
      </c>
      <c r="T108" s="59">
        <f t="shared" si="88"/>
        <v>494.36941732405256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121.36525666511943</v>
      </c>
      <c r="AA108" s="21">
        <f>EXP(-LN(2)/25)*AA107+(1-EXP(-LN(2)/25))/(LN(2)/25)*Calculateur!V108*Calculateur!X108*VLOOKUP('Données projet'!$B$9,Paramètres!$A$1:$I$89,3,0)*0.475*44/12</f>
        <v>16.367584324628613</v>
      </c>
      <c r="AB108" s="21">
        <f>EXP(-LN(2)/2)*AB107+(1-EXP(-LN(2)/2))/(LN(2)/2)*V108*Y108*VLOOKUP('Données projet'!$B$9,Paramètres!$A$1:$I$89,3,0)*0.475*44/12</f>
        <v>7.0039422196334688E-6</v>
      </c>
      <c r="AC108" s="22">
        <f t="shared" si="57"/>
        <v>137.73284799369026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-1.7053025658242404E-13</v>
      </c>
      <c r="AJ108" s="13">
        <f>AI108*VLOOKUP('Données projet'!$B$10,Paramètres!$A$1:$I$89,3,0)*VLOOKUP('Données projet'!$B$10,Paramètres!$A$1:$I$89,5,0)</f>
        <v>-1.064108801074326E-13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197.20006068829753</v>
      </c>
      <c r="AO108" s="59">
        <f t="shared" si="90"/>
        <v>256.52014906581638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70.484273965887141</v>
      </c>
      <c r="AV108" s="21">
        <f>EXP(-LN(2)/25)*AV107+(1-EXP(-LN(2)/25))/(LN(2)/25)*Calculateur!AQ108*Calculateur!AS108*VLOOKUP('Données projet'!$B$10,Paramètres!$A$1:$I$89,3,0)*0.475*44/12</f>
        <v>11.562003375652194</v>
      </c>
      <c r="AW108" s="21">
        <f>EXP(-LN(2)/2)*AW107+(1-EXP(-LN(2)/2))/(LN(2)/2)*AQ108*AT108*VLOOKUP('Données projet'!$B$10,Paramètres!$A$1:$I$89,3,0)*0.475*44/12</f>
        <v>3.3582977372136393E-6</v>
      </c>
      <c r="AX108" s="21">
        <f t="shared" si="60"/>
        <v>82.04628069983707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102.76553481871144</v>
      </c>
      <c r="BJ108" s="59">
        <f t="shared" si="92"/>
        <v>345.99919346320343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8.7752032308809582</v>
      </c>
      <c r="BQ108" s="21">
        <f>EXP(-LN(2)/25)*BQ107+(1-EXP(-LN(2)/25))/(LN(2)/25)*Calculateur!BL108*Calculateur!BN108*VLOOKUP('Données projet'!$B$11,Paramètres!$A$1:$I$89,3,0)*0.475*44/12</f>
        <v>1.9144075983811755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10.689610829262133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-6.3550942286383367E-14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410.32666742287449</v>
      </c>
      <c r="T109" s="59">
        <f t="shared" si="88"/>
        <v>494.36941732405256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118.98535800741359</v>
      </c>
      <c r="AA109" s="21">
        <f>EXP(-LN(2)/25)*AA108+(1-EXP(-LN(2)/25))/(LN(2)/25)*Calculateur!V109*Calculateur!X109*VLOOKUP('Données projet'!$B$9,Paramètres!$A$1:$I$89,3,0)*0.475*44/12</f>
        <v>15.920011870537792</v>
      </c>
      <c r="AB109" s="21">
        <f>EXP(-LN(2)/2)*AB108+(1-EXP(-LN(2)/2))/(LN(2)/2)*V109*Y109*VLOOKUP('Données projet'!$B$9,Paramètres!$A$1:$I$89,3,0)*0.475*44/12</f>
        <v>4.9525350385415851E-6</v>
      </c>
      <c r="AC109" s="22">
        <f t="shared" si="57"/>
        <v>134.90537483048644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-1.7053025658242404E-13</v>
      </c>
      <c r="AJ109" s="13">
        <f>AI109*VLOOKUP('Données projet'!$B$10,Paramètres!$A$1:$I$89,3,0)*VLOOKUP('Données projet'!$B$10,Paramètres!$A$1:$I$89,5,0)</f>
        <v>-1.064108801074326E-13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197.20006068829753</v>
      </c>
      <c r="AO109" s="59">
        <f t="shared" si="90"/>
        <v>256.52014906581638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69.102120344578182</v>
      </c>
      <c r="AV109" s="21">
        <f>EXP(-LN(2)/25)*AV108+(1-EXP(-LN(2)/25))/(LN(2)/25)*Calculateur!AQ109*Calculateur!AS109*VLOOKUP('Données projet'!$B$10,Paramètres!$A$1:$I$89,3,0)*0.475*44/12</f>
        <v>11.245839785325654</v>
      </c>
      <c r="AW109" s="21">
        <f>EXP(-LN(2)/2)*AW108+(1-EXP(-LN(2)/2))/(LN(2)/2)*AQ109*AT109*VLOOKUP('Données projet'!$B$10,Paramètres!$A$1:$I$89,3,0)*0.475*44/12</f>
        <v>2.3746751032272025E-6</v>
      </c>
      <c r="AX109" s="21">
        <f t="shared" si="60"/>
        <v>80.347962504578945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102.76553481871144</v>
      </c>
      <c r="BJ109" s="59">
        <f t="shared" si="92"/>
        <v>345.99919346320343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8.6031268478688538</v>
      </c>
      <c r="BQ109" s="21">
        <f>EXP(-LN(2)/25)*BQ108+(1-EXP(-LN(2)/25))/(LN(2)/25)*Calculateur!BL109*Calculateur!BN109*VLOOKUP('Données projet'!$B$11,Paramètres!$A$1:$I$89,3,0)*0.475*44/12</f>
        <v>1.8620580219291221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10.465184869797977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-6.3550942286383367E-14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410.32666742287449</v>
      </c>
      <c r="T110" s="59">
        <f t="shared" si="88"/>
        <v>494.36941732405256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116.65212771079052</v>
      </c>
      <c r="AA110" s="21">
        <f>EXP(-LN(2)/25)*AA109+(1-EXP(-LN(2)/25))/(LN(2)/25)*Calculateur!V110*Calculateur!X110*VLOOKUP('Données projet'!$B$9,Paramètres!$A$1:$I$89,3,0)*0.475*44/12</f>
        <v>15.484678308740897</v>
      </c>
      <c r="AB110" s="21">
        <f>EXP(-LN(2)/2)*AB109+(1-EXP(-LN(2)/2))/(LN(2)/2)*V110*Y110*VLOOKUP('Données projet'!$B$9,Paramètres!$A$1:$I$89,3,0)*0.475*44/12</f>
        <v>3.5019711098167344E-6</v>
      </c>
      <c r="AC110" s="22">
        <f t="shared" si="57"/>
        <v>132.13680952150256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-1.7053025658242404E-13</v>
      </c>
      <c r="AJ110" s="13">
        <f>AI110*VLOOKUP('Données projet'!$B$10,Paramètres!$A$1:$I$89,3,0)*VLOOKUP('Données projet'!$B$10,Paramètres!$A$1:$I$89,5,0)</f>
        <v>-1.064108801074326E-13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197.20006068829753</v>
      </c>
      <c r="AO110" s="59">
        <f t="shared" si="90"/>
        <v>256.52014906581638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67.747069912752636</v>
      </c>
      <c r="AV110" s="21">
        <f>EXP(-LN(2)/25)*AV109+(1-EXP(-LN(2)/25))/(LN(2)/25)*Calculateur!AQ110*Calculateur!AS110*VLOOKUP('Données projet'!$B$10,Paramètres!$A$1:$I$89,3,0)*0.475*44/12</f>
        <v>10.938321705002911</v>
      </c>
      <c r="AW110" s="21">
        <f>EXP(-LN(2)/2)*AW109+(1-EXP(-LN(2)/2))/(LN(2)/2)*AQ110*AT110*VLOOKUP('Données projet'!$B$10,Paramètres!$A$1:$I$89,3,0)*0.475*44/12</f>
        <v>1.6791488686068197E-6</v>
      </c>
      <c r="AX110" s="21">
        <f t="shared" si="60"/>
        <v>78.685393296904408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102.76553481871144</v>
      </c>
      <c r="BJ110" s="59">
        <f t="shared" si="92"/>
        <v>345.99919346320343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8.4344247777713868</v>
      </c>
      <c r="BQ110" s="21">
        <f>EXP(-LN(2)/25)*BQ109+(1-EXP(-LN(2)/25))/(LN(2)/25)*Calculateur!BL110*Calculateur!BN110*VLOOKUP('Données projet'!$B$11,Paramètres!$A$1:$I$89,3,0)*0.475*44/12</f>
        <v>1.8111399473980947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10.245564725169482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-6.3550942286383367E-14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410.32666742287449</v>
      </c>
      <c r="T111" s="59">
        <f t="shared" si="88"/>
        <v>494.36941732405256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114.36465063715427</v>
      </c>
      <c r="AA111" s="21">
        <f>EXP(-LN(2)/25)*AA110+(1-EXP(-LN(2)/25))/(LN(2)/25)*Calculateur!V111*Calculateur!X111*VLOOKUP('Données projet'!$B$9,Paramètres!$A$1:$I$89,3,0)*0.475*44/12</f>
        <v>15.061248966084536</v>
      </c>
      <c r="AB111" s="21">
        <f>EXP(-LN(2)/2)*AB110+(1-EXP(-LN(2)/2))/(LN(2)/2)*V111*Y111*VLOOKUP('Données projet'!$B$9,Paramètres!$A$1:$I$89,3,0)*0.475*44/12</f>
        <v>2.4762675192707925E-6</v>
      </c>
      <c r="AC111" s="22">
        <f t="shared" si="57"/>
        <v>129.42590207950633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-1.7053025658242404E-13</v>
      </c>
      <c r="AJ111" s="13">
        <f>AI111*VLOOKUP('Données projet'!$B$10,Paramètres!$A$1:$I$89,3,0)*VLOOKUP('Données projet'!$B$10,Paramètres!$A$1:$I$89,5,0)</f>
        <v>-1.064108801074326E-13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197.20006068829753</v>
      </c>
      <c r="AO111" s="59">
        <f t="shared" si="90"/>
        <v>256.52014906581638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66.418591193396026</v>
      </c>
      <c r="AV111" s="21">
        <f>EXP(-LN(2)/25)*AV110+(1-EXP(-LN(2)/25))/(LN(2)/25)*Calculateur!AQ111*Calculateur!AS111*VLOOKUP('Données projet'!$B$10,Paramètres!$A$1:$I$89,3,0)*0.475*44/12</f>
        <v>10.639212722758268</v>
      </c>
      <c r="AW111" s="21">
        <f>EXP(-LN(2)/2)*AW110+(1-EXP(-LN(2)/2))/(LN(2)/2)*AQ111*AT111*VLOOKUP('Données projet'!$B$10,Paramètres!$A$1:$I$89,3,0)*0.475*44/12</f>
        <v>1.1873375516136013E-6</v>
      </c>
      <c r="AX111" s="21">
        <f t="shared" si="60"/>
        <v>77.057805103491845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102.76553481871144</v>
      </c>
      <c r="BJ111" s="59">
        <f t="shared" si="92"/>
        <v>345.99919346320343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8.2690308523704275</v>
      </c>
      <c r="BQ111" s="21">
        <f>EXP(-LN(2)/25)*BQ110+(1-EXP(-LN(2)/25))/(LN(2)/25)*Calculateur!BL111*Calculateur!BN111*VLOOKUP('Données projet'!$B$11,Paramètres!$A$1:$I$89,3,0)*0.475*44/12</f>
        <v>1.7616142302927833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10.030645082663211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-6.3550942286383367E-14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410.32666742287449</v>
      </c>
      <c r="T112" s="59">
        <f t="shared" si="88"/>
        <v>494.36941732405256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112.12202959370877</v>
      </c>
      <c r="AA112" s="21">
        <f>EXP(-LN(2)/25)*AA111+(1-EXP(-LN(2)/25))/(LN(2)/25)*Calculateur!V112*Calculateur!X112*VLOOKUP('Données projet'!$B$9,Paramètres!$A$1:$I$89,3,0)*0.475*44/12</f>
        <v>14.649398321070294</v>
      </c>
      <c r="AB112" s="21">
        <f>EXP(-LN(2)/2)*AB111+(1-EXP(-LN(2)/2))/(LN(2)/2)*V112*Y112*VLOOKUP('Données projet'!$B$9,Paramètres!$A$1:$I$89,3,0)*0.475*44/12</f>
        <v>1.7509855549083672E-6</v>
      </c>
      <c r="AC112" s="22">
        <f t="shared" si="57"/>
        <v>126.77142966576463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-1.7053025658242404E-13</v>
      </c>
      <c r="AJ112" s="13">
        <f>AI112*VLOOKUP('Données projet'!$B$10,Paramètres!$A$1:$I$89,3,0)*VLOOKUP('Données projet'!$B$10,Paramètres!$A$1:$I$89,5,0)</f>
        <v>-1.064108801074326E-13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197.20006068829753</v>
      </c>
      <c r="AO112" s="59">
        <f t="shared" si="90"/>
        <v>256.52014906581638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65.116163131433993</v>
      </c>
      <c r="AV112" s="21">
        <f>EXP(-LN(2)/25)*AV111+(1-EXP(-LN(2)/25))/(LN(2)/25)*Calculateur!AQ112*Calculateur!AS112*VLOOKUP('Données projet'!$B$10,Paramètres!$A$1:$I$89,3,0)*0.475*44/12</f>
        <v>10.348282891362562</v>
      </c>
      <c r="AW112" s="21">
        <f>EXP(-LN(2)/2)*AW111+(1-EXP(-LN(2)/2))/(LN(2)/2)*AQ112*AT112*VLOOKUP('Données projet'!$B$10,Paramètres!$A$1:$I$89,3,0)*0.475*44/12</f>
        <v>8.3957443430340983E-7</v>
      </c>
      <c r="AX112" s="21">
        <f t="shared" si="60"/>
        <v>75.464446862370991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102.76553481871144</v>
      </c>
      <c r="BJ112" s="59">
        <f t="shared" si="92"/>
        <v>345.99919346320343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8.1068802009662484</v>
      </c>
      <c r="BQ112" s="21">
        <f>EXP(-LN(2)/25)*BQ111+(1-EXP(-LN(2)/25))/(LN(2)/25)*Calculateur!BL112*Calculateur!BN112*VLOOKUP('Données projet'!$B$11,Paramètres!$A$1:$I$89,3,0)*0.475*44/12</f>
        <v>1.7134427965261609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9.8203229974924096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-6.3550942286383367E-14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410.32666742287449</v>
      </c>
      <c r="T113" s="59">
        <f t="shared" si="88"/>
        <v>494.36941732405256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109.92338498106147</v>
      </c>
      <c r="AA113" s="21">
        <f>EXP(-LN(2)/25)*AA112+(1-EXP(-LN(2)/25))/(LN(2)/25)*Calculateur!V113*Calculateur!X113*VLOOKUP('Données projet'!$B$9,Paramètres!$A$1:$I$89,3,0)*0.475*44/12</f>
        <v>14.24880975360225</v>
      </c>
      <c r="AB113" s="21">
        <f>EXP(-LN(2)/2)*AB112+(1-EXP(-LN(2)/2))/(LN(2)/2)*V113*Y113*VLOOKUP('Données projet'!$B$9,Paramètres!$A$1:$I$89,3,0)*0.475*44/12</f>
        <v>1.2381337596353963E-6</v>
      </c>
      <c r="AC113" s="22">
        <f t="shared" si="57"/>
        <v>124.17219597279748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-1.7053025658242404E-13</v>
      </c>
      <c r="AJ113" s="13">
        <f>AI113*VLOOKUP('Données projet'!$B$10,Paramètres!$A$1:$I$89,3,0)*VLOOKUP('Données projet'!$B$10,Paramètres!$A$1:$I$89,5,0)</f>
        <v>-1.064108801074326E-13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197.20006068829753</v>
      </c>
      <c r="AO113" s="59">
        <f t="shared" si="90"/>
        <v>256.52014906581638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63.839274889364361</v>
      </c>
      <c r="AV113" s="21">
        <f>EXP(-LN(2)/25)*AV112+(1-EXP(-LN(2)/25))/(LN(2)/25)*Calculateur!AQ113*Calculateur!AS113*VLOOKUP('Données projet'!$B$10,Paramètres!$A$1:$I$89,3,0)*0.475*44/12</f>
        <v>10.065308551505707</v>
      </c>
      <c r="AW113" s="21">
        <f>EXP(-LN(2)/2)*AW112+(1-EXP(-LN(2)/2))/(LN(2)/2)*AQ113*AT113*VLOOKUP('Données projet'!$B$10,Paramètres!$A$1:$I$89,3,0)*0.475*44/12</f>
        <v>5.9366877580680063E-7</v>
      </c>
      <c r="AX113" s="21">
        <f t="shared" si="60"/>
        <v>73.904584034538843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102.76553481871144</v>
      </c>
      <c r="BJ113" s="59">
        <f t="shared" si="92"/>
        <v>345.99919346320343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7.9479092249339738</v>
      </c>
      <c r="BQ113" s="21">
        <f>EXP(-LN(2)/25)*BQ112+(1-EXP(-LN(2)/25))/(LN(2)/25)*Calculateur!BL113*Calculateur!BN113*VLOOKUP('Données projet'!$B$11,Paramètres!$A$1:$I$89,3,0)*0.475*44/12</f>
        <v>1.6665886131491126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9.6144978380830857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-6.3550942286383367E-14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410.32666742287449</v>
      </c>
      <c r="T114" s="59">
        <f t="shared" si="88"/>
        <v>494.36941732405256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107.7678544482274</v>
      </c>
      <c r="AA114" s="21">
        <f>EXP(-LN(2)/25)*AA113+(1-EXP(-LN(2)/25))/(LN(2)/25)*Calculateur!V114*Calculateur!X114*VLOOKUP('Données projet'!$B$9,Paramètres!$A$1:$I$89,3,0)*0.475*44/12</f>
        <v>13.859175301577658</v>
      </c>
      <c r="AB114" s="21">
        <f>EXP(-LN(2)/2)*AB113+(1-EXP(-LN(2)/2))/(LN(2)/2)*V114*Y114*VLOOKUP('Données projet'!$B$9,Paramètres!$A$1:$I$89,3,0)*0.475*44/12</f>
        <v>8.7549277745418359E-7</v>
      </c>
      <c r="AC114" s="22">
        <f t="shared" si="57"/>
        <v>121.62703062529782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-1.7053025658242404E-13</v>
      </c>
      <c r="AJ114" s="13">
        <f>AI114*VLOOKUP('Données projet'!$B$10,Paramètres!$A$1:$I$89,3,0)*VLOOKUP('Données projet'!$B$10,Paramètres!$A$1:$I$89,5,0)</f>
        <v>-1.064108801074326E-13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197.20006068829753</v>
      </c>
      <c r="AO114" s="59">
        <f t="shared" si="90"/>
        <v>256.52014906581638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62.58742564689679</v>
      </c>
      <c r="AV114" s="21">
        <f>EXP(-LN(2)/25)*AV113+(1-EXP(-LN(2)/25))/(LN(2)/25)*Calculateur!AQ114*Calculateur!AS114*VLOOKUP('Données projet'!$B$10,Paramètres!$A$1:$I$89,3,0)*0.475*44/12</f>
        <v>9.7900721598532119</v>
      </c>
      <c r="AW114" s="21">
        <f>EXP(-LN(2)/2)*AW113+(1-EXP(-LN(2)/2))/(LN(2)/2)*AQ114*AT114*VLOOKUP('Données projet'!$B$10,Paramètres!$A$1:$I$89,3,0)*0.475*44/12</f>
        <v>4.1978721715170492E-7</v>
      </c>
      <c r="AX114" s="21">
        <f t="shared" si="60"/>
        <v>72.377498226537213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102.76553481871144</v>
      </c>
      <c r="BJ114" s="59">
        <f t="shared" si="92"/>
        <v>345.99919346320343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7.7920555727789704</v>
      </c>
      <c r="BQ114" s="21">
        <f>EXP(-LN(2)/25)*BQ113+(1-EXP(-LN(2)/25))/(LN(2)/25)*Calculateur!BL114*Calculateur!BN114*VLOOKUP('Données projet'!$B$11,Paramètres!$A$1:$I$89,3,0)*0.475*44/12</f>
        <v>1.6210156598804639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9.4130712326594335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-6.3550942286383367E-14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410.32666742287449</v>
      </c>
      <c r="T115" s="59">
        <f t="shared" si="88"/>
        <v>494.36941732405256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105.65459255439839</v>
      </c>
      <c r="AA115" s="21">
        <f>EXP(-LN(2)/25)*AA114+(1-EXP(-LN(2)/25))/(LN(2)/25)*Calculateur!V115*Calculateur!X115*VLOOKUP('Données projet'!$B$9,Paramètres!$A$1:$I$89,3,0)*0.475*44/12</f>
        <v>13.480195424133663</v>
      </c>
      <c r="AB115" s="21">
        <f>EXP(-LN(2)/2)*AB114+(1-EXP(-LN(2)/2))/(LN(2)/2)*V115*Y115*VLOOKUP('Données projet'!$B$9,Paramètres!$A$1:$I$89,3,0)*0.475*44/12</f>
        <v>6.1906687981769814E-7</v>
      </c>
      <c r="AC115" s="22">
        <f t="shared" si="57"/>
        <v>119.13478859759894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-1.7053025658242404E-13</v>
      </c>
      <c r="AJ115" s="13">
        <f>AI115*VLOOKUP('Données projet'!$B$10,Paramètres!$A$1:$I$89,3,0)*VLOOKUP('Données projet'!$B$10,Paramètres!$A$1:$I$89,5,0)</f>
        <v>-1.064108801074326E-13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197.20006068829753</v>
      </c>
      <c r="AO115" s="59">
        <f t="shared" si="90"/>
        <v>256.52014906581638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61.360124404521365</v>
      </c>
      <c r="AV115" s="21">
        <f>EXP(-LN(2)/25)*AV114+(1-EXP(-LN(2)/25))/(LN(2)/25)*Calculateur!AQ115*Calculateur!AS115*VLOOKUP('Données projet'!$B$10,Paramètres!$A$1:$I$89,3,0)*0.475*44/12</f>
        <v>9.5223621218045071</v>
      </c>
      <c r="AW115" s="21">
        <f>EXP(-LN(2)/2)*AW114+(1-EXP(-LN(2)/2))/(LN(2)/2)*AQ115*AT115*VLOOKUP('Données projet'!$B$10,Paramètres!$A$1:$I$89,3,0)*0.475*44/12</f>
        <v>2.9683438790340031E-7</v>
      </c>
      <c r="AX115" s="21">
        <f t="shared" si="60"/>
        <v>70.882486823160264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102.76553481871144</v>
      </c>
      <c r="BJ115" s="59">
        <f t="shared" si="92"/>
        <v>345.99919346320343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7.6392581156813852</v>
      </c>
      <c r="BQ115" s="21">
        <f>EXP(-LN(2)/25)*BQ114+(1-EXP(-LN(2)/25))/(LN(2)/25)*Calculateur!BL115*Calculateur!BN115*VLOOKUP('Données projet'!$B$11,Paramètres!$A$1:$I$89,3,0)*0.475*44/12</f>
        <v>1.5766889014155239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9.2159470170969087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-6.3550942286383367E-14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410.32666742287449</v>
      </c>
      <c r="T116" s="59">
        <f t="shared" si="88"/>
        <v>494.36941732405256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103.58277043734489</v>
      </c>
      <c r="AA116" s="21">
        <f>EXP(-LN(2)/25)*AA115+(1-EXP(-LN(2)/25))/(LN(2)/25)*Calculateur!V116*Calculateur!X116*VLOOKUP('Données projet'!$B$9,Paramètres!$A$1:$I$89,3,0)*0.475*44/12</f>
        <v>13.111578771368061</v>
      </c>
      <c r="AB116" s="21">
        <f>EXP(-LN(2)/2)*AB115+(1-EXP(-LN(2)/2))/(LN(2)/2)*V116*Y116*VLOOKUP('Données projet'!$B$9,Paramètres!$A$1:$I$89,3,0)*0.475*44/12</f>
        <v>4.377463887270918E-7</v>
      </c>
      <c r="AC116" s="22">
        <f t="shared" si="57"/>
        <v>116.69434964645934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-1.7053025658242404E-13</v>
      </c>
      <c r="AJ116" s="13">
        <f>AI116*VLOOKUP('Données projet'!$B$10,Paramètres!$A$1:$I$89,3,0)*VLOOKUP('Données projet'!$B$10,Paramètres!$A$1:$I$89,5,0)</f>
        <v>-1.064108801074326E-13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197.20006068829753</v>
      </c>
      <c r="AO116" s="59">
        <f t="shared" si="90"/>
        <v>256.52014906581638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60.156889790929078</v>
      </c>
      <c r="AV116" s="21">
        <f>EXP(-LN(2)/25)*AV115+(1-EXP(-LN(2)/25))/(LN(2)/25)*Calculateur!AQ116*Calculateur!AS116*VLOOKUP('Données projet'!$B$10,Paramètres!$A$1:$I$89,3,0)*0.475*44/12</f>
        <v>9.2619726288245019</v>
      </c>
      <c r="AW116" s="21">
        <f>EXP(-LN(2)/2)*AW115+(1-EXP(-LN(2)/2))/(LN(2)/2)*AQ116*AT116*VLOOKUP('Données projet'!$B$10,Paramètres!$A$1:$I$89,3,0)*0.475*44/12</f>
        <v>2.0989360857585246E-7</v>
      </c>
      <c r="AX116" s="21">
        <f t="shared" si="60"/>
        <v>69.418862629647194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102.76553481871144</v>
      </c>
      <c r="BJ116" s="59">
        <f t="shared" si="92"/>
        <v>345.99919346320343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7.4894569235202377</v>
      </c>
      <c r="BQ116" s="21">
        <f>EXP(-LN(2)/25)*BQ115+(1-EXP(-LN(2)/25))/(LN(2)/25)*Calculateur!BL116*Calculateur!BN116*VLOOKUP('Données projet'!$B$11,Paramètres!$A$1:$I$89,3,0)*0.475*44/12</f>
        <v>1.5335742604918505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9.0230311840120887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-6.3550942286383367E-14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410.32666742287449</v>
      </c>
      <c r="T117" s="59">
        <f t="shared" si="88"/>
        <v>494.36941732405256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101.5515754883201</v>
      </c>
      <c r="AA117" s="21">
        <f>EXP(-LN(2)/25)*AA116+(1-EXP(-LN(2)/25))/(LN(2)/25)*Calculateur!V117*Calculateur!X117*VLOOKUP('Données projet'!$B$9,Paramètres!$A$1:$I$89,3,0)*0.475*44/12</f>
        <v>12.75304196035704</v>
      </c>
      <c r="AB117" s="21">
        <f>EXP(-LN(2)/2)*AB116+(1-EXP(-LN(2)/2))/(LN(2)/2)*V117*Y117*VLOOKUP('Données projet'!$B$9,Paramètres!$A$1:$I$89,3,0)*0.475*44/12</f>
        <v>3.0953343990884907E-7</v>
      </c>
      <c r="AC117" s="22">
        <f t="shared" si="57"/>
        <v>114.30461775821057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-1.7053025658242404E-13</v>
      </c>
      <c r="AJ117" s="13">
        <f>AI117*VLOOKUP('Données projet'!$B$10,Paramètres!$A$1:$I$89,3,0)*VLOOKUP('Données projet'!$B$10,Paramètres!$A$1:$I$89,5,0)</f>
        <v>-1.064108801074326E-13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197.20006068829753</v>
      </c>
      <c r="AO117" s="59">
        <f t="shared" si="90"/>
        <v>256.52014906581638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58.977249874208688</v>
      </c>
      <c r="AV117" s="21">
        <f>EXP(-LN(2)/25)*AV116+(1-EXP(-LN(2)/25))/(LN(2)/25)*Calculateur!AQ117*Calculateur!AS117*VLOOKUP('Données projet'!$B$10,Paramètres!$A$1:$I$89,3,0)*0.475*44/12</f>
        <v>9.0087035002233247</v>
      </c>
      <c r="AW117" s="21">
        <f>EXP(-LN(2)/2)*AW116+(1-EXP(-LN(2)/2))/(LN(2)/2)*AQ117*AT117*VLOOKUP('Données projet'!$B$10,Paramètres!$A$1:$I$89,3,0)*0.475*44/12</f>
        <v>1.4841719395170016E-7</v>
      </c>
      <c r="AX117" s="21">
        <f t="shared" si="60"/>
        <v>67.985953522849215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102.76553481871144</v>
      </c>
      <c r="BJ117" s="59">
        <f t="shared" si="92"/>
        <v>345.99919346320343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7.3425932413676653</v>
      </c>
      <c r="BQ117" s="21">
        <f>EXP(-LN(2)/25)*BQ116+(1-EXP(-LN(2)/25))/(LN(2)/25)*Calculateur!BL117*Calculateur!BN117*VLOOKUP('Données projet'!$B$11,Paramètres!$A$1:$I$89,3,0)*0.475*44/12</f>
        <v>1.4916385916915356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8.8342318330592011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-6.3550942286383367E-14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410.32666742287449</v>
      </c>
      <c r="T118" s="59">
        <f t="shared" si="88"/>
        <v>494.36941732405256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99.560211033339087</v>
      </c>
      <c r="AA118" s="21">
        <f>EXP(-LN(2)/25)*AA117+(1-EXP(-LN(2)/25))/(LN(2)/25)*Calculateur!V118*Calculateur!X118*VLOOKUP('Données projet'!$B$9,Paramètres!$A$1:$I$89,3,0)*0.475*44/12</f>
        <v>12.404309357297747</v>
      </c>
      <c r="AB118" s="21">
        <f>EXP(-LN(2)/2)*AB117+(1-EXP(-LN(2)/2))/(LN(2)/2)*V118*Y118*VLOOKUP('Données projet'!$B$9,Paramètres!$A$1:$I$89,3,0)*0.475*44/12</f>
        <v>2.188731943635459E-7</v>
      </c>
      <c r="AC118" s="22">
        <f t="shared" si="57"/>
        <v>111.96452060951003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-1.7053025658242404E-13</v>
      </c>
      <c r="AJ118" s="13">
        <f>AI118*VLOOKUP('Données projet'!$B$10,Paramètres!$A$1:$I$89,3,0)*VLOOKUP('Données projet'!$B$10,Paramètres!$A$1:$I$89,5,0)</f>
        <v>-1.064108801074326E-13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197.20006068829753</v>
      </c>
      <c r="AO118" s="59">
        <f t="shared" si="90"/>
        <v>256.52014906581638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57.820741976745886</v>
      </c>
      <c r="AV118" s="21">
        <f>EXP(-LN(2)/25)*AV117+(1-EXP(-LN(2)/25))/(LN(2)/25)*Calculateur!AQ118*Calculateur!AS118*VLOOKUP('Données projet'!$B$10,Paramètres!$A$1:$I$89,3,0)*0.475*44/12</f>
        <v>8.7623600292625898</v>
      </c>
      <c r="AW118" s="21">
        <f>EXP(-LN(2)/2)*AW117+(1-EXP(-LN(2)/2))/(LN(2)/2)*AQ118*AT118*VLOOKUP('Données projet'!$B$10,Paramètres!$A$1:$I$89,3,0)*0.475*44/12</f>
        <v>1.0494680428792623E-7</v>
      </c>
      <c r="AX118" s="21">
        <f t="shared" si="60"/>
        <v>66.583102110955281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102.76553481871144</v>
      </c>
      <c r="BJ118" s="59">
        <f t="shared" si="92"/>
        <v>345.99919346320343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7.1986094664441032</v>
      </c>
      <c r="BQ118" s="21">
        <f>EXP(-LN(2)/25)*BQ117+(1-EXP(-LN(2)/25))/(LN(2)/25)*Calculateur!BL118*Calculateur!BN118*VLOOKUP('Données projet'!$B$11,Paramètres!$A$1:$I$89,3,0)*0.475*44/12</f>
        <v>1.4508496559598663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8.6494591224039699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-6.3550942286383367E-14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410.32666742287449</v>
      </c>
      <c r="T119" s="59">
        <f t="shared" si="88"/>
        <v>494.36941732405256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97.607896020707869</v>
      </c>
      <c r="AA119" s="21">
        <f>EXP(-LN(2)/25)*AA118+(1-EXP(-LN(2)/25))/(LN(2)/25)*Calculateur!V119*Calculateur!X119*VLOOKUP('Données projet'!$B$9,Paramètres!$A$1:$I$89,3,0)*0.475*44/12</f>
        <v>12.06511286560816</v>
      </c>
      <c r="AB119" s="21">
        <f>EXP(-LN(2)/2)*AB118+(1-EXP(-LN(2)/2))/(LN(2)/2)*V119*Y119*VLOOKUP('Données projet'!$B$9,Paramètres!$A$1:$I$89,3,0)*0.475*44/12</f>
        <v>1.5476671995442453E-7</v>
      </c>
      <c r="AC119" s="22">
        <f t="shared" si="57"/>
        <v>109.67300904108275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-1.7053025658242404E-13</v>
      </c>
      <c r="AJ119" s="13">
        <f>AI119*VLOOKUP('Données projet'!$B$10,Paramètres!$A$1:$I$89,3,0)*VLOOKUP('Données projet'!$B$10,Paramètres!$A$1:$I$89,5,0)</f>
        <v>-1.064108801074326E-13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197.20006068829753</v>
      </c>
      <c r="AO119" s="59">
        <f t="shared" si="90"/>
        <v>256.52014906581638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56.68691249375216</v>
      </c>
      <c r="AV119" s="21">
        <f>EXP(-LN(2)/25)*AV118+(1-EXP(-LN(2)/25))/(LN(2)/25)*Calculateur!AQ119*Calculateur!AS119*VLOOKUP('Données projet'!$B$10,Paramètres!$A$1:$I$89,3,0)*0.475*44/12</f>
        <v>8.5227528334699176</v>
      </c>
      <c r="AW119" s="21">
        <f>EXP(-LN(2)/2)*AW118+(1-EXP(-LN(2)/2))/(LN(2)/2)*AQ119*AT119*VLOOKUP('Données projet'!$B$10,Paramètres!$A$1:$I$89,3,0)*0.475*44/12</f>
        <v>7.4208596975850078E-8</v>
      </c>
      <c r="AX119" s="21">
        <f t="shared" si="60"/>
        <v>65.209665401430684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102.76553481871144</v>
      </c>
      <c r="BJ119" s="59">
        <f t="shared" si="92"/>
        <v>345.99919346320343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7.0574491255253617</v>
      </c>
      <c r="BQ119" s="21">
        <f>EXP(-LN(2)/25)*BQ118+(1-EXP(-LN(2)/25))/(LN(2)/25)*Calculateur!BL119*Calculateur!BN119*VLOOKUP('Données projet'!$B$11,Paramètres!$A$1:$I$89,3,0)*0.475*44/12</f>
        <v>1.4111760958207762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8.4686252213461373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-6.3550942286383367E-14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410.32666742287449</v>
      </c>
      <c r="T120" s="59">
        <f t="shared" si="88"/>
        <v>494.36941732405256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95.693864714679776</v>
      </c>
      <c r="AA120" s="21">
        <f>EXP(-LN(2)/25)*AA119+(1-EXP(-LN(2)/25))/(LN(2)/25)*Calculateur!V120*Calculateur!X120*VLOOKUP('Données projet'!$B$9,Paramètres!$A$1:$I$89,3,0)*0.475*44/12</f>
        <v>11.735191719821394</v>
      </c>
      <c r="AB120" s="21">
        <f>EXP(-LN(2)/2)*AB119+(1-EXP(-LN(2)/2))/(LN(2)/2)*V120*Y120*VLOOKUP('Données projet'!$B$9,Paramètres!$A$1:$I$89,3,0)*0.475*44/12</f>
        <v>1.0943659718177295E-7</v>
      </c>
      <c r="AC120" s="22">
        <f t="shared" si="57"/>
        <v>107.42905654393778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-1.7053025658242404E-13</v>
      </c>
      <c r="AJ120" s="13">
        <f>AI120*VLOOKUP('Données projet'!$B$10,Paramètres!$A$1:$I$89,3,0)*VLOOKUP('Données projet'!$B$10,Paramètres!$A$1:$I$89,5,0)</f>
        <v>-1.064108801074326E-13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197.20006068829753</v>
      </c>
      <c r="AO120" s="59">
        <f t="shared" si="90"/>
        <v>256.52014906581638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55.575316715352244</v>
      </c>
      <c r="AV120" s="21">
        <f>EXP(-LN(2)/25)*AV119+(1-EXP(-LN(2)/25))/(LN(2)/25)*Calculateur!AQ120*Calculateur!AS120*VLOOKUP('Données projet'!$B$10,Paramètres!$A$1:$I$89,3,0)*0.475*44/12</f>
        <v>8.2896977090465906</v>
      </c>
      <c r="AW120" s="21">
        <f>EXP(-LN(2)/2)*AW119+(1-EXP(-LN(2)/2))/(LN(2)/2)*AQ120*AT120*VLOOKUP('Données projet'!$B$10,Paramètres!$A$1:$I$89,3,0)*0.475*44/12</f>
        <v>5.2473402143963115E-8</v>
      </c>
      <c r="AX120" s="21">
        <f t="shared" si="60"/>
        <v>63.86501447687224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102.76553481871144</v>
      </c>
      <c r="BJ120" s="59">
        <f t="shared" si="92"/>
        <v>345.99919346320343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6.9190568527927301</v>
      </c>
      <c r="BQ120" s="21">
        <f>EXP(-LN(2)/25)*BQ119+(1-EXP(-LN(2)/25))/(LN(2)/25)*Calculateur!BL120*Calculateur!BN120*VLOOKUP('Données projet'!$B$11,Paramètres!$A$1:$I$89,3,0)*0.475*44/12</f>
        <v>1.3725874112700314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8.2916442640627608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-6.3550942286383367E-14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410.32666742287449</v>
      </c>
      <c r="T121" s="59">
        <f t="shared" si="88"/>
        <v>494.36941732405256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93.817366395119066</v>
      </c>
      <c r="AA121" s="21">
        <f>EXP(-LN(2)/25)*AA120+(1-EXP(-LN(2)/25))/(LN(2)/25)*Calculateur!V121*Calculateur!X121*VLOOKUP('Données projet'!$B$9,Paramètres!$A$1:$I$89,3,0)*0.475*44/12</f>
        <v>11.414292285115966</v>
      </c>
      <c r="AB121" s="21">
        <f>EXP(-LN(2)/2)*AB120+(1-EXP(-LN(2)/2))/(LN(2)/2)*V121*Y121*VLOOKUP('Données projet'!$B$9,Paramètres!$A$1:$I$89,3,0)*0.475*44/12</f>
        <v>7.7383359977212267E-8</v>
      </c>
      <c r="AC121" s="22">
        <f t="shared" si="57"/>
        <v>105.23165875761839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-1.7053025658242404E-13</v>
      </c>
      <c r="AJ121" s="13">
        <f>AI121*VLOOKUP('Données projet'!$B$10,Paramètres!$A$1:$I$89,3,0)*VLOOKUP('Données projet'!$B$10,Paramètres!$A$1:$I$89,5,0)</f>
        <v>-1.064108801074326E-13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197.20006068829753</v>
      </c>
      <c r="AO121" s="59">
        <f t="shared" si="90"/>
        <v>256.52014906581638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54.485518652160273</v>
      </c>
      <c r="AV121" s="21">
        <f>EXP(-LN(2)/25)*AV120+(1-EXP(-LN(2)/25))/(LN(2)/25)*Calculateur!AQ121*Calculateur!AS121*VLOOKUP('Données projet'!$B$10,Paramètres!$A$1:$I$89,3,0)*0.475*44/12</f>
        <v>8.0630154892564558</v>
      </c>
      <c r="AW121" s="21">
        <f>EXP(-LN(2)/2)*AW120+(1-EXP(-LN(2)/2))/(LN(2)/2)*AQ121*AT121*VLOOKUP('Données projet'!$B$10,Paramètres!$A$1:$I$89,3,0)*0.475*44/12</f>
        <v>3.7104298487925039E-8</v>
      </c>
      <c r="AX121" s="21">
        <f t="shared" si="60"/>
        <v>62.548534178521031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102.76553481871144</v>
      </c>
      <c r="BJ121" s="59">
        <f t="shared" si="92"/>
        <v>345.99919346320343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6.7833783681174342</v>
      </c>
      <c r="BQ121" s="21">
        <f>EXP(-LN(2)/25)*BQ120+(1-EXP(-LN(2)/25))/(LN(2)/25)*Calculateur!BL121*Calculateur!BN121*VLOOKUP('Données projet'!$B$11,Paramètres!$A$1:$I$89,3,0)*0.475*44/12</f>
        <v>1.3350539363276175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8.1184323044450508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-6.3550942286383367E-14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410.32666742287449</v>
      </c>
      <c r="T122" s="59">
        <f t="shared" si="88"/>
        <v>494.36941732405256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91.97766506305399</v>
      </c>
      <c r="AA122" s="21">
        <f>EXP(-LN(2)/25)*AA121+(1-EXP(-LN(2)/25))/(LN(2)/25)*Calculateur!V122*Calculateur!X122*VLOOKUP('Données projet'!$B$9,Paramètres!$A$1:$I$89,3,0)*0.475*44/12</f>
        <v>11.102167862327926</v>
      </c>
      <c r="AB122" s="21">
        <f>EXP(-LN(2)/2)*AB121+(1-EXP(-LN(2)/2))/(LN(2)/2)*V122*Y122*VLOOKUP('Données projet'!$B$9,Paramètres!$A$1:$I$89,3,0)*0.475*44/12</f>
        <v>5.4718298590886475E-8</v>
      </c>
      <c r="AC122" s="22">
        <f t="shared" si="57"/>
        <v>103.07983298010022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-1.7053025658242404E-13</v>
      </c>
      <c r="AJ122" s="13">
        <f>AI122*VLOOKUP('Données projet'!$B$10,Paramètres!$A$1:$I$89,3,0)*VLOOKUP('Données projet'!$B$10,Paramètres!$A$1:$I$89,5,0)</f>
        <v>-1.064108801074326E-13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197.20006068829753</v>
      </c>
      <c r="AO122" s="59">
        <f t="shared" si="90"/>
        <v>256.52014906581638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53.417090864276311</v>
      </c>
      <c r="AV122" s="21">
        <f>EXP(-LN(2)/25)*AV121+(1-EXP(-LN(2)/25))/(LN(2)/25)*Calculateur!AQ122*Calculateur!AS122*VLOOKUP('Données projet'!$B$10,Paramètres!$A$1:$I$89,3,0)*0.475*44/12</f>
        <v>7.8425319066871815</v>
      </c>
      <c r="AW122" s="21">
        <f>EXP(-LN(2)/2)*AW121+(1-EXP(-LN(2)/2))/(LN(2)/2)*AQ122*AT122*VLOOKUP('Données projet'!$B$10,Paramètres!$A$1:$I$89,3,0)*0.475*44/12</f>
        <v>2.6236701071981557E-8</v>
      </c>
      <c r="AX122" s="21">
        <f t="shared" si="60"/>
        <v>61.259622797200187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102.76553481871144</v>
      </c>
      <c r="BJ122" s="59">
        <f t="shared" si="92"/>
        <v>345.99919346320343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6.6503604557709162</v>
      </c>
      <c r="BQ122" s="21">
        <f>EXP(-LN(2)/25)*BQ121+(1-EXP(-LN(2)/25))/(LN(2)/25)*Calculateur!BL122*Calculateur!BN122*VLOOKUP('Données projet'!$B$11,Paramètres!$A$1:$I$89,3,0)*0.475*44/12</f>
        <v>1.2985468162313036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7.94890727200222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-6.3550942286383367E-14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410.32666742287449</v>
      </c>
      <c r="T123" s="59">
        <f t="shared" si="88"/>
        <v>494.36941732405256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90.174039152003687</v>
      </c>
      <c r="AA123" s="21">
        <f>EXP(-LN(2)/25)*AA122+(1-EXP(-LN(2)/25))/(LN(2)/25)*Calculateur!V123*Calculateur!X123*VLOOKUP('Données projet'!$B$9,Paramètres!$A$1:$I$89,3,0)*0.475*44/12</f>
        <v>10.798578498294935</v>
      </c>
      <c r="AB123" s="21">
        <f>EXP(-LN(2)/2)*AB122+(1-EXP(-LN(2)/2))/(LN(2)/2)*V123*Y123*VLOOKUP('Données projet'!$B$9,Paramètres!$A$1:$I$89,3,0)*0.475*44/12</f>
        <v>3.8691679988606134E-8</v>
      </c>
      <c r="AC123" s="22">
        <f t="shared" si="57"/>
        <v>100.9726176889903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-1.7053025658242404E-13</v>
      </c>
      <c r="AJ123" s="13">
        <f>AI123*VLOOKUP('Données projet'!$B$10,Paramètres!$A$1:$I$89,3,0)*VLOOKUP('Données projet'!$B$10,Paramètres!$A$1:$I$89,5,0)</f>
        <v>-1.064108801074326E-13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197.20006068829753</v>
      </c>
      <c r="AO123" s="59">
        <f t="shared" si="90"/>
        <v>256.52014906581638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52.369614293636154</v>
      </c>
      <c r="AV123" s="21">
        <f>EXP(-LN(2)/25)*AV122+(1-EXP(-LN(2)/25))/(LN(2)/25)*Calculateur!AQ123*Calculateur!AS123*VLOOKUP('Données projet'!$B$10,Paramètres!$A$1:$I$89,3,0)*0.475*44/12</f>
        <v>7.6280774592779919</v>
      </c>
      <c r="AW123" s="21">
        <f>EXP(-LN(2)/2)*AW122+(1-EXP(-LN(2)/2))/(LN(2)/2)*AQ123*AT123*VLOOKUP('Données projet'!$B$10,Paramètres!$A$1:$I$89,3,0)*0.475*44/12</f>
        <v>1.855214924396252E-8</v>
      </c>
      <c r="AX123" s="21">
        <f t="shared" si="60"/>
        <v>59.997691771466293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102.76553481871144</v>
      </c>
      <c r="BJ123" s="59">
        <f t="shared" si="92"/>
        <v>345.99919346320343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6.5199509435525984</v>
      </c>
      <c r="BQ123" s="21">
        <f>EXP(-LN(2)/25)*BQ122+(1-EXP(-LN(2)/25))/(LN(2)/25)*Calculateur!BL123*Calculateur!BN123*VLOOKUP('Données projet'!$B$11,Paramètres!$A$1:$I$89,3,0)*0.475*44/12</f>
        <v>1.2630379852538494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7.7829889288064482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-6.3550942286383367E-14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410.32666742287449</v>
      </c>
      <c r="T124" s="59">
        <f t="shared" si="88"/>
        <v>494.36941732405256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88.405781244965908</v>
      </c>
      <c r="AA124" s="21">
        <f>EXP(-LN(2)/25)*AA123+(1-EXP(-LN(2)/25))/(LN(2)/25)*Calculateur!V124*Calculateur!X124*VLOOKUP('Données projet'!$B$9,Paramètres!$A$1:$I$89,3,0)*0.475*44/12</f>
        <v>10.503290801386497</v>
      </c>
      <c r="AB124" s="21">
        <f>EXP(-LN(2)/2)*AB123+(1-EXP(-LN(2)/2))/(LN(2)/2)*V124*Y124*VLOOKUP('Données projet'!$B$9,Paramètres!$A$1:$I$89,3,0)*0.475*44/12</f>
        <v>2.7359149295443237E-8</v>
      </c>
      <c r="AC124" s="22">
        <f t="shared" si="57"/>
        <v>98.909072073711556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-1.7053025658242404E-13</v>
      </c>
      <c r="AJ124" s="13">
        <f>AI124*VLOOKUP('Données projet'!$B$10,Paramètres!$A$1:$I$89,3,0)*VLOOKUP('Données projet'!$B$10,Paramètres!$A$1:$I$89,5,0)</f>
        <v>-1.064108801074326E-13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197.20006068829753</v>
      </c>
      <c r="AO124" s="59">
        <f t="shared" si="90"/>
        <v>256.52014906581638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51.34267809964863</v>
      </c>
      <c r="AV124" s="21">
        <f>EXP(-LN(2)/25)*AV123+(1-EXP(-LN(2)/25))/(LN(2)/25)*Calculateur!AQ124*Calculateur!AS124*VLOOKUP('Données projet'!$B$10,Paramètres!$A$1:$I$89,3,0)*0.475*44/12</f>
        <v>7.419487280010876</v>
      </c>
      <c r="AW124" s="21">
        <f>EXP(-LN(2)/2)*AW123+(1-EXP(-LN(2)/2))/(LN(2)/2)*AQ124*AT124*VLOOKUP('Données projet'!$B$10,Paramètres!$A$1:$I$89,3,0)*0.475*44/12</f>
        <v>1.3118350535990779E-8</v>
      </c>
      <c r="AX124" s="21">
        <f t="shared" si="60"/>
        <v>58.76216539277786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102.76553481871144</v>
      </c>
      <c r="BJ124" s="59">
        <f t="shared" si="92"/>
        <v>345.99919346320343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6.3920986823269335</v>
      </c>
      <c r="BQ124" s="21">
        <f>EXP(-LN(2)/25)*BQ123+(1-EXP(-LN(2)/25))/(LN(2)/25)*Calculateur!BL124*Calculateur!BN124*VLOOKUP('Données projet'!$B$11,Paramètres!$A$1:$I$89,3,0)*0.475*44/12</f>
        <v>1.2285001451268018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7.6205988274537351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-6.3550942286383367E-14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410.32666742287449</v>
      </c>
      <c r="T125" s="59">
        <f t="shared" si="88"/>
        <v>494.36941732405256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86.672197796954308</v>
      </c>
      <c r="AA125" s="21">
        <f>EXP(-LN(2)/25)*AA124+(1-EXP(-LN(2)/25))/(LN(2)/25)*Calculateur!V125*Calculateur!X125*VLOOKUP('Données projet'!$B$9,Paramètres!$A$1:$I$89,3,0)*0.475*44/12</f>
        <v>10.216077762078525</v>
      </c>
      <c r="AB125" s="21">
        <f>EXP(-LN(2)/2)*AB124+(1-EXP(-LN(2)/2))/(LN(2)/2)*V125*Y125*VLOOKUP('Données projet'!$B$9,Paramètres!$A$1:$I$89,3,0)*0.475*44/12</f>
        <v>1.9345839994303067E-8</v>
      </c>
      <c r="AC125" s="22">
        <f t="shared" si="57"/>
        <v>96.888275578378668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-1.7053025658242404E-13</v>
      </c>
      <c r="AJ125" s="13">
        <f>AI125*VLOOKUP('Données projet'!$B$10,Paramètres!$A$1:$I$89,3,0)*VLOOKUP('Données projet'!$B$10,Paramètres!$A$1:$I$89,5,0)</f>
        <v>-1.064108801074326E-13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197.20006068829753</v>
      </c>
      <c r="AO125" s="59">
        <f t="shared" si="90"/>
        <v>256.52014906581638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50.335879498055967</v>
      </c>
      <c r="AV125" s="21">
        <f>EXP(-LN(2)/25)*AV124+(1-EXP(-LN(2)/25))/(LN(2)/25)*Calculateur!AQ125*Calculateur!AS125*VLOOKUP('Données projet'!$B$10,Paramètres!$A$1:$I$89,3,0)*0.475*44/12</f>
        <v>7.2166010101650997</v>
      </c>
      <c r="AW125" s="21">
        <f>EXP(-LN(2)/2)*AW124+(1-EXP(-LN(2)/2))/(LN(2)/2)*AQ125*AT125*VLOOKUP('Données projet'!$B$10,Paramètres!$A$1:$I$89,3,0)*0.475*44/12</f>
        <v>9.2760746219812598E-9</v>
      </c>
      <c r="AX125" s="21">
        <f t="shared" si="60"/>
        <v>57.552480517497138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102.76553481871144</v>
      </c>
      <c r="BJ125" s="59">
        <f t="shared" si="92"/>
        <v>345.99919346320343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6.2667535259617244</v>
      </c>
      <c r="BQ125" s="21">
        <f>EXP(-LN(2)/25)*BQ124+(1-EXP(-LN(2)/25))/(LN(2)/25)*Calculateur!BL125*Calculateur!BN125*VLOOKUP('Données projet'!$B$11,Paramètres!$A$1:$I$89,3,0)*0.475*44/12</f>
        <v>1.1949067440542946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7.4616602700160186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-6.3550942286383367E-14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410.32666742287449</v>
      </c>
      <c r="T126" s="59">
        <f t="shared" si="88"/>
        <v>494.36941732405256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84.972608862976728</v>
      </c>
      <c r="AA126" s="21">
        <f>EXP(-LN(2)/25)*AA125+(1-EXP(-LN(2)/25))/(LN(2)/25)*Calculateur!V126*Calculateur!X126*VLOOKUP('Données projet'!$B$9,Paramètres!$A$1:$I$89,3,0)*0.475*44/12</f>
        <v>9.9367185784343075</v>
      </c>
      <c r="AB126" s="21">
        <f>EXP(-LN(2)/2)*AB125+(1-EXP(-LN(2)/2))/(LN(2)/2)*V126*Y126*VLOOKUP('Données projet'!$B$9,Paramètres!$A$1:$I$89,3,0)*0.475*44/12</f>
        <v>1.3679574647721619E-8</v>
      </c>
      <c r="AC126" s="22">
        <f t="shared" si="57"/>
        <v>94.909327455090605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-1.7053025658242404E-13</v>
      </c>
      <c r="AJ126" s="13">
        <f>AI126*VLOOKUP('Données projet'!$B$10,Paramètres!$A$1:$I$89,3,0)*VLOOKUP('Données projet'!$B$10,Paramètres!$A$1:$I$89,5,0)</f>
        <v>-1.064108801074326E-13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197.20006068829753</v>
      </c>
      <c r="AO126" s="59">
        <f t="shared" si="90"/>
        <v>256.52014906581638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49.348823602954027</v>
      </c>
      <c r="AV126" s="21">
        <f>EXP(-LN(2)/25)*AV125+(1-EXP(-LN(2)/25))/(LN(2)/25)*Calculateur!AQ126*Calculateur!AS126*VLOOKUP('Données projet'!$B$10,Paramètres!$A$1:$I$89,3,0)*0.475*44/12</f>
        <v>7.0192626760375818</v>
      </c>
      <c r="AW126" s="21">
        <f>EXP(-LN(2)/2)*AW125+(1-EXP(-LN(2)/2))/(LN(2)/2)*AQ126*AT126*VLOOKUP('Données projet'!$B$10,Paramètres!$A$1:$I$89,3,0)*0.475*44/12</f>
        <v>6.5591752679953893E-9</v>
      </c>
      <c r="AX126" s="21">
        <f t="shared" si="60"/>
        <v>56.368086285550788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102.76553481871144</v>
      </c>
      <c r="BJ126" s="59">
        <f t="shared" si="92"/>
        <v>345.99919346320343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6.1438663116598411</v>
      </c>
      <c r="BQ126" s="21">
        <f>EXP(-LN(2)/25)*BQ125+(1-EXP(-LN(2)/25))/(LN(2)/25)*Calculateur!BL126*Calculateur!BN126*VLOOKUP('Données projet'!$B$11,Paramètres!$A$1:$I$89,3,0)*0.475*44/12</f>
        <v>1.1622319563007153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7.3060982679605564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-6.3550942286383367E-14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410.32666742287449</v>
      </c>
      <c r="T127" s="59">
        <f t="shared" si="88"/>
        <v>494.36941732405256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83.306347831347551</v>
      </c>
      <c r="AA127" s="21">
        <f>EXP(-LN(2)/25)*AA126+(1-EXP(-LN(2)/25))/(LN(2)/25)*Calculateur!V127*Calculateur!X127*VLOOKUP('Données projet'!$B$9,Paramètres!$A$1:$I$89,3,0)*0.475*44/12</f>
        <v>9.6649984863577014</v>
      </c>
      <c r="AB127" s="21">
        <f>EXP(-LN(2)/2)*AB126+(1-EXP(-LN(2)/2))/(LN(2)/2)*V127*Y127*VLOOKUP('Données projet'!$B$9,Paramètres!$A$1:$I$89,3,0)*0.475*44/12</f>
        <v>9.6729199971515334E-9</v>
      </c>
      <c r="AC127" s="22">
        <f t="shared" si="57"/>
        <v>92.971346327378171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-1.7053025658242404E-13</v>
      </c>
      <c r="AJ127" s="13">
        <f>AI127*VLOOKUP('Données projet'!$B$10,Paramètres!$A$1:$I$89,3,0)*VLOOKUP('Données projet'!$B$10,Paramètres!$A$1:$I$89,5,0)</f>
        <v>-1.064108801074326E-13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197.20006068829753</v>
      </c>
      <c r="AO127" s="59">
        <f t="shared" si="90"/>
        <v>256.52014906581638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48.38112327191039</v>
      </c>
      <c r="AV127" s="21">
        <f>EXP(-LN(2)/25)*AV126+(1-EXP(-LN(2)/25))/(LN(2)/25)*Calculateur!AQ127*Calculateur!AS127*VLOOKUP('Données projet'!$B$10,Paramètres!$A$1:$I$89,3,0)*0.475*44/12</f>
        <v>6.8273205690343524</v>
      </c>
      <c r="AW127" s="21">
        <f>EXP(-LN(2)/2)*AW126+(1-EXP(-LN(2)/2))/(LN(2)/2)*AQ127*AT127*VLOOKUP('Données projet'!$B$10,Paramètres!$A$1:$I$89,3,0)*0.475*44/12</f>
        <v>4.6380373109906299E-9</v>
      </c>
      <c r="AX127" s="21">
        <f t="shared" si="60"/>
        <v>55.208443845582778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102.76553481871144</v>
      </c>
      <c r="BJ127" s="59">
        <f t="shared" si="92"/>
        <v>345.99919346320343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6.0233888406766178</v>
      </c>
      <c r="BQ127" s="21">
        <f>EXP(-LN(2)/25)*BQ126+(1-EXP(-LN(2)/25))/(LN(2)/25)*Calculateur!BL127*Calculateur!BN127*VLOOKUP('Données projet'!$B$11,Paramètres!$A$1:$I$89,3,0)*0.475*44/12</f>
        <v>1.13045066233655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7.1538395030131676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-6.3550942286383367E-14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410.32666742287449</v>
      </c>
      <c r="T128" s="59">
        <f t="shared" si="88"/>
        <v>494.36941732405256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81.672761162229747</v>
      </c>
      <c r="AA128" s="21">
        <f>EXP(-LN(2)/25)*AA127+(1-EXP(-LN(2)/25))/(LN(2)/25)*Calculateur!V128*Calculateur!X128*VLOOKUP('Données projet'!$B$9,Paramètres!$A$1:$I$89,3,0)*0.475*44/12</f>
        <v>9.4007085944880693</v>
      </c>
      <c r="AB128" s="21">
        <f>EXP(-LN(2)/2)*AB127+(1-EXP(-LN(2)/2))/(LN(2)/2)*V128*Y128*VLOOKUP('Données projet'!$B$9,Paramètres!$A$1:$I$89,3,0)*0.475*44/12</f>
        <v>6.8397873238608093E-9</v>
      </c>
      <c r="AC128" s="22">
        <f t="shared" si="57"/>
        <v>91.073469763557597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-1.7053025658242404E-13</v>
      </c>
      <c r="AJ128" s="13">
        <f>AI128*VLOOKUP('Données projet'!$B$10,Paramètres!$A$1:$I$89,3,0)*VLOOKUP('Données projet'!$B$10,Paramètres!$A$1:$I$89,5,0)</f>
        <v>-1.064108801074326E-13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197.20006068829753</v>
      </c>
      <c r="AO128" s="59">
        <f t="shared" si="90"/>
        <v>256.52014906581638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47.432398954119591</v>
      </c>
      <c r="AV128" s="21">
        <f>EXP(-LN(2)/25)*AV127+(1-EXP(-LN(2)/25))/(LN(2)/25)*Calculateur!AQ128*Calculateur!AS128*VLOOKUP('Données projet'!$B$10,Paramètres!$A$1:$I$89,3,0)*0.475*44/12</f>
        <v>6.6406271290409231</v>
      </c>
      <c r="AW128" s="21">
        <f>EXP(-LN(2)/2)*AW127+(1-EXP(-LN(2)/2))/(LN(2)/2)*AQ128*AT128*VLOOKUP('Données projet'!$B$10,Paramètres!$A$1:$I$89,3,0)*0.475*44/12</f>
        <v>3.2795876339976947E-9</v>
      </c>
      <c r="AX128" s="21">
        <f t="shared" si="60"/>
        <v>54.073026086440102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102.76553481871144</v>
      </c>
      <c r="BJ128" s="59">
        <f t="shared" si="92"/>
        <v>345.99919346320343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5.9052738594153746</v>
      </c>
      <c r="BQ128" s="21">
        <f>EXP(-LN(2)/25)*BQ127+(1-EXP(-LN(2)/25))/(LN(2)/25)*Calculateur!BL128*Calculateur!BN128*VLOOKUP('Données projet'!$B$11,Paramètres!$A$1:$I$89,3,0)*0.475*44/12</f>
        <v>1.0995384295271404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7.0048122889425155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-6.3550942286383367E-14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410.32666742287449</v>
      </c>
      <c r="T129" s="59">
        <f t="shared" si="88"/>
        <v>494.36941732405256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80.071208131303862</v>
      </c>
      <c r="AA129" s="21">
        <f>EXP(-LN(2)/25)*AA128+(1-EXP(-LN(2)/25))/(LN(2)/25)*Calculateur!V129*Calculateur!X129*VLOOKUP('Données projet'!$B$9,Paramètres!$A$1:$I$89,3,0)*0.475*44/12</f>
        <v>9.1436457236100139</v>
      </c>
      <c r="AB129" s="21">
        <f>EXP(-LN(2)/2)*AB128+(1-EXP(-LN(2)/2))/(LN(2)/2)*V129*Y129*VLOOKUP('Données projet'!$B$9,Paramètres!$A$1:$I$89,3,0)*0.475*44/12</f>
        <v>4.8364599985757667E-9</v>
      </c>
      <c r="AC129" s="22">
        <f t="shared" si="57"/>
        <v>89.214853859750349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-1.7053025658242404E-13</v>
      </c>
      <c r="AJ129" s="13">
        <f>AI129*VLOOKUP('Données projet'!$B$10,Paramètres!$A$1:$I$89,3,0)*VLOOKUP('Données projet'!$B$10,Paramètres!$A$1:$I$89,5,0)</f>
        <v>-1.064108801074326E-13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197.20006068829753</v>
      </c>
      <c r="AO129" s="59">
        <f t="shared" si="90"/>
        <v>256.52014906581638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46.502278541535979</v>
      </c>
      <c r="AV129" s="21">
        <f>EXP(-LN(2)/25)*AV128+(1-EXP(-LN(2)/25))/(LN(2)/25)*Calculateur!AQ129*Calculateur!AS129*VLOOKUP('Données projet'!$B$10,Paramètres!$A$1:$I$89,3,0)*0.475*44/12</f>
        <v>6.4590388309818954</v>
      </c>
      <c r="AW129" s="21">
        <f>EXP(-LN(2)/2)*AW128+(1-EXP(-LN(2)/2))/(LN(2)/2)*AQ129*AT129*VLOOKUP('Données projet'!$B$10,Paramètres!$A$1:$I$89,3,0)*0.475*44/12</f>
        <v>2.319018655495315E-9</v>
      </c>
      <c r="AX129" s="21">
        <f t="shared" si="60"/>
        <v>52.961317374836895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102.76553481871144</v>
      </c>
      <c r="BJ129" s="59">
        <f t="shared" si="92"/>
        <v>345.99919346320343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5.7894750408936391</v>
      </c>
      <c r="BQ129" s="21">
        <f>EXP(-LN(2)/25)*BQ128+(1-EXP(-LN(2)/25))/(LN(2)/25)*Calculateur!BL129*Calculateur!BN129*VLOOKUP('Données projet'!$B$11,Paramètres!$A$1:$I$89,3,0)*0.475*44/12</f>
        <v>1.0694714933495078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6.858946534243147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-6.3550942286383367E-14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410.32666742287449</v>
      </c>
      <c r="T130" s="59">
        <f t="shared" si="88"/>
        <v>494.36941732405256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78.501060578463537</v>
      </c>
      <c r="AA130" s="21">
        <f>EXP(-LN(2)/25)*AA129+(1-EXP(-LN(2)/25))/(LN(2)/25)*Calculateur!V130*Calculateur!X130*VLOOKUP('Données projet'!$B$9,Paramètres!$A$1:$I$89,3,0)*0.475*44/12</f>
        <v>8.893612250454467</v>
      </c>
      <c r="AB130" s="21">
        <f>EXP(-LN(2)/2)*AB129+(1-EXP(-LN(2)/2))/(LN(2)/2)*V130*Y130*VLOOKUP('Données projet'!$B$9,Paramètres!$A$1:$I$89,3,0)*0.475*44/12</f>
        <v>3.4198936619304047E-9</v>
      </c>
      <c r="AC130" s="22">
        <f t="shared" si="57"/>
        <v>87.394672832337903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-1.7053025658242404E-13</v>
      </c>
      <c r="AJ130" s="13">
        <f>AI130*VLOOKUP('Données projet'!$B$10,Paramètres!$A$1:$I$89,3,0)*VLOOKUP('Données projet'!$B$10,Paramètres!$A$1:$I$89,5,0)</f>
        <v>-1.064108801074326E-13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197.20006068829753</v>
      </c>
      <c r="AO130" s="59">
        <f t="shared" si="90"/>
        <v>256.52014906581638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45.590397222925695</v>
      </c>
      <c r="AV130" s="21">
        <f>EXP(-LN(2)/25)*AV129+(1-EXP(-LN(2)/25))/(LN(2)/25)*Calculateur!AQ130*Calculateur!AS130*VLOOKUP('Données projet'!$B$10,Paramètres!$A$1:$I$89,3,0)*0.475*44/12</f>
        <v>6.2824160744826054</v>
      </c>
      <c r="AW130" s="21">
        <f>EXP(-LN(2)/2)*AW129+(1-EXP(-LN(2)/2))/(LN(2)/2)*AQ130*AT130*VLOOKUP('Données projet'!$B$10,Paramètres!$A$1:$I$89,3,0)*0.475*44/12</f>
        <v>1.6397938169988473E-9</v>
      </c>
      <c r="AX130" s="21">
        <f t="shared" si="60"/>
        <v>51.87281329904809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102.76553481871144</v>
      </c>
      <c r="BJ130" s="59">
        <f t="shared" si="92"/>
        <v>345.99919346320343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5.6759469665728099</v>
      </c>
      <c r="BQ130" s="21">
        <f>EXP(-LN(2)/25)*BQ129+(1-EXP(-LN(2)/25))/(LN(2)/25)*Calculateur!BL130*Calculateur!BN130*VLOOKUP('Données projet'!$B$11,Paramètres!$A$1:$I$89,3,0)*0.475*44/12</f>
        <v>1.0402267391228039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6.7161737056956134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-6.3550942286383367E-14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410.32666742287449</v>
      </c>
      <c r="T131" s="59">
        <f t="shared" si="88"/>
        <v>494.36941732405256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76.961702661438977</v>
      </c>
      <c r="AA131" s="21">
        <f>EXP(-LN(2)/25)*AA130+(1-EXP(-LN(2)/25))/(LN(2)/25)*Calculateur!V131*Calculateur!X131*VLOOKUP('Données projet'!$B$9,Paramètres!$A$1:$I$89,3,0)*0.475*44/12</f>
        <v>8.6504159557710487</v>
      </c>
      <c r="AB131" s="21">
        <f>EXP(-LN(2)/2)*AB130+(1-EXP(-LN(2)/2))/(LN(2)/2)*V131*Y131*VLOOKUP('Données projet'!$B$9,Paramètres!$A$1:$I$89,3,0)*0.475*44/12</f>
        <v>2.4182299992878833E-9</v>
      </c>
      <c r="AC131" s="22">
        <f t="shared" si="57"/>
        <v>85.612118619628262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-1.7053025658242404E-13</v>
      </c>
      <c r="AJ131" s="13">
        <f>AI131*VLOOKUP('Données projet'!$B$10,Paramètres!$A$1:$I$89,3,0)*VLOOKUP('Données projet'!$B$10,Paramètres!$A$1:$I$89,5,0)</f>
        <v>-1.064108801074326E-13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197.20006068829753</v>
      </c>
      <c r="AO131" s="59">
        <f t="shared" si="90"/>
        <v>256.52014906581638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44.696397340780678</v>
      </c>
      <c r="AV131" s="21">
        <f>EXP(-LN(2)/25)*AV130+(1-EXP(-LN(2)/25))/(LN(2)/25)*Calculateur!AQ131*Calculateur!AS131*VLOOKUP('Données projet'!$B$10,Paramètres!$A$1:$I$89,3,0)*0.475*44/12</f>
        <v>6.1106230765479754</v>
      </c>
      <c r="AW131" s="21">
        <f>EXP(-LN(2)/2)*AW130+(1-EXP(-LN(2)/2))/(LN(2)/2)*AQ131*AT131*VLOOKUP('Données projet'!$B$10,Paramètres!$A$1:$I$89,3,0)*0.475*44/12</f>
        <v>1.1595093277476575E-9</v>
      </c>
      <c r="AX131" s="21">
        <f t="shared" si="60"/>
        <v>50.807020418488158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102.76553481871144</v>
      </c>
      <c r="BJ131" s="59">
        <f t="shared" si="92"/>
        <v>345.99919346320343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5.5646451085441244</v>
      </c>
      <c r="BQ131" s="21">
        <f>EXP(-LN(2)/25)*BQ130+(1-EXP(-LN(2)/25))/(LN(2)/25)*Calculateur!BL131*Calculateur!BN131*VLOOKUP('Données projet'!$B$11,Paramètres!$A$1:$I$89,3,0)*0.475*44/12</f>
        <v>1.011781684238344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6.5764267927824687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-6.3550942286383367E-14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410.32666742287449</v>
      </c>
      <c r="T132" s="59">
        <f t="shared" si="88"/>
        <v>494.36941732405256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75.452530614251643</v>
      </c>
      <c r="AA132" s="21">
        <f>EXP(-LN(2)/25)*AA131+(1-EXP(-LN(2)/25))/(LN(2)/25)*Calculateur!V132*Calculateur!X132*VLOOKUP('Données projet'!$B$9,Paramètres!$A$1:$I$89,3,0)*0.475*44/12</f>
        <v>8.4138698765548856</v>
      </c>
      <c r="AB132" s="21">
        <f>EXP(-LN(2)/2)*AB131+(1-EXP(-LN(2)/2))/(LN(2)/2)*V132*Y132*VLOOKUP('Données projet'!$B$9,Paramètres!$A$1:$I$89,3,0)*0.475*44/12</f>
        <v>1.7099468309652023E-9</v>
      </c>
      <c r="AC132" s="22">
        <f t="shared" ref="AC132:AC153" si="111">SUM(Z132:AB132)</f>
        <v>83.866400492516476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-1.7053025658242404E-13</v>
      </c>
      <c r="AJ132" s="13">
        <f>AI132*VLOOKUP('Données projet'!$B$10,Paramètres!$A$1:$I$89,3,0)*VLOOKUP('Données projet'!$B$10,Paramètres!$A$1:$I$89,5,0)</f>
        <v>-1.064108801074326E-13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197.20006068829753</v>
      </c>
      <c r="AO132" s="59">
        <f t="shared" si="90"/>
        <v>256.52014906581638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43.819928251038434</v>
      </c>
      <c r="AV132" s="21">
        <f>EXP(-LN(2)/25)*AV131+(1-EXP(-LN(2)/25))/(LN(2)/25)*Calculateur!AQ132*Calculateur!AS132*VLOOKUP('Données projet'!$B$10,Paramètres!$A$1:$I$89,3,0)*0.475*44/12</f>
        <v>5.9435277671760698</v>
      </c>
      <c r="AW132" s="21">
        <f>EXP(-LN(2)/2)*AW131+(1-EXP(-LN(2)/2))/(LN(2)/2)*AQ132*AT132*VLOOKUP('Données projet'!$B$10,Paramètres!$A$1:$I$89,3,0)*0.475*44/12</f>
        <v>8.1989690849942366E-10</v>
      </c>
      <c r="AX132" s="21">
        <f t="shared" ref="AX132:AX153" si="114">SUM(AU132:AW132)</f>
        <v>49.7634560190344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102.76553481871144</v>
      </c>
      <c r="BJ132" s="59">
        <f t="shared" si="92"/>
        <v>345.99919346320343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5.4555258120639509</v>
      </c>
      <c r="BQ132" s="21">
        <f>EXP(-LN(2)/25)*BQ131+(1-EXP(-LN(2)/25))/(LN(2)/25)*Calculateur!BL132*Calculateur!BN132*VLOOKUP('Données projet'!$B$11,Paramètres!$A$1:$I$89,3,0)*0.475*44/12</f>
        <v>0.9841144608755602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6.4396402729395108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-6.3550942286383367E-14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410.32666742287449</v>
      </c>
      <c r="T133" s="59">
        <f t="shared" ref="T133:T196" si="142">$T$3</f>
        <v>494.36941732405256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73.972952510405591</v>
      </c>
      <c r="AA133" s="21">
        <f>EXP(-LN(2)/25)*AA132+(1-EXP(-LN(2)/25))/(LN(2)/25)*Calculateur!V133*Calculateur!X133*VLOOKUP('Données projet'!$B$9,Paramètres!$A$1:$I$89,3,0)*0.475*44/12</f>
        <v>8.1837921623143064</v>
      </c>
      <c r="AB133" s="21">
        <f>EXP(-LN(2)/2)*AB132+(1-EXP(-LN(2)/2))/(LN(2)/2)*V133*Y133*VLOOKUP('Données projet'!$B$9,Paramètres!$A$1:$I$89,3,0)*0.475*44/12</f>
        <v>1.2091149996439417E-9</v>
      </c>
      <c r="AC133" s="22">
        <f t="shared" si="111"/>
        <v>82.156744673929012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-1.7053025658242404E-13</v>
      </c>
      <c r="AJ133" s="13">
        <f>AI133*VLOOKUP('Données projet'!$B$10,Paramètres!$A$1:$I$89,3,0)*VLOOKUP('Données projet'!$B$10,Paramètres!$A$1:$I$89,5,0)</f>
        <v>-1.064108801074326E-13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197.20006068829753</v>
      </c>
      <c r="AO133" s="59">
        <f t="shared" ref="AO133:AO196" si="144">$AO$3</f>
        <v>256.52014906581638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42.960646185552683</v>
      </c>
      <c r="AV133" s="21">
        <f>EXP(-LN(2)/25)*AV132+(1-EXP(-LN(2)/25))/(LN(2)/25)*Calculateur!AQ133*Calculateur!AS133*VLOOKUP('Données projet'!$B$10,Paramètres!$A$1:$I$89,3,0)*0.475*44/12</f>
        <v>5.781001687826099</v>
      </c>
      <c r="AW133" s="21">
        <f>EXP(-LN(2)/2)*AW132+(1-EXP(-LN(2)/2))/(LN(2)/2)*AQ133*AT133*VLOOKUP('Données projet'!$B$10,Paramètres!$A$1:$I$89,3,0)*0.475*44/12</f>
        <v>5.7975466387382874E-10</v>
      </c>
      <c r="AX133" s="21">
        <f t="shared" si="114"/>
        <v>48.741647873958534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102.76553481871144</v>
      </c>
      <c r="BJ133" s="59">
        <f t="shared" ref="BJ133:BJ196" si="146">$BJ$3</f>
        <v>345.99919346320343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5.3485462784315549</v>
      </c>
      <c r="BQ133" s="21">
        <f>EXP(-LN(2)/25)*BQ132+(1-EXP(-LN(2)/25))/(LN(2)/25)*Calculateur!BL133*Calculateur!BN133*VLOOKUP('Données projet'!$B$11,Paramètres!$A$1:$I$89,3,0)*0.475*44/12</f>
        <v>0.95720379919058773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6.3057500776221431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-6.3550942286383367E-14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410.32666742287449</v>
      </c>
      <c r="T134" s="59">
        <f t="shared" si="142"/>
        <v>494.36941732405256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72.522388030722439</v>
      </c>
      <c r="AA134" s="21">
        <f>EXP(-LN(2)/25)*AA133+(1-EXP(-LN(2)/25))/(LN(2)/25)*Calculateur!V134*Calculateur!X134*VLOOKUP('Données projet'!$B$9,Paramètres!$A$1:$I$89,3,0)*0.475*44/12</f>
        <v>7.9600059352688959</v>
      </c>
      <c r="AB134" s="21">
        <f>EXP(-LN(2)/2)*AB133+(1-EXP(-LN(2)/2))/(LN(2)/2)*V134*Y134*VLOOKUP('Données projet'!$B$9,Paramètres!$A$1:$I$89,3,0)*0.475*44/12</f>
        <v>8.5497341548260117E-10</v>
      </c>
      <c r="AC134" s="22">
        <f t="shared" si="111"/>
        <v>80.482393966846303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-1.7053025658242404E-13</v>
      </c>
      <c r="AJ134" s="13">
        <f>AI134*VLOOKUP('Données projet'!$B$10,Paramètres!$A$1:$I$89,3,0)*VLOOKUP('Données projet'!$B$10,Paramètres!$A$1:$I$89,5,0)</f>
        <v>-1.064108801074326E-13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197.20006068829753</v>
      </c>
      <c r="AO134" s="59">
        <f t="shared" si="144"/>
        <v>256.52014906581638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42.118214117260798</v>
      </c>
      <c r="AV134" s="21">
        <f>EXP(-LN(2)/25)*AV133+(1-EXP(-LN(2)/25))/(LN(2)/25)*Calculateur!AQ134*Calculateur!AS134*VLOOKUP('Données projet'!$B$10,Paramètres!$A$1:$I$89,3,0)*0.475*44/12</f>
        <v>5.6229198926628285</v>
      </c>
      <c r="AW134" s="21">
        <f>EXP(-LN(2)/2)*AW133+(1-EXP(-LN(2)/2))/(LN(2)/2)*AQ134*AT134*VLOOKUP('Données projet'!$B$10,Paramètres!$A$1:$I$89,3,0)*0.475*44/12</f>
        <v>4.0994845424971183E-10</v>
      </c>
      <c r="AX134" s="21">
        <f t="shared" si="114"/>
        <v>47.741134010333575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102.76553481871144</v>
      </c>
      <c r="BJ134" s="59">
        <f t="shared" si="146"/>
        <v>345.99919346320343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5.2436645482026174</v>
      </c>
      <c r="BQ134" s="21">
        <f>EXP(-LN(2)/25)*BQ133+(1-EXP(-LN(2)/25))/(LN(2)/25)*Calculateur!BL134*Calculateur!BN134*VLOOKUP('Données projet'!$B$11,Paramètres!$A$1:$I$89,3,0)*0.475*44/12</f>
        <v>0.93102901096456103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6.1746935591671788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-6.3550942286383367E-14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410.32666742287449</v>
      </c>
      <c r="T135" s="59">
        <f t="shared" si="142"/>
        <v>494.36941732405256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71.100268235728905</v>
      </c>
      <c r="AA135" s="21">
        <f>EXP(-LN(2)/25)*AA134+(1-EXP(-LN(2)/25))/(LN(2)/25)*Calculateur!V135*Calculateur!X135*VLOOKUP('Données projet'!$B$9,Paramètres!$A$1:$I$89,3,0)*0.475*44/12</f>
        <v>7.7423391543704483</v>
      </c>
      <c r="AB135" s="21">
        <f>EXP(-LN(2)/2)*AB134+(1-EXP(-LN(2)/2))/(LN(2)/2)*V135*Y135*VLOOKUP('Données projet'!$B$9,Paramètres!$A$1:$I$89,3,0)*0.475*44/12</f>
        <v>6.0455749982197084E-10</v>
      </c>
      <c r="AC135" s="22">
        <f t="shared" si="111"/>
        <v>78.842607390703904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-1.7053025658242404E-13</v>
      </c>
      <c r="AJ135" s="13">
        <f>AI135*VLOOKUP('Données projet'!$B$10,Paramètres!$A$1:$I$89,3,0)*VLOOKUP('Données projet'!$B$10,Paramètres!$A$1:$I$89,5,0)</f>
        <v>-1.064108801074326E-13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197.20006068829753</v>
      </c>
      <c r="AO135" s="59">
        <f t="shared" si="144"/>
        <v>256.52014906581638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41.292301627995293</v>
      </c>
      <c r="AV135" s="21">
        <f>EXP(-LN(2)/25)*AV134+(1-EXP(-LN(2)/25))/(LN(2)/25)*Calculateur!AQ135*Calculateur!AS135*VLOOKUP('Données projet'!$B$10,Paramètres!$A$1:$I$89,3,0)*0.475*44/12</f>
        <v>5.4691608525014574</v>
      </c>
      <c r="AW135" s="21">
        <f>EXP(-LN(2)/2)*AW134+(1-EXP(-LN(2)/2))/(LN(2)/2)*AQ135*AT135*VLOOKUP('Données projet'!$B$10,Paramètres!$A$1:$I$89,3,0)*0.475*44/12</f>
        <v>2.8987733193691437E-10</v>
      </c>
      <c r="AX135" s="21">
        <f t="shared" si="114"/>
        <v>46.761462480786633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102.76553481871144</v>
      </c>
      <c r="BJ135" s="59">
        <f t="shared" si="146"/>
        <v>345.99919346320343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5.1408394847319308</v>
      </c>
      <c r="BQ135" s="21">
        <f>EXP(-LN(2)/25)*BQ134+(1-EXP(-LN(2)/25))/(LN(2)/25)*Calculateur!BL135*Calculateur!BN135*VLOOKUP('Données projet'!$B$11,Paramètres!$A$1:$I$89,3,0)*0.475*44/12</f>
        <v>0.90556997369904735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6.0464094584309782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-6.3550942286383367E-14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410.32666742287449</v>
      </c>
      <c r="T136" s="59">
        <f t="shared" si="142"/>
        <v>494.36941732405256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69.706035342507761</v>
      </c>
      <c r="AA136" s="21">
        <f>EXP(-LN(2)/25)*AA135+(1-EXP(-LN(2)/25))/(LN(2)/25)*Calculateur!V136*Calculateur!X136*VLOOKUP('Données projet'!$B$9,Paramètres!$A$1:$I$89,3,0)*0.475*44/12</f>
        <v>7.5306244830422679</v>
      </c>
      <c r="AB136" s="21">
        <f>EXP(-LN(2)/2)*AB135+(1-EXP(-LN(2)/2))/(LN(2)/2)*V136*Y136*VLOOKUP('Données projet'!$B$9,Paramètres!$A$1:$I$89,3,0)*0.475*44/12</f>
        <v>4.2748670774130058E-10</v>
      </c>
      <c r="AC136" s="22">
        <f t="shared" si="111"/>
        <v>77.236659825977526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-1.7053025658242404E-13</v>
      </c>
      <c r="AJ136" s="13">
        <f>AI136*VLOOKUP('Données projet'!$B$10,Paramètres!$A$1:$I$89,3,0)*VLOOKUP('Données projet'!$B$10,Paramètres!$A$1:$I$89,5,0)</f>
        <v>-1.064108801074326E-13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197.20006068829753</v>
      </c>
      <c r="AO136" s="59">
        <f t="shared" si="144"/>
        <v>256.52014906581638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40.482584778887407</v>
      </c>
      <c r="AV136" s="21">
        <f>EXP(-LN(2)/25)*AV135+(1-EXP(-LN(2)/25))/(LN(2)/25)*Calculateur!AQ136*Calculateur!AS136*VLOOKUP('Données projet'!$B$10,Paramètres!$A$1:$I$89,3,0)*0.475*44/12</f>
        <v>5.3196063613791358</v>
      </c>
      <c r="AW136" s="21">
        <f>EXP(-LN(2)/2)*AW135+(1-EXP(-LN(2)/2))/(LN(2)/2)*AQ136*AT136*VLOOKUP('Données projet'!$B$10,Paramètres!$A$1:$I$89,3,0)*0.475*44/12</f>
        <v>2.0497422712485592E-10</v>
      </c>
      <c r="AX136" s="21">
        <f t="shared" si="114"/>
        <v>45.802191140471521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102.76553481871144</v>
      </c>
      <c r="BJ136" s="59">
        <f t="shared" si="146"/>
        <v>345.99919346320343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5.0400307580388084</v>
      </c>
      <c r="BQ136" s="21">
        <f>EXP(-LN(2)/25)*BQ135+(1-EXP(-LN(2)/25))/(LN(2)/25)*Calculateur!BL136*Calculateur!BN136*VLOOKUP('Données projet'!$B$11,Paramètres!$A$1:$I$89,3,0)*0.475*44/12</f>
        <v>0.88080711514639165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5.9208378731852003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-6.3550942286383367E-14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410.32666742287449</v>
      </c>
      <c r="T137" s="59">
        <f t="shared" si="142"/>
        <v>494.36941732405256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68.339142505924585</v>
      </c>
      <c r="AA137" s="21">
        <f>EXP(-LN(2)/25)*AA136+(1-EXP(-LN(2)/25))/(LN(2)/25)*Calculateur!V137*Calculateur!X137*VLOOKUP('Données projet'!$B$9,Paramètres!$A$1:$I$89,3,0)*0.475*44/12</f>
        <v>7.3246991605351468</v>
      </c>
      <c r="AB137" s="21">
        <f>EXP(-LN(2)/2)*AB136+(1-EXP(-LN(2)/2))/(LN(2)/2)*V137*Y137*VLOOKUP('Données projet'!$B$9,Paramètres!$A$1:$I$89,3,0)*0.475*44/12</f>
        <v>3.0227874991098542E-10</v>
      </c>
      <c r="AC137" s="22">
        <f t="shared" si="111"/>
        <v>75.663841666762011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-1.7053025658242404E-13</v>
      </c>
      <c r="AJ137" s="13">
        <f>AI137*VLOOKUP('Données projet'!$B$10,Paramètres!$A$1:$I$89,3,0)*VLOOKUP('Données projet'!$B$10,Paramètres!$A$1:$I$89,5,0)</f>
        <v>-1.064108801074326E-13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197.20006068829753</v>
      </c>
      <c r="AO137" s="59">
        <f t="shared" si="144"/>
        <v>256.52014906581638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39.68874598331201</v>
      </c>
      <c r="AV137" s="21">
        <f>EXP(-LN(2)/25)*AV136+(1-EXP(-LN(2)/25))/(LN(2)/25)*Calculateur!AQ137*Calculateur!AS137*VLOOKUP('Données projet'!$B$10,Paramètres!$A$1:$I$89,3,0)*0.475*44/12</f>
        <v>5.1741414456812826</v>
      </c>
      <c r="AW137" s="21">
        <f>EXP(-LN(2)/2)*AW136+(1-EXP(-LN(2)/2))/(LN(2)/2)*AQ137*AT137*VLOOKUP('Données projet'!$B$10,Paramètres!$A$1:$I$89,3,0)*0.475*44/12</f>
        <v>1.4493866596845718E-10</v>
      </c>
      <c r="AX137" s="21">
        <f t="shared" si="114"/>
        <v>44.862887429138226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102.76553481871144</v>
      </c>
      <c r="BJ137" s="59">
        <f t="shared" si="146"/>
        <v>345.99919346320343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4.9411988289888864</v>
      </c>
      <c r="BQ137" s="21">
        <f>EXP(-LN(2)/25)*BQ136+(1-EXP(-LN(2)/25))/(LN(2)/25)*Calculateur!BL137*Calculateur!BN137*VLOOKUP('Données projet'!$B$11,Paramètres!$A$1:$I$89,3,0)*0.475*44/12</f>
        <v>0.85672139826308047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5.797920227251967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-6.3550942286383367E-14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410.32666742287449</v>
      </c>
      <c r="T138" s="59">
        <f t="shared" si="142"/>
        <v>494.36941732405256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66.999053604144507</v>
      </c>
      <c r="AA138" s="21">
        <f>EXP(-LN(2)/25)*AA137+(1-EXP(-LN(2)/25))/(LN(2)/25)*Calculateur!V138*Calculateur!X138*VLOOKUP('Données projet'!$B$9,Paramètres!$A$1:$I$89,3,0)*0.475*44/12</f>
        <v>7.1244048768011252</v>
      </c>
      <c r="AB138" s="21">
        <f>EXP(-LN(2)/2)*AB137+(1-EXP(-LN(2)/2))/(LN(2)/2)*V138*Y138*VLOOKUP('Données projet'!$B$9,Paramètres!$A$1:$I$89,3,0)*0.475*44/12</f>
        <v>2.1374335387065029E-10</v>
      </c>
      <c r="AC138" s="22">
        <f t="shared" si="111"/>
        <v>74.123458481159375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-1.7053025658242404E-13</v>
      </c>
      <c r="AJ138" s="13">
        <f>AI138*VLOOKUP('Données projet'!$B$10,Paramètres!$A$1:$I$89,3,0)*VLOOKUP('Données projet'!$B$10,Paramètres!$A$1:$I$89,5,0)</f>
        <v>-1.064108801074326E-13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197.20006068829753</v>
      </c>
      <c r="AO138" s="59">
        <f t="shared" si="144"/>
        <v>256.52014906581638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38.910473882323998</v>
      </c>
      <c r="AV138" s="21">
        <f>EXP(-LN(2)/25)*AV137+(1-EXP(-LN(2)/25))/(LN(2)/25)*Calculateur!AQ138*Calculateur!AS138*VLOOKUP('Données projet'!$B$10,Paramètres!$A$1:$I$89,3,0)*0.475*44/12</f>
        <v>5.0326542757528552</v>
      </c>
      <c r="AW138" s="21">
        <f>EXP(-LN(2)/2)*AW137+(1-EXP(-LN(2)/2))/(LN(2)/2)*AQ138*AT138*VLOOKUP('Données projet'!$B$10,Paramètres!$A$1:$I$89,3,0)*0.475*44/12</f>
        <v>1.0248711356242796E-10</v>
      </c>
      <c r="AX138" s="21">
        <f t="shared" si="114"/>
        <v>43.943128158179341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102.76553481871144</v>
      </c>
      <c r="BJ138" s="59">
        <f t="shared" si="146"/>
        <v>345.99919346320343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4.844304933786109</v>
      </c>
      <c r="BQ138" s="21">
        <f>EXP(-LN(2)/25)*BQ137+(1-EXP(-LN(2)/25))/(LN(2)/25)*Calculateur!BL138*Calculateur!BN138*VLOOKUP('Données projet'!$B$11,Paramètres!$A$1:$I$89,3,0)*0.475*44/12</f>
        <v>0.83329430657455628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5.6775992403606654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-6.3550942286383367E-14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410.32666742287449</v>
      </c>
      <c r="T139" s="59">
        <f t="shared" si="142"/>
        <v>494.36941732405256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65.685243028354805</v>
      </c>
      <c r="AA139" s="21">
        <f>EXP(-LN(2)/25)*AA138+(1-EXP(-LN(2)/25))/(LN(2)/25)*Calculateur!V139*Calculateur!X139*VLOOKUP('Données projet'!$B$9,Paramètres!$A$1:$I$89,3,0)*0.475*44/12</f>
        <v>6.9295876507888288</v>
      </c>
      <c r="AB139" s="21">
        <f>EXP(-LN(2)/2)*AB138+(1-EXP(-LN(2)/2))/(LN(2)/2)*V139*Y139*VLOOKUP('Données projet'!$B$9,Paramètres!$A$1:$I$89,3,0)*0.475*44/12</f>
        <v>1.5113937495549271E-10</v>
      </c>
      <c r="AC139" s="22">
        <f t="shared" si="111"/>
        <v>72.614830679294769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-1.7053025658242404E-13</v>
      </c>
      <c r="AJ139" s="13">
        <f>AI139*VLOOKUP('Données projet'!$B$10,Paramètres!$A$1:$I$89,3,0)*VLOOKUP('Données projet'!$B$10,Paramètres!$A$1:$I$89,5,0)</f>
        <v>-1.064108801074326E-13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197.20006068829753</v>
      </c>
      <c r="AO139" s="59">
        <f t="shared" si="144"/>
        <v>256.52014906581638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38.147463222537247</v>
      </c>
      <c r="AV139" s="21">
        <f>EXP(-LN(2)/25)*AV138+(1-EXP(-LN(2)/25))/(LN(2)/25)*Calculateur!AQ139*Calculateur!AS139*VLOOKUP('Données projet'!$B$10,Paramètres!$A$1:$I$89,3,0)*0.475*44/12</f>
        <v>4.8950360799266077</v>
      </c>
      <c r="AW139" s="21">
        <f>EXP(-LN(2)/2)*AW138+(1-EXP(-LN(2)/2))/(LN(2)/2)*AQ139*AT139*VLOOKUP('Données projet'!$B$10,Paramètres!$A$1:$I$89,3,0)*0.475*44/12</f>
        <v>7.2469332984228592E-11</v>
      </c>
      <c r="AX139" s="21">
        <f t="shared" si="114"/>
        <v>43.042499302536321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102.76553481871144</v>
      </c>
      <c r="BJ139" s="59">
        <f t="shared" si="146"/>
        <v>345.99919346320343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4.7493110687688169</v>
      </c>
      <c r="BQ139" s="21">
        <f>EXP(-LN(2)/25)*BQ138+(1-EXP(-LN(2)/25))/(LN(2)/25)*Calculateur!BL139*Calculateur!BN139*VLOOKUP('Données projet'!$B$11,Paramètres!$A$1:$I$89,3,0)*0.475*44/12</f>
        <v>0.81050782994023196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5.5598188987090484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-6.3550942286383367E-14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410.32666742287449</v>
      </c>
      <c r="T140" s="59">
        <f t="shared" si="142"/>
        <v>494.36941732405256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64.397195476611017</v>
      </c>
      <c r="AA140" s="21">
        <f>EXP(-LN(2)/25)*AA139+(1-EXP(-LN(2)/25))/(LN(2)/25)*Calculateur!V140*Calculateur!X140*VLOOKUP('Données projet'!$B$9,Paramètres!$A$1:$I$89,3,0)*0.475*44/12</f>
        <v>6.7400977120668317</v>
      </c>
      <c r="AB140" s="21">
        <f>EXP(-LN(2)/2)*AB139+(1-EXP(-LN(2)/2))/(LN(2)/2)*V140*Y140*VLOOKUP('Données projet'!$B$9,Paramètres!$A$1:$I$89,3,0)*0.475*44/12</f>
        <v>1.0687167693532515E-10</v>
      </c>
      <c r="AC140" s="22">
        <f t="shared" si="111"/>
        <v>71.13729318878471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-1.7053025658242404E-13</v>
      </c>
      <c r="AJ140" s="13">
        <f>AI140*VLOOKUP('Données projet'!$B$10,Paramètres!$A$1:$I$89,3,0)*VLOOKUP('Données projet'!$B$10,Paramètres!$A$1:$I$89,5,0)</f>
        <v>-1.064108801074326E-13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197.20006068829753</v>
      </c>
      <c r="AO140" s="59">
        <f t="shared" si="144"/>
        <v>256.52014906581638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37.39941473639837</v>
      </c>
      <c r="AV140" s="21">
        <f>EXP(-LN(2)/25)*AV139+(1-EXP(-LN(2)/25))/(LN(2)/25)*Calculateur!AQ140*Calculateur!AS140*VLOOKUP('Données projet'!$B$10,Paramètres!$A$1:$I$89,3,0)*0.475*44/12</f>
        <v>4.7611810609022553</v>
      </c>
      <c r="AW140" s="21">
        <f>EXP(-LN(2)/2)*AW139+(1-EXP(-LN(2)/2))/(LN(2)/2)*AQ140*AT140*VLOOKUP('Données projet'!$B$10,Paramètres!$A$1:$I$89,3,0)*0.475*44/12</f>
        <v>5.1243556781213979E-11</v>
      </c>
      <c r="AX140" s="21">
        <f t="shared" si="114"/>
        <v>42.160595797351867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102.76553481871144</v>
      </c>
      <c r="BJ140" s="59">
        <f t="shared" si="146"/>
        <v>345.99919346320343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4.6561799755039779</v>
      </c>
      <c r="BQ140" s="21">
        <f>EXP(-LN(2)/25)*BQ139+(1-EXP(-LN(2)/25))/(LN(2)/25)*Calculateur!BL140*Calculateur!BN140*VLOOKUP('Données projet'!$B$11,Paramètres!$A$1:$I$89,3,0)*0.475*44/12</f>
        <v>0.78834445070776193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5.44452442621174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-6.3550942286383367E-14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410.32666742287449</v>
      </c>
      <c r="T141" s="59">
        <f t="shared" si="142"/>
        <v>494.36941732405256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63.134405751725495</v>
      </c>
      <c r="AA141" s="21">
        <f>EXP(-LN(2)/25)*AA140+(1-EXP(-LN(2)/25))/(LN(2)/25)*Calculateur!V141*Calculateur!X141*VLOOKUP('Données projet'!$B$9,Paramètres!$A$1:$I$89,3,0)*0.475*44/12</f>
        <v>6.5557893856840304</v>
      </c>
      <c r="AB141" s="21">
        <f>EXP(-LN(2)/2)*AB140+(1-EXP(-LN(2)/2))/(LN(2)/2)*V141*Y141*VLOOKUP('Données projet'!$B$9,Paramètres!$A$1:$I$89,3,0)*0.475*44/12</f>
        <v>7.5569687477746355E-11</v>
      </c>
      <c r="AC141" s="22">
        <f t="shared" si="111"/>
        <v>69.690195137485105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-1.7053025658242404E-13</v>
      </c>
      <c r="AJ141" s="13">
        <f>AI141*VLOOKUP('Données projet'!$B$10,Paramètres!$A$1:$I$89,3,0)*VLOOKUP('Données projet'!$B$10,Paramètres!$A$1:$I$89,5,0)</f>
        <v>-1.064108801074326E-13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197.20006068829753</v>
      </c>
      <c r="AO141" s="59">
        <f t="shared" si="144"/>
        <v>256.52014906581638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36.666035024808153</v>
      </c>
      <c r="AV141" s="21">
        <f>EXP(-LN(2)/25)*AV140+(1-EXP(-LN(2)/25))/(LN(2)/25)*Calculateur!AQ141*Calculateur!AS141*VLOOKUP('Données projet'!$B$10,Paramètres!$A$1:$I$89,3,0)*0.475*44/12</f>
        <v>4.6309863144122527</v>
      </c>
      <c r="AW141" s="21">
        <f>EXP(-LN(2)/2)*AW140+(1-EXP(-LN(2)/2))/(LN(2)/2)*AQ141*AT141*VLOOKUP('Données projet'!$B$10,Paramètres!$A$1:$I$89,3,0)*0.475*44/12</f>
        <v>3.6234666492114296E-11</v>
      </c>
      <c r="AX141" s="21">
        <f t="shared" si="114"/>
        <v>41.297021339256645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102.76553481871144</v>
      </c>
      <c r="BJ141" s="59">
        <f t="shared" si="146"/>
        <v>345.99919346320343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4.5648751261737042</v>
      </c>
      <c r="BQ141" s="21">
        <f>EXP(-LN(2)/25)*BQ140+(1-EXP(-LN(2)/25))/(LN(2)/25)*Calculateur!BL141*Calculateur!BN141*VLOOKUP('Données projet'!$B$11,Paramètres!$A$1:$I$89,3,0)*0.475*44/12</f>
        <v>0.76678713024592526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5.3316622564196292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-6.3550942286383367E-14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410.32666742287449</v>
      </c>
      <c r="T142" s="59">
        <f t="shared" si="142"/>
        <v>494.36941732405256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61.896378563119299</v>
      </c>
      <c r="AA142" s="21">
        <f>EXP(-LN(2)/25)*AA141+(1-EXP(-LN(2)/25))/(LN(2)/25)*Calculateur!V142*Calculateur!X142*VLOOKUP('Données projet'!$B$9,Paramètres!$A$1:$I$89,3,0)*0.475*44/12</f>
        <v>6.3765209801785199</v>
      </c>
      <c r="AB142" s="21">
        <f>EXP(-LN(2)/2)*AB141+(1-EXP(-LN(2)/2))/(LN(2)/2)*V142*Y142*VLOOKUP('Données projet'!$B$9,Paramètres!$A$1:$I$89,3,0)*0.475*44/12</f>
        <v>5.3435838467662573E-11</v>
      </c>
      <c r="AC142" s="22">
        <f t="shared" si="111"/>
        <v>68.272899543351258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-1.7053025658242404E-13</v>
      </c>
      <c r="AJ142" s="13">
        <f>AI142*VLOOKUP('Données projet'!$B$10,Paramètres!$A$1:$I$89,3,0)*VLOOKUP('Données projet'!$B$10,Paramètres!$A$1:$I$89,5,0)</f>
        <v>-1.064108801074326E-13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197.20006068829753</v>
      </c>
      <c r="AO142" s="59">
        <f t="shared" si="144"/>
        <v>256.52014906581638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35.947036442044762</v>
      </c>
      <c r="AV142" s="21">
        <f>EXP(-LN(2)/25)*AV141+(1-EXP(-LN(2)/25))/(LN(2)/25)*Calculateur!AQ142*Calculateur!AS142*VLOOKUP('Données projet'!$B$10,Paramètres!$A$1:$I$89,3,0)*0.475*44/12</f>
        <v>4.5043517501116632</v>
      </c>
      <c r="AW142" s="21">
        <f>EXP(-LN(2)/2)*AW141+(1-EXP(-LN(2)/2))/(LN(2)/2)*AQ142*AT142*VLOOKUP('Données projet'!$B$10,Paramètres!$A$1:$I$89,3,0)*0.475*44/12</f>
        <v>2.562177839060699E-11</v>
      </c>
      <c r="AX142" s="21">
        <f t="shared" si="114"/>
        <v>40.451388192182051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102.76553481871144</v>
      </c>
      <c r="BJ142" s="59">
        <f t="shared" si="146"/>
        <v>345.99919346320343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4.4753607092483385</v>
      </c>
      <c r="BQ142" s="21">
        <f>EXP(-LN(2)/25)*BQ141+(1-EXP(-LN(2)/25))/(LN(2)/25)*Calculateur!BL142*Calculateur!BN142*VLOOKUP('Données projet'!$B$11,Paramètres!$A$1:$I$89,3,0)*0.475*44/12</f>
        <v>0.74581929584576778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5.221180005094106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-6.3550942286383367E-14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410.32666742287449</v>
      </c>
      <c r="T143" s="59">
        <f t="shared" si="142"/>
        <v>494.36941732405256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60.682628332559645</v>
      </c>
      <c r="AA143" s="21">
        <f>EXP(-LN(2)/25)*AA142+(1-EXP(-LN(2)/25))/(LN(2)/25)*Calculateur!V143*Calculateur!X143*VLOOKUP('Données projet'!$B$9,Paramètres!$A$1:$I$89,3,0)*0.475*44/12</f>
        <v>6.2021546786488733</v>
      </c>
      <c r="AB143" s="21">
        <f>EXP(-LN(2)/2)*AB142+(1-EXP(-LN(2)/2))/(LN(2)/2)*V143*Y143*VLOOKUP('Données projet'!$B$9,Paramètres!$A$1:$I$89,3,0)*0.475*44/12</f>
        <v>3.7784843738873177E-11</v>
      </c>
      <c r="AC143" s="22">
        <f t="shared" si="111"/>
        <v>66.884783011246299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-1.7053025658242404E-13</v>
      </c>
      <c r="AJ143" s="13">
        <f>AI143*VLOOKUP('Données projet'!$B$10,Paramètres!$A$1:$I$89,3,0)*VLOOKUP('Données projet'!$B$10,Paramètres!$A$1:$I$89,5,0)</f>
        <v>-1.064108801074326E-13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197.20006068829753</v>
      </c>
      <c r="AO143" s="59">
        <f t="shared" si="144"/>
        <v>256.52014906581638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35.242136982943528</v>
      </c>
      <c r="AV143" s="21">
        <f>EXP(-LN(2)/25)*AV142+(1-EXP(-LN(2)/25))/(LN(2)/25)*Calculateur!AQ143*Calculateur!AS143*VLOOKUP('Données projet'!$B$10,Paramètres!$A$1:$I$89,3,0)*0.475*44/12</f>
        <v>4.3811800146312958</v>
      </c>
      <c r="AW143" s="21">
        <f>EXP(-LN(2)/2)*AW142+(1-EXP(-LN(2)/2))/(LN(2)/2)*AQ143*AT143*VLOOKUP('Données projet'!$B$10,Paramètres!$A$1:$I$89,3,0)*0.475*44/12</f>
        <v>1.8117333246057148E-11</v>
      </c>
      <c r="AX143" s="21">
        <f t="shared" si="114"/>
        <v>39.623316997592944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102.76553481871144</v>
      </c>
      <c r="BJ143" s="59">
        <f t="shared" si="146"/>
        <v>345.99919346320343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4.3876016154404756</v>
      </c>
      <c r="BQ143" s="21">
        <f>EXP(-LN(2)/25)*BQ142+(1-EXP(-LN(2)/25))/(LN(2)/25)*Calculateur!BL143*Calculateur!BN143*VLOOKUP('Données projet'!$B$11,Paramètres!$A$1:$I$89,3,0)*0.475*44/12</f>
        <v>0.72542482797993313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5.1130264434204085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-6.3550942286383367E-14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410.32666742287449</v>
      </c>
      <c r="T144" s="59">
        <f t="shared" si="142"/>
        <v>494.36941732405256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59.492679003706726</v>
      </c>
      <c r="AA144" s="21">
        <f>EXP(-LN(2)/25)*AA143+(1-EXP(-LN(2)/25))/(LN(2)/25)*Calculateur!V144*Calculateur!X144*VLOOKUP('Données projet'!$B$9,Paramètres!$A$1:$I$89,3,0)*0.475*44/12</f>
        <v>6.0325564328040802</v>
      </c>
      <c r="AB144" s="21">
        <f>EXP(-LN(2)/2)*AB143+(1-EXP(-LN(2)/2))/(LN(2)/2)*V144*Y144*VLOOKUP('Données projet'!$B$9,Paramètres!$A$1:$I$89,3,0)*0.475*44/12</f>
        <v>2.6717919233831286E-11</v>
      </c>
      <c r="AC144" s="22">
        <f t="shared" si="111"/>
        <v>65.525235436537528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-1.7053025658242404E-13</v>
      </c>
      <c r="AJ144" s="13">
        <f>AI144*VLOOKUP('Données projet'!$B$10,Paramètres!$A$1:$I$89,3,0)*VLOOKUP('Données projet'!$B$10,Paramètres!$A$1:$I$89,5,0)</f>
        <v>-1.064108801074326E-13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197.20006068829753</v>
      </c>
      <c r="AO144" s="59">
        <f t="shared" si="144"/>
        <v>256.52014906581638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34.551060172289056</v>
      </c>
      <c r="AV144" s="21">
        <f>EXP(-LN(2)/25)*AV143+(1-EXP(-LN(2)/25))/(LN(2)/25)*Calculateur!AQ144*Calculateur!AS144*VLOOKUP('Données projet'!$B$10,Paramètres!$A$1:$I$89,3,0)*0.475*44/12</f>
        <v>4.2613764167349597</v>
      </c>
      <c r="AW144" s="21">
        <f>EXP(-LN(2)/2)*AW143+(1-EXP(-LN(2)/2))/(LN(2)/2)*AQ144*AT144*VLOOKUP('Données projet'!$B$10,Paramètres!$A$1:$I$89,3,0)*0.475*44/12</f>
        <v>1.2810889195303495E-11</v>
      </c>
      <c r="AX144" s="21">
        <f t="shared" si="114"/>
        <v>38.812436589036828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102.76553481871144</v>
      </c>
      <c r="BJ144" s="59">
        <f t="shared" si="146"/>
        <v>345.99919346320343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4.3015634239344234</v>
      </c>
      <c r="BQ144" s="21">
        <f>EXP(-LN(2)/25)*BQ143+(1-EXP(-LN(2)/25))/(LN(2)/25)*Calculateur!BL144*Calculateur!BN144*VLOOKUP('Données projet'!$B$11,Paramètres!$A$1:$I$89,3,0)*0.475*44/12</f>
        <v>0.70558804791038809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5.0071514718448116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-6.3550942286383367E-14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410.32666742287449</v>
      </c>
      <c r="T145" s="59">
        <f t="shared" si="142"/>
        <v>494.36941732405256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58.326063855395191</v>
      </c>
      <c r="AA145" s="21">
        <f>EXP(-LN(2)/25)*AA144+(1-EXP(-LN(2)/25))/(LN(2)/25)*Calculateur!V145*Calculateur!X145*VLOOKUP('Données projet'!$B$9,Paramètres!$A$1:$I$89,3,0)*0.475*44/12</f>
        <v>5.867595859910697</v>
      </c>
      <c r="AB145" s="21">
        <f>EXP(-LN(2)/2)*AB144+(1-EXP(-LN(2)/2))/(LN(2)/2)*V145*Y145*VLOOKUP('Données projet'!$B$9,Paramètres!$A$1:$I$89,3,0)*0.475*44/12</f>
        <v>1.8892421869436589E-11</v>
      </c>
      <c r="AC145" s="22">
        <f t="shared" si="111"/>
        <v>64.19365971532477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-1.7053025658242404E-13</v>
      </c>
      <c r="AJ145" s="13">
        <f>AI145*VLOOKUP('Données projet'!$B$10,Paramètres!$A$1:$I$89,3,0)*VLOOKUP('Données projet'!$B$10,Paramètres!$A$1:$I$89,5,0)</f>
        <v>-1.064108801074326E-13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197.20006068829753</v>
      </c>
      <c r="AO145" s="59">
        <f t="shared" si="144"/>
        <v>256.52014906581638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33.873534956376282</v>
      </c>
      <c r="AV145" s="21">
        <f>EXP(-LN(2)/25)*AV144+(1-EXP(-LN(2)/25))/(LN(2)/25)*Calculateur!AQ145*Calculateur!AS145*VLOOKUP('Données projet'!$B$10,Paramètres!$A$1:$I$89,3,0)*0.475*44/12</f>
        <v>4.1448488545232962</v>
      </c>
      <c r="AW145" s="21">
        <f>EXP(-LN(2)/2)*AW144+(1-EXP(-LN(2)/2))/(LN(2)/2)*AQ145*AT145*VLOOKUP('Données projet'!$B$10,Paramètres!$A$1:$I$89,3,0)*0.475*44/12</f>
        <v>9.058666623028574E-12</v>
      </c>
      <c r="AX145" s="21">
        <f t="shared" si="114"/>
        <v>38.018383810908638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102.76553481871144</v>
      </c>
      <c r="BJ145" s="59">
        <f t="shared" si="146"/>
        <v>345.99919346320343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4.2172123888856898</v>
      </c>
      <c r="BQ145" s="21">
        <f>EXP(-LN(2)/25)*BQ144+(1-EXP(-LN(2)/25))/(LN(2)/25)*Calculateur!BL145*Calculateur!BN145*VLOOKUP('Données projet'!$B$11,Paramètres!$A$1:$I$89,3,0)*0.475*44/12</f>
        <v>0.68629370563501568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4.9035060945207052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-6.3550942286383367E-14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410.32666742287449</v>
      </c>
      <c r="T146" s="59">
        <f t="shared" si="142"/>
        <v>494.36941732405256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57.182325318577064</v>
      </c>
      <c r="AA146" s="21">
        <f>EXP(-LN(2)/25)*AA145+(1-EXP(-LN(2)/25))/(LN(2)/25)*Calculateur!V146*Calculateur!X146*VLOOKUP('Données projet'!$B$9,Paramètres!$A$1:$I$89,3,0)*0.475*44/12</f>
        <v>5.707146142557983</v>
      </c>
      <c r="AB146" s="21">
        <f>EXP(-LN(2)/2)*AB145+(1-EXP(-LN(2)/2))/(LN(2)/2)*V146*Y146*VLOOKUP('Données projet'!$B$9,Paramètres!$A$1:$I$89,3,0)*0.475*44/12</f>
        <v>1.3358959616915643E-11</v>
      </c>
      <c r="AC146" s="22">
        <f t="shared" si="111"/>
        <v>62.889471461148403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-1.7053025658242404E-13</v>
      </c>
      <c r="AJ146" s="13">
        <f>AI146*VLOOKUP('Données projet'!$B$10,Paramètres!$A$1:$I$89,3,0)*VLOOKUP('Données projet'!$B$10,Paramètres!$A$1:$I$89,5,0)</f>
        <v>-1.064108801074326E-13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197.20006068829753</v>
      </c>
      <c r="AO146" s="59">
        <f t="shared" si="144"/>
        <v>256.52014906581638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33.209295596697977</v>
      </c>
      <c r="AV146" s="21">
        <f>EXP(-LN(2)/25)*AV145+(1-EXP(-LN(2)/25))/(LN(2)/25)*Calculateur!AQ146*Calculateur!AS146*VLOOKUP('Données projet'!$B$10,Paramètres!$A$1:$I$89,3,0)*0.475*44/12</f>
        <v>4.0315077446282288</v>
      </c>
      <c r="AW146" s="21">
        <f>EXP(-LN(2)/2)*AW145+(1-EXP(-LN(2)/2))/(LN(2)/2)*AQ146*AT146*VLOOKUP('Données projet'!$B$10,Paramètres!$A$1:$I$89,3,0)*0.475*44/12</f>
        <v>6.4054445976517474E-12</v>
      </c>
      <c r="AX146" s="21">
        <f t="shared" si="114"/>
        <v>37.240803341332608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102.76553481871144</v>
      </c>
      <c r="BJ146" s="59">
        <f t="shared" si="146"/>
        <v>345.99919346320343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4.1345154261852102</v>
      </c>
      <c r="BQ146" s="21">
        <f>EXP(-LN(2)/25)*BQ145+(1-EXP(-LN(2)/25))/(LN(2)/25)*Calculateur!BL146*Calculateur!BN146*VLOOKUP('Données projet'!$B$11,Paramètres!$A$1:$I$89,3,0)*0.475*44/12</f>
        <v>0.66752696816380874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4.8020423943490194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-6.3550942286383367E-14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410.32666742287449</v>
      </c>
      <c r="T147" s="59">
        <f t="shared" si="142"/>
        <v>494.36941732405256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56.061014796854316</v>
      </c>
      <c r="AA147" s="21">
        <f>EXP(-LN(2)/25)*AA146+(1-EXP(-LN(2)/25))/(LN(2)/25)*Calculateur!V147*Calculateur!X147*VLOOKUP('Données projet'!$B$9,Paramètres!$A$1:$I$89,3,0)*0.475*44/12</f>
        <v>5.551083931163963</v>
      </c>
      <c r="AB147" s="21">
        <f>EXP(-LN(2)/2)*AB146+(1-EXP(-LN(2)/2))/(LN(2)/2)*V147*Y147*VLOOKUP('Données projet'!$B$9,Paramètres!$A$1:$I$89,3,0)*0.475*44/12</f>
        <v>9.4462109347182943E-12</v>
      </c>
      <c r="AC147" s="22">
        <f t="shared" si="111"/>
        <v>61.612098728027725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-1.7053025658242404E-13</v>
      </c>
      <c r="AJ147" s="13">
        <f>AI147*VLOOKUP('Données projet'!$B$10,Paramètres!$A$1:$I$89,3,0)*VLOOKUP('Données projet'!$B$10,Paramètres!$A$1:$I$89,5,0)</f>
        <v>-1.064108801074326E-13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197.20006068829753</v>
      </c>
      <c r="AO147" s="59">
        <f t="shared" si="144"/>
        <v>256.52014906581638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32.558081565716961</v>
      </c>
      <c r="AV147" s="21">
        <f>EXP(-LN(2)/25)*AV146+(1-EXP(-LN(2)/25))/(LN(2)/25)*Calculateur!AQ147*Calculateur!AS147*VLOOKUP('Données projet'!$B$10,Paramètres!$A$1:$I$89,3,0)*0.475*44/12</f>
        <v>3.9212659533435916</v>
      </c>
      <c r="AW147" s="21">
        <f>EXP(-LN(2)/2)*AW146+(1-EXP(-LN(2)/2))/(LN(2)/2)*AQ147*AT147*VLOOKUP('Données projet'!$B$10,Paramètres!$A$1:$I$89,3,0)*0.475*44/12</f>
        <v>4.529333311514287E-12</v>
      </c>
      <c r="AX147" s="21">
        <f t="shared" si="114"/>
        <v>36.47934751906508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102.76553481871144</v>
      </c>
      <c r="BJ147" s="59">
        <f t="shared" si="146"/>
        <v>345.99919346320343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4.0534401004831206</v>
      </c>
      <c r="BQ147" s="21">
        <f>EXP(-LN(2)/25)*BQ146+(1-EXP(-LN(2)/25))/(LN(2)/25)*Calculateur!BL147*Calculateur!BN147*VLOOKUP('Données projet'!$B$11,Paramètres!$A$1:$I$89,3,0)*0.475*44/12</f>
        <v>0.64927340811565182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4.7027135085987721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-6.3550942286383367E-14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410.32666742287449</v>
      </c>
      <c r="T148" s="59">
        <f t="shared" si="142"/>
        <v>494.36941732405256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54.961692490530666</v>
      </c>
      <c r="AA148" s="21">
        <f>EXP(-LN(2)/25)*AA147+(1-EXP(-LN(2)/25))/(LN(2)/25)*Calculateur!V148*Calculateur!X148*VLOOKUP('Données projet'!$B$9,Paramètres!$A$1:$I$89,3,0)*0.475*44/12</f>
        <v>5.3992892491474676</v>
      </c>
      <c r="AB148" s="21">
        <f>EXP(-LN(2)/2)*AB147+(1-EXP(-LN(2)/2))/(LN(2)/2)*V148*Y148*VLOOKUP('Données projet'!$B$9,Paramètres!$A$1:$I$89,3,0)*0.475*44/12</f>
        <v>6.6794798084578216E-12</v>
      </c>
      <c r="AC148" s="22">
        <f t="shared" si="111"/>
        <v>60.36098173968481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-1.7053025658242404E-13</v>
      </c>
      <c r="AJ148" s="13">
        <f>AI148*VLOOKUP('Données projet'!$B$10,Paramètres!$A$1:$I$89,3,0)*VLOOKUP('Données projet'!$B$10,Paramètres!$A$1:$I$89,5,0)</f>
        <v>-1.064108801074326E-13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197.20006068829753</v>
      </c>
      <c r="AO148" s="59">
        <f t="shared" si="144"/>
        <v>256.52014906581638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31.919637444682145</v>
      </c>
      <c r="AV148" s="21">
        <f>EXP(-LN(2)/25)*AV147+(1-EXP(-LN(2)/25))/(LN(2)/25)*Calculateur!AQ148*Calculateur!AS148*VLOOKUP('Données projet'!$B$10,Paramètres!$A$1:$I$89,3,0)*0.475*44/12</f>
        <v>3.8140387296389968</v>
      </c>
      <c r="AW148" s="21">
        <f>EXP(-LN(2)/2)*AW147+(1-EXP(-LN(2)/2))/(LN(2)/2)*AQ148*AT148*VLOOKUP('Données projet'!$B$10,Paramètres!$A$1:$I$89,3,0)*0.475*44/12</f>
        <v>3.2027222988258737E-12</v>
      </c>
      <c r="AX148" s="21">
        <f t="shared" si="114"/>
        <v>35.733676174324344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102.76553481871144</v>
      </c>
      <c r="BJ148" s="59">
        <f t="shared" si="146"/>
        <v>345.99919346320343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3.9739546124669833</v>
      </c>
      <c r="BQ148" s="21">
        <f>EXP(-LN(2)/25)*BQ147+(1-EXP(-LN(2)/25))/(LN(2)/25)*Calculateur!BL148*Calculateur!BN148*VLOOKUP('Données projet'!$B$11,Paramètres!$A$1:$I$89,3,0)*0.475*44/12</f>
        <v>0.63151899262692468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4.6054736050939082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-6.3550942286383367E-14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410.32666742287449</v>
      </c>
      <c r="T149" s="59">
        <f t="shared" si="142"/>
        <v>494.36941732405256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53.883927224113627</v>
      </c>
      <c r="AA149" s="21">
        <f>EXP(-LN(2)/25)*AA148+(1-EXP(-LN(2)/25))/(LN(2)/25)*Calculateur!V149*Calculateur!X149*VLOOKUP('Données projet'!$B$9,Paramètres!$A$1:$I$89,3,0)*0.475*44/12</f>
        <v>5.2516454006932483</v>
      </c>
      <c r="AB149" s="21">
        <f>EXP(-LN(2)/2)*AB148+(1-EXP(-LN(2)/2))/(LN(2)/2)*V149*Y149*VLOOKUP('Données projet'!$B$9,Paramètres!$A$1:$I$89,3,0)*0.475*44/12</f>
        <v>4.7231054673591472E-12</v>
      </c>
      <c r="AC149" s="22">
        <f t="shared" si="111"/>
        <v>59.135572624811601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-1.7053025658242404E-13</v>
      </c>
      <c r="AJ149" s="13">
        <f>AI149*VLOOKUP('Données projet'!$B$10,Paramètres!$A$1:$I$89,3,0)*VLOOKUP('Données projet'!$B$10,Paramètres!$A$1:$I$89,5,0)</f>
        <v>-1.064108801074326E-13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197.20006068829753</v>
      </c>
      <c r="AO149" s="59">
        <f t="shared" si="144"/>
        <v>256.52014906581638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31.293712823448359</v>
      </c>
      <c r="AV149" s="21">
        <f>EXP(-LN(2)/25)*AV148+(1-EXP(-LN(2)/25))/(LN(2)/25)*Calculateur!AQ149*Calculateur!AS149*VLOOKUP('Données projet'!$B$10,Paramètres!$A$1:$I$89,3,0)*0.475*44/12</f>
        <v>3.7097436400054389</v>
      </c>
      <c r="AW149" s="21">
        <f>EXP(-LN(2)/2)*AW148+(1-EXP(-LN(2)/2))/(LN(2)/2)*AQ149*AT149*VLOOKUP('Données projet'!$B$10,Paramètres!$A$1:$I$89,3,0)*0.475*44/12</f>
        <v>2.2646666557571435E-12</v>
      </c>
      <c r="AX149" s="21">
        <f t="shared" si="114"/>
        <v>35.003456463456068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102.76553481871144</v>
      </c>
      <c r="BJ149" s="59">
        <f t="shared" si="146"/>
        <v>345.99919346320343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3.8960277863894817</v>
      </c>
      <c r="BQ149" s="21">
        <f>EXP(-LN(2)/25)*BQ148+(1-EXP(-LN(2)/25))/(LN(2)/25)*Calculateur!BL149*Calculateur!BN149*VLOOKUP('Données projet'!$B$11,Paramètres!$A$1:$I$89,3,0)*0.475*44/12</f>
        <v>0.61425007256340092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4.5102778589528825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-6.3550942286383367E-14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410.32666742287449</v>
      </c>
      <c r="T150" s="59">
        <f t="shared" si="142"/>
        <v>494.36941732405256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52.827296277199125</v>
      </c>
      <c r="AA150" s="21">
        <f>EXP(-LN(2)/25)*AA149+(1-EXP(-LN(2)/25))/(LN(2)/25)*Calculateur!V150*Calculateur!X150*VLOOKUP('Données projet'!$B$9,Paramètres!$A$1:$I$89,3,0)*0.475*44/12</f>
        <v>5.1080388810392625</v>
      </c>
      <c r="AB150" s="21">
        <f>EXP(-LN(2)/2)*AB149+(1-EXP(-LN(2)/2))/(LN(2)/2)*V150*Y150*VLOOKUP('Données projet'!$B$9,Paramètres!$A$1:$I$89,3,0)*0.475*44/12</f>
        <v>3.3397399042289108E-12</v>
      </c>
      <c r="AC150" s="22">
        <f t="shared" si="111"/>
        <v>57.935335158241728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-1.7053025658242404E-13</v>
      </c>
      <c r="AJ150" s="13">
        <f>AI150*VLOOKUP('Données projet'!$B$10,Paramètres!$A$1:$I$89,3,0)*VLOOKUP('Données projet'!$B$10,Paramètres!$A$1:$I$89,5,0)</f>
        <v>-1.064108801074326E-13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197.20006068829753</v>
      </c>
      <c r="AO150" s="59">
        <f t="shared" si="144"/>
        <v>256.52014906581638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30.680062202260647</v>
      </c>
      <c r="AV150" s="21">
        <f>EXP(-LN(2)/25)*AV149+(1-EXP(-LN(2)/25))/(LN(2)/25)*Calculateur!AQ150*Calculateur!AS150*VLOOKUP('Données projet'!$B$10,Paramètres!$A$1:$I$89,3,0)*0.475*44/12</f>
        <v>3.6083005050825507</v>
      </c>
      <c r="AW150" s="21">
        <f>EXP(-LN(2)/2)*AW149+(1-EXP(-LN(2)/2))/(LN(2)/2)*AQ150*AT150*VLOOKUP('Données projet'!$B$10,Paramètres!$A$1:$I$89,3,0)*0.475*44/12</f>
        <v>1.6013611494129368E-12</v>
      </c>
      <c r="AX150" s="21">
        <f t="shared" si="114"/>
        <v>34.288362707344795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102.76553481871144</v>
      </c>
      <c r="BJ150" s="59">
        <f t="shared" si="146"/>
        <v>345.99919346320343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3.8196290578406895</v>
      </c>
      <c r="BQ150" s="21">
        <f>EXP(-LN(2)/25)*BQ149+(1-EXP(-LN(2)/25))/(LN(2)/25)*Calculateur!BL150*Calculateur!BN150*VLOOKUP('Données projet'!$B$11,Paramètres!$A$1:$I$89,3,0)*0.475*44/12</f>
        <v>0.59745337202714732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4.4170824298678371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-6.3550942286383367E-14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410.32666742287449</v>
      </c>
      <c r="T151" s="59">
        <f t="shared" si="142"/>
        <v>494.36941732405256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51.791385218672374</v>
      </c>
      <c r="AA151" s="21">
        <f>EXP(-LN(2)/25)*AA150+(1-EXP(-LN(2)/25))/(LN(2)/25)*Calculateur!V151*Calculateur!X151*VLOOKUP('Données projet'!$B$9,Paramètres!$A$1:$I$89,3,0)*0.475*44/12</f>
        <v>4.9683592892171538</v>
      </c>
      <c r="AB151" s="21">
        <f>EXP(-LN(2)/2)*AB150+(1-EXP(-LN(2)/2))/(LN(2)/2)*V151*Y151*VLOOKUP('Données projet'!$B$9,Paramètres!$A$1:$I$89,3,0)*0.475*44/12</f>
        <v>2.3615527336795736E-12</v>
      </c>
      <c r="AC151" s="22">
        <f t="shared" si="111"/>
        <v>56.759744507891888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-1.7053025658242404E-13</v>
      </c>
      <c r="AJ151" s="13">
        <f>AI151*VLOOKUP('Données projet'!$B$10,Paramètres!$A$1:$I$89,3,0)*VLOOKUP('Données projet'!$B$10,Paramètres!$A$1:$I$89,5,0)</f>
        <v>-1.064108801074326E-13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197.20006068829753</v>
      </c>
      <c r="AO151" s="59">
        <f t="shared" si="144"/>
        <v>256.52014906581638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30.078444895464504</v>
      </c>
      <c r="AV151" s="21">
        <f>EXP(-LN(2)/25)*AV150+(1-EXP(-LN(2)/25))/(LN(2)/25)*Calculateur!AQ151*Calculateur!AS151*VLOOKUP('Données projet'!$B$10,Paramètres!$A$1:$I$89,3,0)*0.475*44/12</f>
        <v>3.5096313380187918</v>
      </c>
      <c r="AW151" s="21">
        <f>EXP(-LN(2)/2)*AW150+(1-EXP(-LN(2)/2))/(LN(2)/2)*AQ151*AT151*VLOOKUP('Données projet'!$B$10,Paramètres!$A$1:$I$89,3,0)*0.475*44/12</f>
        <v>1.1323333278785718E-12</v>
      </c>
      <c r="AX151" s="21">
        <f t="shared" si="114"/>
        <v>33.588076233484422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102.76553481871144</v>
      </c>
      <c r="BJ151" s="59">
        <f t="shared" si="146"/>
        <v>345.99919346320343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3.7447284617601158</v>
      </c>
      <c r="BQ151" s="21">
        <f>EXP(-LN(2)/25)*BQ150+(1-EXP(-LN(2)/25))/(LN(2)/25)*Calculateur!BL151*Calculateur!BN151*VLOOKUP('Données projet'!$B$11,Paramètres!$A$1:$I$89,3,0)*0.475*44/12</f>
        <v>0.58111597815035765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4.3258444399104734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-6.3550942286383367E-14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410.32666742287449</v>
      </c>
      <c r="T152" s="59">
        <f t="shared" si="142"/>
        <v>494.36941732405256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50.775787744159977</v>
      </c>
      <c r="AA152" s="21">
        <f>EXP(-LN(2)/25)*AA151+(1-EXP(-LN(2)/25))/(LN(2)/25)*Calculateur!V152*Calculateur!X152*VLOOKUP('Données projet'!$B$9,Paramètres!$A$1:$I$89,3,0)*0.475*44/12</f>
        <v>4.8324992431788507</v>
      </c>
      <c r="AB152" s="21">
        <f>EXP(-LN(2)/2)*AB151+(1-EXP(-LN(2)/2))/(LN(2)/2)*V152*Y152*VLOOKUP('Données projet'!$B$9,Paramètres!$A$1:$I$89,3,0)*0.475*44/12</f>
        <v>1.6698699521144554E-12</v>
      </c>
      <c r="AC152" s="22">
        <f t="shared" si="111"/>
        <v>55.608286987340499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-1.7053025658242404E-13</v>
      </c>
      <c r="AJ152" s="13">
        <f>AI152*VLOOKUP('Données projet'!$B$10,Paramètres!$A$1:$I$89,3,0)*VLOOKUP('Données projet'!$B$10,Paramètres!$A$1:$I$89,5,0)</f>
        <v>-1.064108801074326E-13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197.20006068829753</v>
      </c>
      <c r="AO152" s="59">
        <f t="shared" si="144"/>
        <v>256.52014906581638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29.488624937104309</v>
      </c>
      <c r="AV152" s="21">
        <f>EXP(-LN(2)/25)*AV151+(1-EXP(-LN(2)/25))/(LN(2)/25)*Calculateur!AQ152*Calculateur!AS152*VLOOKUP('Données projet'!$B$10,Paramètres!$A$1:$I$89,3,0)*0.475*44/12</f>
        <v>3.4136602845171771</v>
      </c>
      <c r="AW152" s="21">
        <f>EXP(-LN(2)/2)*AW151+(1-EXP(-LN(2)/2))/(LN(2)/2)*AQ152*AT152*VLOOKUP('Données projet'!$B$10,Paramètres!$A$1:$I$89,3,0)*0.475*44/12</f>
        <v>8.0068057470646842E-13</v>
      </c>
      <c r="AX152" s="21">
        <f t="shared" si="114"/>
        <v>32.902285221622286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102.76553481871144</v>
      </c>
      <c r="BJ152" s="59">
        <f t="shared" si="146"/>
        <v>345.99919346320343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3.6712966206838296</v>
      </c>
      <c r="BQ152" s="21">
        <f>EXP(-LN(2)/25)*BQ151+(1-EXP(-LN(2)/25))/(LN(2)/25)*Calculateur!BL152*Calculateur!BN152*VLOOKUP('Données projet'!$B$11,Paramètres!$A$1:$I$89,3,0)*0.475*44/12</f>
        <v>0.565225331168275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4.2365219518521045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-6.3550942286383367E-14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410.32666742287449</v>
      </c>
      <c r="T153" s="59">
        <f t="shared" si="142"/>
        <v>494.36941732405256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49.780105516669472</v>
      </c>
      <c r="AA153" s="21">
        <f>EXP(-LN(2)/25)*AA152+(1-EXP(-LN(2)/25))/(LN(2)/25)*Calculateur!V153*Calculateur!X153*VLOOKUP('Données projet'!$B$9,Paramètres!$A$1:$I$89,3,0)*0.475*44/12</f>
        <v>4.7003542972440346</v>
      </c>
      <c r="AB153" s="21">
        <f>EXP(-LN(2)/2)*AB152+(1-EXP(-LN(2)/2))/(LN(2)/2)*V153*Y153*VLOOKUP('Données projet'!$B$9,Paramètres!$A$1:$I$89,3,0)*0.475*44/12</f>
        <v>1.1807763668397868E-12</v>
      </c>
      <c r="AC153" s="22">
        <f t="shared" si="111"/>
        <v>54.480459813914685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-1.7053025658242404E-13</v>
      </c>
      <c r="AJ153" s="13">
        <f>AI153*VLOOKUP('Données projet'!$B$10,Paramètres!$A$1:$I$89,3,0)*VLOOKUP('Données projet'!$B$10,Paramètres!$A$1:$I$89,5,0)</f>
        <v>-1.064108801074326E-13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197.20006068829753</v>
      </c>
      <c r="AO153" s="59">
        <f t="shared" si="144"/>
        <v>256.52014906581638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28.910370988372907</v>
      </c>
      <c r="AV153" s="21">
        <f>EXP(-LN(2)/25)*AV152+(1-EXP(-LN(2)/25))/(LN(2)/25)*Calculateur!AQ153*Calculateur!AS153*VLOOKUP('Données projet'!$B$10,Paramètres!$A$1:$I$89,3,0)*0.475*44/12</f>
        <v>3.3203135645204624</v>
      </c>
      <c r="AW153" s="21">
        <f>EXP(-LN(2)/2)*AW152+(1-EXP(-LN(2)/2))/(LN(2)/2)*AQ153*AT153*VLOOKUP('Données projet'!$B$10,Paramètres!$A$1:$I$89,3,0)*0.475*44/12</f>
        <v>5.6616666393928588E-13</v>
      </c>
      <c r="AX153" s="21">
        <f t="shared" si="114"/>
        <v>32.230684552893941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102.76553481871144</v>
      </c>
      <c r="BJ153" s="59">
        <f t="shared" si="146"/>
        <v>345.99919346320343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3.5993047332220489</v>
      </c>
      <c r="BQ153" s="21">
        <f>EXP(-LN(2)/25)*BQ152+(1-EXP(-LN(2)/25))/(LN(2)/25)*Calculateur!BL153*Calculateur!BN153*VLOOKUP('Données projet'!$B$11,Paramètres!$A$1:$I$89,3,0)*0.475*44/12</f>
        <v>0.54976921476357021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4.1490739479856193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-6.3550942286383367E-14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410.32666742287449</v>
      </c>
      <c r="T154" s="59">
        <f t="shared" si="142"/>
        <v>494.36941732405256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48.803948010353864</v>
      </c>
      <c r="AA154" s="21">
        <f>EXP(-LN(2)/25)*AA153+(1-EXP(-LN(2)/25))/(LN(2)/25)*Calculateur!V154*Calculateur!X154*VLOOKUP('Données projet'!$B$9,Paramètres!$A$1:$I$89,3,0)*0.475*44/12</f>
        <v>4.571822861805007</v>
      </c>
      <c r="AB154" s="21">
        <f>EXP(-LN(2)/2)*AB153+(1-EXP(-LN(2)/2))/(LN(2)/2)*V154*Y154*VLOOKUP('Données projet'!$B$9,Paramètres!$A$1:$I$89,3,0)*0.475*44/12</f>
        <v>8.349349760572277E-13</v>
      </c>
      <c r="AC154" s="22">
        <f t="shared" ref="AC154:AC203" si="163">SUM(Z154:AB154)</f>
        <v>53.375770872159706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-1.7053025658242404E-13</v>
      </c>
      <c r="AJ154" s="13">
        <f>AI154*VLOOKUP('Données projet'!$B$10,Paramètres!$A$1:$I$89,3,0)*VLOOKUP('Données projet'!$B$10,Paramètres!$A$1:$I$89,5,0)</f>
        <v>-1.064108801074326E-13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197.20006068829753</v>
      </c>
      <c r="AO154" s="59">
        <f t="shared" si="144"/>
        <v>256.52014906581638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28.343456246876045</v>
      </c>
      <c r="AV154" s="21">
        <f>EXP(-LN(2)/25)*AV153+(1-EXP(-LN(2)/25))/(LN(2)/25)*Calculateur!AQ154*Calculateur!AS154*VLOOKUP('Données projet'!$B$10,Paramètres!$A$1:$I$89,3,0)*0.475*44/12</f>
        <v>3.2295194154909486</v>
      </c>
      <c r="AW154" s="21">
        <f>EXP(-LN(2)/2)*AW153+(1-EXP(-LN(2)/2))/(LN(2)/2)*AQ154*AT154*VLOOKUP('Données projet'!$B$10,Paramètres!$A$1:$I$89,3,0)*0.475*44/12</f>
        <v>4.0034028735323421E-13</v>
      </c>
      <c r="AX154" s="21">
        <f t="shared" ref="AX154:AX203" si="166">SUM(AU154:AW154)</f>
        <v>31.572975662367394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102.76553481871144</v>
      </c>
      <c r="BJ154" s="59">
        <f t="shared" si="146"/>
        <v>345.99919346320343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3.5287245627626782</v>
      </c>
      <c r="BQ154" s="21">
        <f>EXP(-LN(2)/25)*BQ153+(1-EXP(-LN(2)/25))/(LN(2)/25)*Calculateur!BL154*Calculateur!BN154*VLOOKUP('Données projet'!$B$11,Paramètres!$A$1:$I$89,3,0)*0.475*44/12</f>
        <v>0.53473574667475388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4.0634603094374322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-6.3550942286383367E-14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410.32666742287449</v>
      </c>
      <c r="T155" s="59">
        <f t="shared" si="142"/>
        <v>494.36941732405256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47.846932357339817</v>
      </c>
      <c r="AA155" s="21">
        <f>EXP(-LN(2)/25)*AA154+(1-EXP(-LN(2)/25))/(LN(2)/25)*Calculateur!V155*Calculateur!X155*VLOOKUP('Données projet'!$B$9,Paramètres!$A$1:$I$89,3,0)*0.475*44/12</f>
        <v>4.4468061252272335</v>
      </c>
      <c r="AB155" s="21">
        <f>EXP(-LN(2)/2)*AB154+(1-EXP(-LN(2)/2))/(LN(2)/2)*V155*Y155*VLOOKUP('Données projet'!$B$9,Paramètres!$A$1:$I$89,3,0)*0.475*44/12</f>
        <v>5.903881834198934E-13</v>
      </c>
      <c r="AC155" s="22">
        <f t="shared" si="163"/>
        <v>52.29373848256764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-1.7053025658242404E-13</v>
      </c>
      <c r="AJ155" s="13">
        <f>AI155*VLOOKUP('Données projet'!$B$10,Paramètres!$A$1:$I$89,3,0)*VLOOKUP('Données projet'!$B$10,Paramètres!$A$1:$I$89,5,0)</f>
        <v>-1.064108801074326E-13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197.20006068829753</v>
      </c>
      <c r="AO155" s="59">
        <f t="shared" si="144"/>
        <v>256.52014906581638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27.787658357676086</v>
      </c>
      <c r="AV155" s="21">
        <f>EXP(-LN(2)/25)*AV154+(1-EXP(-LN(2)/25))/(LN(2)/25)*Calculateur!AQ155*Calculateur!AS155*VLOOKUP('Données projet'!$B$10,Paramètres!$A$1:$I$89,3,0)*0.475*44/12</f>
        <v>3.1412080372413036</v>
      </c>
      <c r="AW155" s="21">
        <f>EXP(-LN(2)/2)*AW154+(1-EXP(-LN(2)/2))/(LN(2)/2)*AQ155*AT155*VLOOKUP('Données projet'!$B$10,Paramètres!$A$1:$I$89,3,0)*0.475*44/12</f>
        <v>2.8308333196964294E-13</v>
      </c>
      <c r="AX155" s="21">
        <f t="shared" si="166"/>
        <v>30.928866394917673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102.76553481871144</v>
      </c>
      <c r="BJ155" s="59">
        <f t="shared" si="146"/>
        <v>345.99919346320343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3.4595284263963624</v>
      </c>
      <c r="BQ155" s="21">
        <f>EXP(-LN(2)/25)*BQ154+(1-EXP(-LN(2)/25))/(LN(2)/25)*Calculateur!BL155*Calculateur!BN155*VLOOKUP('Données projet'!$B$11,Paramètres!$A$1:$I$89,3,0)*0.475*44/12</f>
        <v>0.52011336956140197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3.9796417959577646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-6.3550942286383367E-14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410.32666742287449</v>
      </c>
      <c r="T156" s="59">
        <f t="shared" si="142"/>
        <v>494.36941732405256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46.908683197559462</v>
      </c>
      <c r="AA156" s="21">
        <f>EXP(-LN(2)/25)*AA155+(1-EXP(-LN(2)/25))/(LN(2)/25)*Calculateur!V156*Calculateur!X156*VLOOKUP('Données projet'!$B$9,Paramètres!$A$1:$I$89,3,0)*0.475*44/12</f>
        <v>4.3252079778855244</v>
      </c>
      <c r="AB156" s="21">
        <f>EXP(-LN(2)/2)*AB155+(1-EXP(-LN(2)/2))/(LN(2)/2)*V156*Y156*VLOOKUP('Données projet'!$B$9,Paramètres!$A$1:$I$89,3,0)*0.475*44/12</f>
        <v>4.1746748802861385E-13</v>
      </c>
      <c r="AC156" s="22">
        <f t="shared" si="163"/>
        <v>51.233891175445407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-1.7053025658242404E-13</v>
      </c>
      <c r="AJ156" s="13">
        <f>AI156*VLOOKUP('Données projet'!$B$10,Paramètres!$A$1:$I$89,3,0)*VLOOKUP('Données projet'!$B$10,Paramètres!$A$1:$I$89,5,0)</f>
        <v>-1.064108801074326E-13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197.20006068829753</v>
      </c>
      <c r="AO156" s="59">
        <f t="shared" si="144"/>
        <v>256.52014906581638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27.242759326080101</v>
      </c>
      <c r="AV156" s="21">
        <f>EXP(-LN(2)/25)*AV155+(1-EXP(-LN(2)/25))/(LN(2)/25)*Calculateur!AQ156*Calculateur!AS156*VLOOKUP('Données projet'!$B$10,Paramètres!$A$1:$I$89,3,0)*0.475*44/12</f>
        <v>3.0553115382739886</v>
      </c>
      <c r="AW156" s="21">
        <f>EXP(-LN(2)/2)*AW155+(1-EXP(-LN(2)/2))/(LN(2)/2)*AQ156*AT156*VLOOKUP('Données projet'!$B$10,Paramètres!$A$1:$I$89,3,0)*0.475*44/12</f>
        <v>2.0017014367661711E-13</v>
      </c>
      <c r="AX156" s="21">
        <f t="shared" si="166"/>
        <v>30.298070864354287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102.76553481871144</v>
      </c>
      <c r="BJ156" s="59">
        <f t="shared" si="146"/>
        <v>345.99919346320343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3.3916891840587144</v>
      </c>
      <c r="BQ156" s="21">
        <f>EXP(-LN(2)/25)*BQ155+(1-EXP(-LN(2)/25))/(LN(2)/25)*Calculateur!BL156*Calculateur!BN156*VLOOKUP('Données projet'!$B$11,Paramètres!$A$1:$I$89,3,0)*0.475*44/12</f>
        <v>0.50589084211917201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3.8975800261778866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-6.3550942286383367E-14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410.32666742287449</v>
      </c>
      <c r="T157" s="59">
        <f t="shared" si="142"/>
        <v>494.36941732405256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45.988832531526924</v>
      </c>
      <c r="AA157" s="21">
        <f>EXP(-LN(2)/25)*AA156+(1-EXP(-LN(2)/25))/(LN(2)/25)*Calculateur!V157*Calculateur!X157*VLOOKUP('Données projet'!$B$9,Paramètres!$A$1:$I$89,3,0)*0.475*44/12</f>
        <v>4.2069349382774428</v>
      </c>
      <c r="AB157" s="21">
        <f>EXP(-LN(2)/2)*AB156+(1-EXP(-LN(2)/2))/(LN(2)/2)*V157*Y157*VLOOKUP('Données projet'!$B$9,Paramètres!$A$1:$I$89,3,0)*0.475*44/12</f>
        <v>2.951940917099467E-13</v>
      </c>
      <c r="AC157" s="22">
        <f t="shared" si="163"/>
        <v>50.195767469804665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-1.7053025658242404E-13</v>
      </c>
      <c r="AJ157" s="13">
        <f>AI157*VLOOKUP('Données projet'!$B$10,Paramètres!$A$1:$I$89,3,0)*VLOOKUP('Données projet'!$B$10,Paramètres!$A$1:$I$89,5,0)</f>
        <v>-1.064108801074326E-13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197.20006068829753</v>
      </c>
      <c r="AO157" s="59">
        <f t="shared" si="144"/>
        <v>256.52014906581638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26.708545432138123</v>
      </c>
      <c r="AV157" s="21">
        <f>EXP(-LN(2)/25)*AV156+(1-EXP(-LN(2)/25))/(LN(2)/25)*Calculateur!AQ157*Calculateur!AS157*VLOOKUP('Données projet'!$B$10,Paramètres!$A$1:$I$89,3,0)*0.475*44/12</f>
        <v>2.9717638835880358</v>
      </c>
      <c r="AW157" s="21">
        <f>EXP(-LN(2)/2)*AW156+(1-EXP(-LN(2)/2))/(LN(2)/2)*AQ157*AT157*VLOOKUP('Données projet'!$B$10,Paramètres!$A$1:$I$89,3,0)*0.475*44/12</f>
        <v>1.4154166598482147E-13</v>
      </c>
      <c r="AX157" s="21">
        <f t="shared" si="166"/>
        <v>29.680309315726301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102.76553481871144</v>
      </c>
      <c r="BJ157" s="59">
        <f t="shared" si="146"/>
        <v>345.99919346320343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3.3251802278854554</v>
      </c>
      <c r="BQ157" s="21">
        <f>EXP(-LN(2)/25)*BQ156+(1-EXP(-LN(2)/25))/(LN(2)/25)*Calculateur!BL157*Calculateur!BN157*VLOOKUP('Données projet'!$B$11,Paramètres!$A$1:$I$89,3,0)*0.475*44/12</f>
        <v>0.4920572304377801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3.8172374583232354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-6.3550942286383367E-14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410.32666742287449</v>
      </c>
      <c r="T158" s="59">
        <f t="shared" si="142"/>
        <v>494.36941732405256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45.087019576001779</v>
      </c>
      <c r="AA158" s="21">
        <f>EXP(-LN(2)/25)*AA157+(1-EXP(-LN(2)/25))/(LN(2)/25)*Calculateur!V158*Calculateur!X158*VLOOKUP('Données projet'!$B$9,Paramètres!$A$1:$I$89,3,0)*0.475*44/12</f>
        <v>4.0918960811571532</v>
      </c>
      <c r="AB158" s="21">
        <f>EXP(-LN(2)/2)*AB157+(1-EXP(-LN(2)/2))/(LN(2)/2)*V158*Y158*VLOOKUP('Données projet'!$B$9,Paramètres!$A$1:$I$89,3,0)*0.475*44/12</f>
        <v>2.0873374401430693E-13</v>
      </c>
      <c r="AC158" s="22">
        <f t="shared" si="163"/>
        <v>49.178915657159138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-1.7053025658242404E-13</v>
      </c>
      <c r="AJ158" s="13">
        <f>AI158*VLOOKUP('Données projet'!$B$10,Paramètres!$A$1:$I$89,3,0)*VLOOKUP('Données projet'!$B$10,Paramètres!$A$1:$I$89,5,0)</f>
        <v>-1.064108801074326E-13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197.20006068829753</v>
      </c>
      <c r="AO158" s="59">
        <f t="shared" si="144"/>
        <v>256.52014906581638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26.184807146818045</v>
      </c>
      <c r="AV158" s="21">
        <f>EXP(-LN(2)/25)*AV157+(1-EXP(-LN(2)/25))/(LN(2)/25)*Calculateur!AQ158*Calculateur!AS158*VLOOKUP('Données projet'!$B$10,Paramètres!$A$1:$I$89,3,0)*0.475*44/12</f>
        <v>2.8905008439130504</v>
      </c>
      <c r="AW158" s="21">
        <f>EXP(-LN(2)/2)*AW157+(1-EXP(-LN(2)/2))/(LN(2)/2)*AQ158*AT158*VLOOKUP('Données projet'!$B$10,Paramètres!$A$1:$I$89,3,0)*0.475*44/12</f>
        <v>1.0008507183830855E-13</v>
      </c>
      <c r="AX158" s="21">
        <f t="shared" si="166"/>
        <v>29.075307990731194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102.76553481871144</v>
      </c>
      <c r="BJ158" s="59">
        <f t="shared" si="146"/>
        <v>345.99919346320343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3.2599754717762965</v>
      </c>
      <c r="BQ158" s="21">
        <f>EXP(-LN(2)/25)*BQ157+(1-EXP(-LN(2)/25))/(LN(2)/25)*Calculateur!BL158*Calculateur!BN158*VLOOKUP('Données projet'!$B$11,Paramètres!$A$1:$I$89,3,0)*0.475*44/12</f>
        <v>0.47860189959529387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3.7385773713715906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-6.3550942286383367E-14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410.32666742287449</v>
      </c>
      <c r="T159" s="59">
        <f t="shared" si="142"/>
        <v>494.36941732405256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44.20289062248289</v>
      </c>
      <c r="AA159" s="21">
        <f>EXP(-LN(2)/25)*AA158+(1-EXP(-LN(2)/25))/(LN(2)/25)*Calculateur!V159*Calculateur!X159*VLOOKUP('Données projet'!$B$9,Paramètres!$A$1:$I$89,3,0)*0.475*44/12</f>
        <v>3.9800029676344479</v>
      </c>
      <c r="AB159" s="21">
        <f>EXP(-LN(2)/2)*AB158+(1-EXP(-LN(2)/2))/(LN(2)/2)*V159*Y159*VLOOKUP('Données projet'!$B$9,Paramètres!$A$1:$I$89,3,0)*0.475*44/12</f>
        <v>1.4759704585497335E-13</v>
      </c>
      <c r="AC159" s="22">
        <f t="shared" si="163"/>
        <v>48.182893590117487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-1.7053025658242404E-13</v>
      </c>
      <c r="AJ159" s="13">
        <f>AI159*VLOOKUP('Données projet'!$B$10,Paramètres!$A$1:$I$89,3,0)*VLOOKUP('Données projet'!$B$10,Paramètres!$A$1:$I$89,5,0)</f>
        <v>-1.064108801074326E-13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197.20006068829753</v>
      </c>
      <c r="AO159" s="59">
        <f t="shared" si="144"/>
        <v>256.52014906581638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25.671339049824283</v>
      </c>
      <c r="AV159" s="21">
        <f>EXP(-LN(2)/25)*AV158+(1-EXP(-LN(2)/25))/(LN(2)/25)*Calculateur!AQ159*Calculateur!AS159*VLOOKUP('Données projet'!$B$10,Paramètres!$A$1:$I$89,3,0)*0.475*44/12</f>
        <v>2.8114599463314152</v>
      </c>
      <c r="AW159" s="21">
        <f>EXP(-LN(2)/2)*AW158+(1-EXP(-LN(2)/2))/(LN(2)/2)*AQ159*AT159*VLOOKUP('Données projet'!$B$10,Paramètres!$A$1:$I$89,3,0)*0.475*44/12</f>
        <v>7.0770832992410735E-14</v>
      </c>
      <c r="AX159" s="21">
        <f t="shared" si="166"/>
        <v>28.482798996155768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102.76553481871144</v>
      </c>
      <c r="BJ159" s="59">
        <f t="shared" si="146"/>
        <v>345.99919346320343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3.1960493411634641</v>
      </c>
      <c r="BQ159" s="21">
        <f>EXP(-LN(2)/25)*BQ158+(1-EXP(-LN(2)/25))/(LN(2)/25)*Calculateur!BL159*Calculateur!BN159*VLOOKUP('Données projet'!$B$11,Paramètres!$A$1:$I$89,3,0)*0.475*44/12</f>
        <v>0.46551450548228052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3.6615638466457447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-6.3550942286383367E-14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410.32666742287449</v>
      </c>
      <c r="T160" s="59">
        <f t="shared" si="142"/>
        <v>494.36941732405256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43.33609889847709</v>
      </c>
      <c r="AA160" s="21">
        <f>EXP(-LN(2)/25)*AA159+(1-EXP(-LN(2)/25))/(LN(2)/25)*Calculateur!V160*Calculateur!X160*VLOOKUP('Données projet'!$B$9,Paramètres!$A$1:$I$89,3,0)*0.475*44/12</f>
        <v>3.8711695771852241</v>
      </c>
      <c r="AB160" s="21">
        <f>EXP(-LN(2)/2)*AB159+(1-EXP(-LN(2)/2))/(LN(2)/2)*V160*Y160*VLOOKUP('Données projet'!$B$9,Paramètres!$A$1:$I$89,3,0)*0.475*44/12</f>
        <v>1.0436687200715346E-13</v>
      </c>
      <c r="AC160" s="22">
        <f t="shared" si="163"/>
        <v>47.207268475662424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-1.7053025658242404E-13</v>
      </c>
      <c r="AJ160" s="13">
        <f>AI160*VLOOKUP('Données projet'!$B$10,Paramètres!$A$1:$I$89,3,0)*VLOOKUP('Données projet'!$B$10,Paramètres!$A$1:$I$89,5,0)</f>
        <v>-1.064108801074326E-13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197.20006068829753</v>
      </c>
      <c r="AO160" s="59">
        <f t="shared" si="144"/>
        <v>256.52014906581638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25.167939749027955</v>
      </c>
      <c r="AV160" s="21">
        <f>EXP(-LN(2)/25)*AV159+(1-EXP(-LN(2)/25))/(LN(2)/25)*Calculateur!AQ160*Calculateur!AS160*VLOOKUP('Données projet'!$B$10,Paramètres!$A$1:$I$89,3,0)*0.475*44/12</f>
        <v>2.7345804262507296</v>
      </c>
      <c r="AW160" s="21">
        <f>EXP(-LN(2)/2)*AW159+(1-EXP(-LN(2)/2))/(LN(2)/2)*AQ160*AT160*VLOOKUP('Données projet'!$B$10,Paramètres!$A$1:$I$89,3,0)*0.475*44/12</f>
        <v>5.0042535919154276E-14</v>
      </c>
      <c r="AX160" s="21">
        <f t="shared" si="166"/>
        <v>27.902520175278735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102.76553481871144</v>
      </c>
      <c r="BJ160" s="59">
        <f t="shared" si="146"/>
        <v>345.99919346320343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3.1333767629808595</v>
      </c>
      <c r="BQ160" s="21">
        <f>EXP(-LN(2)/25)*BQ159+(1-EXP(-LN(2)/25))/(LN(2)/25)*Calculateur!BL160*Calculateur!BN160*VLOOKUP('Données projet'!$B$11,Paramètres!$A$1:$I$89,3,0)*0.475*44/12</f>
        <v>0.45278498684952367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3.5861617498303833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-6.3550942286383367E-14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410.32666742287449</v>
      </c>
      <c r="T161" s="59">
        <f t="shared" si="142"/>
        <v>494.36941732405256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42.4863044314883</v>
      </c>
      <c r="AA161" s="21">
        <f>EXP(-LN(2)/25)*AA160+(1-EXP(-LN(2)/25))/(LN(2)/25)*Calculateur!V161*Calculateur!X161*VLOOKUP('Données projet'!$B$9,Paramètres!$A$1:$I$89,3,0)*0.475*44/12</f>
        <v>3.765312241521134</v>
      </c>
      <c r="AB161" s="21">
        <f>EXP(-LN(2)/2)*AB160+(1-EXP(-LN(2)/2))/(LN(2)/2)*V161*Y161*VLOOKUP('Données projet'!$B$9,Paramètres!$A$1:$I$89,3,0)*0.475*44/12</f>
        <v>7.3798522927486674E-14</v>
      </c>
      <c r="AC161" s="22">
        <f t="shared" si="163"/>
        <v>46.251616673009508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-1.7053025658242404E-13</v>
      </c>
      <c r="AJ161" s="13">
        <f>AI161*VLOOKUP('Données projet'!$B$10,Paramètres!$A$1:$I$89,3,0)*VLOOKUP('Données projet'!$B$10,Paramètres!$A$1:$I$89,5,0)</f>
        <v>-1.064108801074326E-13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197.20006068829753</v>
      </c>
      <c r="AO161" s="59">
        <f t="shared" si="144"/>
        <v>256.52014906581638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24.674411801476985</v>
      </c>
      <c r="AV161" s="21">
        <f>EXP(-LN(2)/25)*AV160+(1-EXP(-LN(2)/25))/(LN(2)/25)*Calculateur!AQ161*Calculateur!AS161*VLOOKUP('Données projet'!$B$10,Paramètres!$A$1:$I$89,3,0)*0.475*44/12</f>
        <v>2.6598031806895688</v>
      </c>
      <c r="AW161" s="21">
        <f>EXP(-LN(2)/2)*AW160+(1-EXP(-LN(2)/2))/(LN(2)/2)*AQ161*AT161*VLOOKUP('Données projet'!$B$10,Paramètres!$A$1:$I$89,3,0)*0.475*44/12</f>
        <v>3.5385416496205367E-14</v>
      </c>
      <c r="AX161" s="21">
        <f t="shared" si="166"/>
        <v>27.334214982166589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102.76553481871144</v>
      </c>
      <c r="BJ161" s="59">
        <f t="shared" si="146"/>
        <v>345.99919346320343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3.0719331558299179</v>
      </c>
      <c r="BQ161" s="21">
        <f>EXP(-LN(2)/25)*BQ160+(1-EXP(-LN(2)/25))/(LN(2)/25)*Calculateur!BL161*Calculateur!BN161*VLOOKUP('Données projet'!$B$11,Paramètres!$A$1:$I$89,3,0)*0.475*44/12</f>
        <v>0.44040355757319583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3.5123367134031138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-6.3550942286383367E-14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410.32666742287449</v>
      </c>
      <c r="T162" s="59">
        <f t="shared" si="142"/>
        <v>494.36941732405256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41.653173915673712</v>
      </c>
      <c r="AA162" s="21">
        <f>EXP(-LN(2)/25)*AA161+(1-EXP(-LN(2)/25))/(LN(2)/25)*Calculateur!V162*Calculateur!X162*VLOOKUP('Données projet'!$B$9,Paramètres!$A$1:$I$89,3,0)*0.475*44/12</f>
        <v>3.6623495802675734</v>
      </c>
      <c r="AB162" s="21">
        <f>EXP(-LN(2)/2)*AB161+(1-EXP(-LN(2)/2))/(LN(2)/2)*V162*Y162*VLOOKUP('Données projet'!$B$9,Paramètres!$A$1:$I$89,3,0)*0.475*44/12</f>
        <v>5.2183436003576731E-14</v>
      </c>
      <c r="AC162" s="22">
        <f t="shared" si="163"/>
        <v>45.315523495941335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-1.7053025658242404E-13</v>
      </c>
      <c r="AJ162" s="13">
        <f>AI162*VLOOKUP('Données projet'!$B$10,Paramètres!$A$1:$I$89,3,0)*VLOOKUP('Données projet'!$B$10,Paramètres!$A$1:$I$89,5,0)</f>
        <v>-1.064108801074326E-13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197.20006068829753</v>
      </c>
      <c r="AO162" s="59">
        <f t="shared" si="144"/>
        <v>256.52014906581638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24.190561635955167</v>
      </c>
      <c r="AV162" s="21">
        <f>EXP(-LN(2)/25)*AV161+(1-EXP(-LN(2)/25))/(LN(2)/25)*Calculateur!AQ162*Calculateur!AS162*VLOOKUP('Données projet'!$B$10,Paramètres!$A$1:$I$89,3,0)*0.475*44/12</f>
        <v>2.5870707228406422</v>
      </c>
      <c r="AW162" s="21">
        <f>EXP(-LN(2)/2)*AW161+(1-EXP(-LN(2)/2))/(LN(2)/2)*AQ162*AT162*VLOOKUP('Données projet'!$B$10,Paramètres!$A$1:$I$89,3,0)*0.475*44/12</f>
        <v>2.5021267959577138E-14</v>
      </c>
      <c r="AX162" s="21">
        <f t="shared" si="166"/>
        <v>26.777632358795834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102.76553481871144</v>
      </c>
      <c r="BJ162" s="59">
        <f t="shared" si="146"/>
        <v>345.99919346320343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3.0116944203383063</v>
      </c>
      <c r="BQ162" s="21">
        <f>EXP(-LN(2)/25)*BQ161+(1-EXP(-LN(2)/25))/(LN(2)/25)*Calculateur!BL162*Calculateur!BN162*VLOOKUP('Données projet'!$B$11,Paramètres!$A$1:$I$89,3,0)*0.475*44/12</f>
        <v>0.42836069913154023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3.4400551194698465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-6.3550942286383367E-14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410.32666742287449</v>
      </c>
      <c r="T163" s="59">
        <f t="shared" si="142"/>
        <v>494.36941732405256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40.83638058111481</v>
      </c>
      <c r="AA163" s="21">
        <f>EXP(-LN(2)/25)*AA162+(1-EXP(-LN(2)/25))/(LN(2)/25)*Calculateur!V163*Calculateur!X163*VLOOKUP('Données projet'!$B$9,Paramètres!$A$1:$I$89,3,0)*0.475*44/12</f>
        <v>3.5622024384005626</v>
      </c>
      <c r="AB163" s="21">
        <f>EXP(-LN(2)/2)*AB162+(1-EXP(-LN(2)/2))/(LN(2)/2)*V163*Y163*VLOOKUP('Données projet'!$B$9,Paramètres!$A$1:$I$89,3,0)*0.475*44/12</f>
        <v>3.6899261463743337E-14</v>
      </c>
      <c r="AC163" s="22">
        <f t="shared" si="163"/>
        <v>44.398583019515407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-1.7053025658242404E-13</v>
      </c>
      <c r="AJ163" s="13">
        <f>AI163*VLOOKUP('Données projet'!$B$10,Paramètres!$A$1:$I$89,3,0)*VLOOKUP('Données projet'!$B$10,Paramètres!$A$1:$I$89,5,0)</f>
        <v>-1.064108801074326E-13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197.20006068829753</v>
      </c>
      <c r="AO163" s="59">
        <f t="shared" si="144"/>
        <v>256.52014906581638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23.716199477059771</v>
      </c>
      <c r="AV163" s="21">
        <f>EXP(-LN(2)/25)*AV162+(1-EXP(-LN(2)/25))/(LN(2)/25)*Calculateur!AQ163*Calculateur!AS163*VLOOKUP('Données projet'!$B$10,Paramètres!$A$1:$I$89,3,0)*0.475*44/12</f>
        <v>2.5163271378764285</v>
      </c>
      <c r="AW163" s="21">
        <f>EXP(-LN(2)/2)*AW162+(1-EXP(-LN(2)/2))/(LN(2)/2)*AQ163*AT163*VLOOKUP('Données projet'!$B$10,Paramètres!$A$1:$I$89,3,0)*0.475*44/12</f>
        <v>1.7692708248102684E-14</v>
      </c>
      <c r="AX163" s="21">
        <f t="shared" si="166"/>
        <v>26.232526614936216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102.76553481871144</v>
      </c>
      <c r="BJ163" s="59">
        <f t="shared" si="146"/>
        <v>345.99919346320343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2.9526369297076847</v>
      </c>
      <c r="BQ163" s="21">
        <f>EXP(-LN(2)/25)*BQ162+(1-EXP(-LN(2)/25))/(LN(2)/25)*Calculateur!BL163*Calculateur!BN163*VLOOKUP('Données projet'!$B$11,Paramètres!$A$1:$I$89,3,0)*0.475*44/12</f>
        <v>0.41664715328727814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3.3692840829949628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-6.3550942286383367E-14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410.32666742287449</v>
      </c>
      <c r="T164" s="59">
        <f t="shared" si="142"/>
        <v>494.36941732405256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40.035604065651867</v>
      </c>
      <c r="AA164" s="21">
        <f>EXP(-LN(2)/25)*AA163+(1-EXP(-LN(2)/25))/(LN(2)/25)*Calculateur!V164*Calculateur!X164*VLOOKUP('Données projet'!$B$9,Paramètres!$A$1:$I$89,3,0)*0.475*44/12</f>
        <v>3.4647938253944144</v>
      </c>
      <c r="AB164" s="21">
        <f>EXP(-LN(2)/2)*AB163+(1-EXP(-LN(2)/2))/(LN(2)/2)*V164*Y164*VLOOKUP('Données projet'!$B$9,Paramètres!$A$1:$I$89,3,0)*0.475*44/12</f>
        <v>2.6091718001788366E-14</v>
      </c>
      <c r="AC164" s="22">
        <f t="shared" si="163"/>
        <v>43.500397891046312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-1.7053025658242404E-13</v>
      </c>
      <c r="AJ164" s="13">
        <f>AI164*VLOOKUP('Données projet'!$B$10,Paramètres!$A$1:$I$89,3,0)*VLOOKUP('Données projet'!$B$10,Paramètres!$A$1:$I$89,5,0)</f>
        <v>-1.064108801074326E-13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197.20006068829753</v>
      </c>
      <c r="AO164" s="59">
        <f t="shared" si="144"/>
        <v>256.52014906581638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23.251139270767965</v>
      </c>
      <c r="AV164" s="21">
        <f>EXP(-LN(2)/25)*AV163+(1-EXP(-LN(2)/25))/(LN(2)/25)*Calculateur!AQ164*Calculateur!AS164*VLOOKUP('Données projet'!$B$10,Paramètres!$A$1:$I$89,3,0)*0.475*44/12</f>
        <v>2.4475180399633043</v>
      </c>
      <c r="AW164" s="21">
        <f>EXP(-LN(2)/2)*AW163+(1-EXP(-LN(2)/2))/(LN(2)/2)*AQ164*AT164*VLOOKUP('Données projet'!$B$10,Paramètres!$A$1:$I$89,3,0)*0.475*44/12</f>
        <v>1.2510633979788569E-14</v>
      </c>
      <c r="AX164" s="21">
        <f t="shared" si="166"/>
        <v>25.698657310731285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102.76553481871144</v>
      </c>
      <c r="BJ164" s="59">
        <f t="shared" si="146"/>
        <v>345.99919346320343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2.8947375204468169</v>
      </c>
      <c r="BQ164" s="21">
        <f>EXP(-LN(2)/25)*BQ163+(1-EXP(-LN(2)/25))/(LN(2)/25)*Calculateur!BL164*Calculateur!BN164*VLOOKUP('Données projet'!$B$11,Paramètres!$A$1:$I$89,3,0)*0.475*44/12</f>
        <v>0.40525391497011598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3.2999914354169331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-6.3550942286383367E-14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410.32666742287449</v>
      </c>
      <c r="T165" s="59">
        <f t="shared" si="142"/>
        <v>494.36941732405256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39.250530289231705</v>
      </c>
      <c r="AA165" s="21">
        <f>EXP(-LN(2)/25)*AA164+(1-EXP(-LN(2)/25))/(LN(2)/25)*Calculateur!V165*Calculateur!X165*VLOOKUP('Données projet'!$B$9,Paramètres!$A$1:$I$89,3,0)*0.475*44/12</f>
        <v>3.3700488560334159</v>
      </c>
      <c r="AB165" s="21">
        <f>EXP(-LN(2)/2)*AB164+(1-EXP(-LN(2)/2))/(LN(2)/2)*V165*Y165*VLOOKUP('Données projet'!$B$9,Paramètres!$A$1:$I$89,3,0)*0.475*44/12</f>
        <v>1.8449630731871669E-14</v>
      </c>
      <c r="AC165" s="22">
        <f t="shared" si="163"/>
        <v>42.62057914526514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-1.7053025658242404E-13</v>
      </c>
      <c r="AJ165" s="13">
        <f>AI165*VLOOKUP('Données projet'!$B$10,Paramètres!$A$1:$I$89,3,0)*VLOOKUP('Données projet'!$B$10,Paramètres!$A$1:$I$89,5,0)</f>
        <v>-1.064108801074326E-13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197.20006068829753</v>
      </c>
      <c r="AO165" s="59">
        <f t="shared" si="144"/>
        <v>256.52014906581638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22.795198611462823</v>
      </c>
      <c r="AV165" s="21">
        <f>EXP(-LN(2)/25)*AV164+(1-EXP(-LN(2)/25))/(LN(2)/25)*Calculateur!AQ165*Calculateur!AS165*VLOOKUP('Données projet'!$B$10,Paramètres!$A$1:$I$89,3,0)*0.475*44/12</f>
        <v>2.3805905304511281</v>
      </c>
      <c r="AW165" s="21">
        <f>EXP(-LN(2)/2)*AW164+(1-EXP(-LN(2)/2))/(LN(2)/2)*AQ165*AT165*VLOOKUP('Données projet'!$B$10,Paramètres!$A$1:$I$89,3,0)*0.475*44/12</f>
        <v>8.8463541240513418E-15</v>
      </c>
      <c r="AX165" s="21">
        <f t="shared" si="166"/>
        <v>25.17578914191396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102.76553481871144</v>
      </c>
      <c r="BJ165" s="59">
        <f t="shared" si="146"/>
        <v>345.99919346320343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2.8379734832864023</v>
      </c>
      <c r="BQ165" s="21">
        <f>EXP(-LN(2)/25)*BQ164+(1-EXP(-LN(2)/25))/(LN(2)/25)*Calculateur!BL165*Calculateur!BN165*VLOOKUP('Données projet'!$B$11,Paramètres!$A$1:$I$89,3,0)*0.475*44/12</f>
        <v>0.39417222535388097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3.2321457086402834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-6.3550942286383367E-14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410.32666742287449</v>
      </c>
      <c r="T166" s="59">
        <f t="shared" si="142"/>
        <v>494.36941732405256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38.480851330719425</v>
      </c>
      <c r="AA166" s="21">
        <f>EXP(-LN(2)/25)*AA165+(1-EXP(-LN(2)/25))/(LN(2)/25)*Calculateur!V166*Calculateur!X166*VLOOKUP('Données projet'!$B$9,Paramètres!$A$1:$I$89,3,0)*0.475*44/12</f>
        <v>3.2778946928420152</v>
      </c>
      <c r="AB166" s="21">
        <f>EXP(-LN(2)/2)*AB165+(1-EXP(-LN(2)/2))/(LN(2)/2)*V166*Y166*VLOOKUP('Données projet'!$B$9,Paramètres!$A$1:$I$89,3,0)*0.475*44/12</f>
        <v>1.3045859000894183E-14</v>
      </c>
      <c r="AC166" s="22">
        <f t="shared" si="163"/>
        <v>41.758746023561457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-1.7053025658242404E-13</v>
      </c>
      <c r="AJ166" s="13">
        <f>AI166*VLOOKUP('Données projet'!$B$10,Paramètres!$A$1:$I$89,3,0)*VLOOKUP('Données projet'!$B$10,Paramètres!$A$1:$I$89,5,0)</f>
        <v>-1.064108801074326E-13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197.20006068829753</v>
      </c>
      <c r="AO166" s="59">
        <f t="shared" si="144"/>
        <v>256.52014906581638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22.348198670390314</v>
      </c>
      <c r="AV166" s="21">
        <f>EXP(-LN(2)/25)*AV165+(1-EXP(-LN(2)/25))/(LN(2)/25)*Calculateur!AQ166*Calculateur!AS166*VLOOKUP('Données projet'!$B$10,Paramètres!$A$1:$I$89,3,0)*0.475*44/12</f>
        <v>2.3154931572061268</v>
      </c>
      <c r="AW166" s="21">
        <f>EXP(-LN(2)/2)*AW165+(1-EXP(-LN(2)/2))/(LN(2)/2)*AQ166*AT166*VLOOKUP('Données projet'!$B$10,Paramètres!$A$1:$I$89,3,0)*0.475*44/12</f>
        <v>6.2553169898942846E-15</v>
      </c>
      <c r="AX166" s="21">
        <f t="shared" si="166"/>
        <v>24.663691827596448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102.76553481871144</v>
      </c>
      <c r="BJ166" s="59">
        <f t="shared" si="146"/>
        <v>345.99919346320343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2.7823225542720595</v>
      </c>
      <c r="BQ166" s="21">
        <f>EXP(-LN(2)/25)*BQ165+(1-EXP(-LN(2)/25))/(LN(2)/25)*Calculateur!BL166*Calculateur!BN166*VLOOKUP('Données projet'!$B$11,Paramètres!$A$1:$I$89,3,0)*0.475*44/12</f>
        <v>0.38339356512296263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3.1657161193950221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-6.3550942286383367E-14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410.32666742287449</v>
      </c>
      <c r="T167" s="59">
        <f t="shared" si="142"/>
        <v>494.36941732405256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37.726265307125757</v>
      </c>
      <c r="AA167" s="21">
        <f>EXP(-LN(2)/25)*AA166+(1-EXP(-LN(2)/25))/(LN(2)/25)*Calculateur!V167*Calculateur!X167*VLOOKUP('Données projet'!$B$9,Paramètres!$A$1:$I$89,3,0)*0.475*44/12</f>
        <v>3.1882604900892599</v>
      </c>
      <c r="AB167" s="21">
        <f>EXP(-LN(2)/2)*AB166+(1-EXP(-LN(2)/2))/(LN(2)/2)*V167*Y167*VLOOKUP('Données projet'!$B$9,Paramètres!$A$1:$I$89,3,0)*0.475*44/12</f>
        <v>9.2248153659358343E-15</v>
      </c>
      <c r="AC167" s="22">
        <f t="shared" si="163"/>
        <v>40.914525797215028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-1.7053025658242404E-13</v>
      </c>
      <c r="AJ167" s="13">
        <f>AI167*VLOOKUP('Données projet'!$B$10,Paramètres!$A$1:$I$89,3,0)*VLOOKUP('Données projet'!$B$10,Paramètres!$A$1:$I$89,5,0)</f>
        <v>-1.064108801074326E-13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197.20006068829753</v>
      </c>
      <c r="AO167" s="59">
        <f t="shared" si="144"/>
        <v>256.52014906581638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21.909964125519195</v>
      </c>
      <c r="AV167" s="21">
        <f>EXP(-LN(2)/25)*AV166+(1-EXP(-LN(2)/25))/(LN(2)/25)*Calculateur!AQ167*Calculateur!AS167*VLOOKUP('Données projet'!$B$10,Paramètres!$A$1:$I$89,3,0)*0.475*44/12</f>
        <v>2.2521758750558321</v>
      </c>
      <c r="AW167" s="21">
        <f>EXP(-LN(2)/2)*AW166+(1-EXP(-LN(2)/2))/(LN(2)/2)*AQ167*AT167*VLOOKUP('Données projet'!$B$10,Paramètres!$A$1:$I$89,3,0)*0.475*44/12</f>
        <v>4.4231770620256709E-15</v>
      </c>
      <c r="AX167" s="21">
        <f t="shared" si="166"/>
        <v>24.162140000575032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102.76553481871144</v>
      </c>
      <c r="BJ167" s="59">
        <f t="shared" si="146"/>
        <v>345.99919346320343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2.7277629060319728</v>
      </c>
      <c r="BQ167" s="21">
        <f>EXP(-LN(2)/25)*BQ166+(1-EXP(-LN(2)/25))/(LN(2)/25)*Calculateur!BL167*Calculateur!BN167*VLOOKUP('Données projet'!$B$11,Paramètres!$A$1:$I$89,3,0)*0.475*44/12</f>
        <v>0.37290964792288389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3.1006725539548565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-6.3550942286383367E-14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410.32666742287449</v>
      </c>
      <c r="T168" s="59">
        <f t="shared" si="142"/>
        <v>494.36941732405256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36.986476255202739</v>
      </c>
      <c r="AA168" s="21">
        <f>EXP(-LN(2)/25)*AA167+(1-EXP(-LN(2)/25))/(LN(2)/25)*Calculateur!V168*Calculateur!X168*VLOOKUP('Données projet'!$B$9,Paramètres!$A$1:$I$89,3,0)*0.475*44/12</f>
        <v>3.1010773393244366</v>
      </c>
      <c r="AB168" s="21">
        <f>EXP(-LN(2)/2)*AB167+(1-EXP(-LN(2)/2))/(LN(2)/2)*V168*Y168*VLOOKUP('Données projet'!$B$9,Paramètres!$A$1:$I$89,3,0)*0.475*44/12</f>
        <v>6.5229295004470914E-15</v>
      </c>
      <c r="AC168" s="22">
        <f t="shared" si="163"/>
        <v>40.087553594527179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-1.7053025658242404E-13</v>
      </c>
      <c r="AJ168" s="13">
        <f>AI168*VLOOKUP('Données projet'!$B$10,Paramètres!$A$1:$I$89,3,0)*VLOOKUP('Données projet'!$B$10,Paramètres!$A$1:$I$89,5,0)</f>
        <v>-1.064108801074326E-13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197.20006068829753</v>
      </c>
      <c r="AO168" s="59">
        <f t="shared" si="144"/>
        <v>256.52014906581638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21.48032309277632</v>
      </c>
      <c r="AV168" s="21">
        <f>EXP(-LN(2)/25)*AV167+(1-EXP(-LN(2)/25))/(LN(2)/25)*Calculateur!AQ168*Calculateur!AS168*VLOOKUP('Données projet'!$B$10,Paramètres!$A$1:$I$89,3,0)*0.475*44/12</f>
        <v>2.1905900073156483</v>
      </c>
      <c r="AW168" s="21">
        <f>EXP(-LN(2)/2)*AW167+(1-EXP(-LN(2)/2))/(LN(2)/2)*AQ168*AT168*VLOOKUP('Données projet'!$B$10,Paramètres!$A$1:$I$89,3,0)*0.475*44/12</f>
        <v>3.1276584949471423E-15</v>
      </c>
      <c r="AX168" s="21">
        <f t="shared" si="166"/>
        <v>23.670913100091973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102.76553481871144</v>
      </c>
      <c r="BJ168" s="59">
        <f t="shared" si="146"/>
        <v>345.99919346320343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2.6742731392157748</v>
      </c>
      <c r="BQ168" s="21">
        <f>EXP(-LN(2)/25)*BQ167+(1-EXP(-LN(2)/25))/(LN(2)/25)*Calculateur!BL168*Calculateur!BN168*VLOOKUP('Données projet'!$B$11,Paramètres!$A$1:$I$89,3,0)*0.475*44/12</f>
        <v>0.36271241398996656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3.0369855532057413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-6.3550942286383367E-14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410.32666742287449</v>
      </c>
      <c r="T169" s="59">
        <f t="shared" si="142"/>
        <v>494.36941732405256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36.261194015361163</v>
      </c>
      <c r="AA169" s="21">
        <f>EXP(-LN(2)/25)*AA168+(1-EXP(-LN(2)/25))/(LN(2)/25)*Calculateur!V169*Calculateur!X169*VLOOKUP('Données projet'!$B$9,Paramètres!$A$1:$I$89,3,0)*0.475*44/12</f>
        <v>3.0162782164020401</v>
      </c>
      <c r="AB169" s="21">
        <f>EXP(-LN(2)/2)*AB168+(1-EXP(-LN(2)/2))/(LN(2)/2)*V169*Y169*VLOOKUP('Données projet'!$B$9,Paramètres!$A$1:$I$89,3,0)*0.475*44/12</f>
        <v>4.6124076829679171E-15</v>
      </c>
      <c r="AC169" s="22">
        <f t="shared" si="163"/>
        <v>39.277472231763213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-1.7053025658242404E-13</v>
      </c>
      <c r="AJ169" s="13">
        <f>AI169*VLOOKUP('Données projet'!$B$10,Paramètres!$A$1:$I$89,3,0)*VLOOKUP('Données projet'!$B$10,Paramètres!$A$1:$I$89,5,0)</f>
        <v>-1.064108801074326E-13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197.20006068829753</v>
      </c>
      <c r="AO169" s="59">
        <f t="shared" si="144"/>
        <v>256.52014906581638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21.059107058630378</v>
      </c>
      <c r="AV169" s="21">
        <f>EXP(-LN(2)/25)*AV168+(1-EXP(-LN(2)/25))/(LN(2)/25)*Calculateur!AQ169*Calculateur!AS169*VLOOKUP('Données projet'!$B$10,Paramètres!$A$1:$I$89,3,0)*0.475*44/12</f>
        <v>2.1306882083674803</v>
      </c>
      <c r="AW169" s="21">
        <f>EXP(-LN(2)/2)*AW168+(1-EXP(-LN(2)/2))/(LN(2)/2)*AQ169*AT169*VLOOKUP('Données projet'!$B$10,Paramètres!$A$1:$I$89,3,0)*0.475*44/12</f>
        <v>2.2115885310128355E-15</v>
      </c>
      <c r="AX169" s="21">
        <f t="shared" si="166"/>
        <v>23.189795266997862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102.76553481871144</v>
      </c>
      <c r="BJ169" s="59">
        <f t="shared" si="146"/>
        <v>345.99919346320343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2.621832274101306</v>
      </c>
      <c r="BQ169" s="21">
        <f>EXP(-LN(2)/25)*BQ168+(1-EXP(-LN(2)/25))/(LN(2)/25)*Calculateur!BL169*Calculateur!BN169*VLOOKUP('Données projet'!$B$11,Paramètres!$A$1:$I$89,3,0)*0.475*44/12</f>
        <v>0.35279402395519405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2.9746262980565001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-6.3550942286383367E-14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410.32666742287449</v>
      </c>
      <c r="T170" s="59">
        <f t="shared" si="142"/>
        <v>494.36941732405256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35.550134117864395</v>
      </c>
      <c r="AA170" s="21">
        <f>EXP(-LN(2)/25)*AA169+(1-EXP(-LN(2)/25))/(LN(2)/25)*Calculateur!V170*Calculateur!X170*VLOOKUP('Données projet'!$B$9,Paramètres!$A$1:$I$89,3,0)*0.475*44/12</f>
        <v>2.9337979299553485</v>
      </c>
      <c r="AB170" s="21">
        <f>EXP(-LN(2)/2)*AB169+(1-EXP(-LN(2)/2))/(LN(2)/2)*V170*Y170*VLOOKUP('Données projet'!$B$9,Paramètres!$A$1:$I$89,3,0)*0.475*44/12</f>
        <v>3.2614647502235457E-15</v>
      </c>
      <c r="AC170" s="22">
        <f t="shared" si="163"/>
        <v>38.483932047819742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-1.7053025658242404E-13</v>
      </c>
      <c r="AJ170" s="13">
        <f>AI170*VLOOKUP('Données projet'!$B$10,Paramètres!$A$1:$I$89,3,0)*VLOOKUP('Données projet'!$B$10,Paramètres!$A$1:$I$89,5,0)</f>
        <v>-1.064108801074326E-13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197.20006068829753</v>
      </c>
      <c r="AO170" s="59">
        <f t="shared" si="144"/>
        <v>256.52014906581638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20.646150813997625</v>
      </c>
      <c r="AV170" s="21">
        <f>EXP(-LN(2)/25)*AV169+(1-EXP(-LN(2)/25))/(LN(2)/25)*Calculateur!AQ170*Calculateur!AS170*VLOOKUP('Données projet'!$B$10,Paramètres!$A$1:$I$89,3,0)*0.475*44/12</f>
        <v>2.0724244272616485</v>
      </c>
      <c r="AW170" s="21">
        <f>EXP(-LN(2)/2)*AW169+(1-EXP(-LN(2)/2))/(LN(2)/2)*AQ170*AT170*VLOOKUP('Données projet'!$B$10,Paramètres!$A$1:$I$89,3,0)*0.475*44/12</f>
        <v>1.5638292474735711E-15</v>
      </c>
      <c r="AX170" s="21">
        <f t="shared" si="166"/>
        <v>22.718575241259273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102.76553481871144</v>
      </c>
      <c r="BJ170" s="59">
        <f t="shared" si="146"/>
        <v>345.99919346320343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2.5704197423659627</v>
      </c>
      <c r="BQ170" s="21">
        <f>EXP(-LN(2)/25)*BQ169+(1-EXP(-LN(2)/25))/(LN(2)/25)*Calculateur!BL170*Calculateur!BN170*VLOOKUP('Données projet'!$B$11,Paramètres!$A$1:$I$89,3,0)*0.475*44/12</f>
        <v>0.34314685281750784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2.9135665951834704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-6.3550942286383367E-14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410.32666742287449</v>
      </c>
      <c r="T171" s="59">
        <f t="shared" si="142"/>
        <v>494.36941732405256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34.853017671253824</v>
      </c>
      <c r="AA171" s="21">
        <f>EXP(-LN(2)/25)*AA170+(1-EXP(-LN(2)/25))/(LN(2)/25)*Calculateur!V171*Calculateur!X171*VLOOKUP('Données projet'!$B$9,Paramètres!$A$1:$I$89,3,0)*0.475*44/12</f>
        <v>2.8535730712789915</v>
      </c>
      <c r="AB171" s="21">
        <f>EXP(-LN(2)/2)*AB170+(1-EXP(-LN(2)/2))/(LN(2)/2)*V171*Y171*VLOOKUP('Données projet'!$B$9,Paramètres!$A$1:$I$89,3,0)*0.475*44/12</f>
        <v>2.3062038414839586E-15</v>
      </c>
      <c r="AC171" s="22">
        <f t="shared" si="163"/>
        <v>37.706590742532818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-1.7053025658242404E-13</v>
      </c>
      <c r="AJ171" s="13">
        <f>AI171*VLOOKUP('Données projet'!$B$10,Paramètres!$A$1:$I$89,3,0)*VLOOKUP('Données projet'!$B$10,Paramètres!$A$1:$I$89,5,0)</f>
        <v>-1.064108801074326E-13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197.20006068829753</v>
      </c>
      <c r="AO171" s="59">
        <f t="shared" si="144"/>
        <v>256.52014906581638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20.241292389443682</v>
      </c>
      <c r="AV171" s="21">
        <f>EXP(-LN(2)/25)*AV170+(1-EXP(-LN(2)/25))/(LN(2)/25)*Calculateur!AQ171*Calculateur!AS171*VLOOKUP('Données projet'!$B$10,Paramètres!$A$1:$I$89,3,0)*0.475*44/12</f>
        <v>2.0157538723141148</v>
      </c>
      <c r="AW171" s="21">
        <f>EXP(-LN(2)/2)*AW170+(1-EXP(-LN(2)/2))/(LN(2)/2)*AQ171*AT171*VLOOKUP('Données projet'!$B$10,Paramètres!$A$1:$I$89,3,0)*0.475*44/12</f>
        <v>1.1057942655064177E-15</v>
      </c>
      <c r="AX171" s="21">
        <f t="shared" si="166"/>
        <v>22.257046261757797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102.76553481871144</v>
      </c>
      <c r="BJ171" s="59">
        <f t="shared" si="146"/>
        <v>345.99919346320343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2.5200153790194015</v>
      </c>
      <c r="BQ171" s="21">
        <f>EXP(-LN(2)/25)*BQ170+(1-EXP(-LN(2)/25))/(LN(2)/25)*Calculateur!BL171*Calculateur!BN171*VLOOKUP('Données projet'!$B$11,Paramètres!$A$1:$I$89,3,0)*0.475*44/12</f>
        <v>0.33376348408190437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2.8537788631013061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-6.3550942286383367E-14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410.32666742287449</v>
      </c>
      <c r="T172" s="59">
        <f t="shared" si="142"/>
        <v>494.36941732405256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34.169571252962236</v>
      </c>
      <c r="AA172" s="21">
        <f>EXP(-LN(2)/25)*AA171+(1-EXP(-LN(2)/25))/(LN(2)/25)*Calculateur!V172*Calculateur!X172*VLOOKUP('Données projet'!$B$9,Paramètres!$A$1:$I$89,3,0)*0.475*44/12</f>
        <v>2.7755419655819815</v>
      </c>
      <c r="AB172" s="21">
        <f>EXP(-LN(2)/2)*AB171+(1-EXP(-LN(2)/2))/(LN(2)/2)*V172*Y172*VLOOKUP('Données projet'!$B$9,Paramètres!$A$1:$I$89,3,0)*0.475*44/12</f>
        <v>1.6307323751117729E-15</v>
      </c>
      <c r="AC172" s="22">
        <f t="shared" si="163"/>
        <v>36.945113218544215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-1.7053025658242404E-13</v>
      </c>
      <c r="AJ172" s="13">
        <f>AI172*VLOOKUP('Données projet'!$B$10,Paramètres!$A$1:$I$89,3,0)*VLOOKUP('Données projet'!$B$10,Paramètres!$A$1:$I$89,5,0)</f>
        <v>-1.064108801074326E-13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197.20006068829753</v>
      </c>
      <c r="AO172" s="59">
        <f t="shared" si="144"/>
        <v>256.52014906581638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19.844372991655987</v>
      </c>
      <c r="AV172" s="21">
        <f>EXP(-LN(2)/25)*AV171+(1-EXP(-LN(2)/25))/(LN(2)/25)*Calculateur!AQ172*Calculateur!AS172*VLOOKUP('Données projet'!$B$10,Paramètres!$A$1:$I$89,3,0)*0.475*44/12</f>
        <v>1.9606329766717963</v>
      </c>
      <c r="AW172" s="21">
        <f>EXP(-LN(2)/2)*AW171+(1-EXP(-LN(2)/2))/(LN(2)/2)*AQ172*AT172*VLOOKUP('Données projet'!$B$10,Paramètres!$A$1:$I$89,3,0)*0.475*44/12</f>
        <v>7.8191462373678557E-16</v>
      </c>
      <c r="AX172" s="21">
        <f t="shared" si="166"/>
        <v>21.805005968327784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102.76553481871144</v>
      </c>
      <c r="BJ172" s="59">
        <f t="shared" si="146"/>
        <v>345.99919346320343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2.4705994144944405</v>
      </c>
      <c r="BQ172" s="21">
        <f>EXP(-LN(2)/25)*BQ171+(1-EXP(-LN(2)/25))/(LN(2)/25)*Calculateur!BL172*Calculateur!BN172*VLOOKUP('Données projet'!$B$11,Paramètres!$A$1:$I$89,3,0)*0.475*44/12</f>
        <v>0.32463670405782591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2.7952361185522663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-6.3550942286383367E-14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410.32666742287449</v>
      </c>
      <c r="T173" s="59">
        <f t="shared" si="142"/>
        <v>494.36941732405256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33.499526802072197</v>
      </c>
      <c r="AA173" s="21">
        <f>EXP(-LN(2)/25)*AA172+(1-EXP(-LN(2)/25))/(LN(2)/25)*Calculateur!V173*Calculateur!X173*VLOOKUP('Données projet'!$B$9,Paramètres!$A$1:$I$89,3,0)*0.475*44/12</f>
        <v>2.6996446245737338</v>
      </c>
      <c r="AB173" s="21">
        <f>EXP(-LN(2)/2)*AB172+(1-EXP(-LN(2)/2))/(LN(2)/2)*V173*Y173*VLOOKUP('Données projet'!$B$9,Paramètres!$A$1:$I$89,3,0)*0.475*44/12</f>
        <v>1.1531019207419793E-15</v>
      </c>
      <c r="AC173" s="22">
        <f t="shared" si="163"/>
        <v>36.199171426645933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-1.7053025658242404E-13</v>
      </c>
      <c r="AJ173" s="13">
        <f>AI173*VLOOKUP('Données projet'!$B$10,Paramètres!$A$1:$I$89,3,0)*VLOOKUP('Données projet'!$B$10,Paramètres!$A$1:$I$89,5,0)</f>
        <v>-1.064108801074326E-13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197.20006068829753</v>
      </c>
      <c r="AO173" s="59">
        <f t="shared" si="144"/>
        <v>256.52014906581638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19.455236941161981</v>
      </c>
      <c r="AV173" s="21">
        <f>EXP(-LN(2)/25)*AV172+(1-EXP(-LN(2)/25))/(LN(2)/25)*Calculateur!AQ173*Calculateur!AS173*VLOOKUP('Données projet'!$B$10,Paramètres!$A$1:$I$89,3,0)*0.475*44/12</f>
        <v>1.9070193648194989</v>
      </c>
      <c r="AW173" s="21">
        <f>EXP(-LN(2)/2)*AW172+(1-EXP(-LN(2)/2))/(LN(2)/2)*AQ173*AT173*VLOOKUP('Données projet'!$B$10,Paramètres!$A$1:$I$89,3,0)*0.475*44/12</f>
        <v>5.5289713275320886E-16</v>
      </c>
      <c r="AX173" s="21">
        <f t="shared" si="166"/>
        <v>21.362256305981479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102.76553481871144</v>
      </c>
      <c r="BJ173" s="59">
        <f t="shared" si="146"/>
        <v>345.99919346320343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2.4221524668930519</v>
      </c>
      <c r="BQ173" s="21">
        <f>EXP(-LN(2)/25)*BQ172+(1-EXP(-LN(2)/25))/(LN(2)/25)*Calculateur!BL173*Calculateur!BN173*VLOOKUP('Données projet'!$B$11,Paramètres!$A$1:$I$89,3,0)*0.475*44/12</f>
        <v>0.31575949631346234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2.7379119632065141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-6.3550942286383367E-14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410.32666742287449</v>
      </c>
      <c r="T174" s="59">
        <f t="shared" si="142"/>
        <v>494.36941732405256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32.842621514177353</v>
      </c>
      <c r="AA174" s="21">
        <f>EXP(-LN(2)/25)*AA173+(1-EXP(-LN(2)/25))/(LN(2)/25)*Calculateur!V174*Calculateur!X174*VLOOKUP('Données projet'!$B$9,Paramètres!$A$1:$I$89,3,0)*0.475*44/12</f>
        <v>2.6258227003466241</v>
      </c>
      <c r="AB174" s="21">
        <f>EXP(-LN(2)/2)*AB173+(1-EXP(-LN(2)/2))/(LN(2)/2)*V174*Y174*VLOOKUP('Données projet'!$B$9,Paramètres!$A$1:$I$89,3,0)*0.475*44/12</f>
        <v>8.1536618755588643E-16</v>
      </c>
      <c r="AC174" s="22">
        <f t="shared" si="163"/>
        <v>35.468444214523977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-1.7053025658242404E-13</v>
      </c>
      <c r="AJ174" s="13">
        <f>AI174*VLOOKUP('Données projet'!$B$10,Paramètres!$A$1:$I$89,3,0)*VLOOKUP('Données projet'!$B$10,Paramètres!$A$1:$I$89,5,0)</f>
        <v>-1.064108801074326E-13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197.20006068829753</v>
      </c>
      <c r="AO174" s="59">
        <f t="shared" si="144"/>
        <v>256.52014906581638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19.073731611268606</v>
      </c>
      <c r="AV174" s="21">
        <f>EXP(-LN(2)/25)*AV173+(1-EXP(-LN(2)/25))/(LN(2)/25)*Calculateur!AQ174*Calculateur!AS174*VLOOKUP('Données projet'!$B$10,Paramètres!$A$1:$I$89,3,0)*0.475*44/12</f>
        <v>1.8548718200027199</v>
      </c>
      <c r="AW174" s="21">
        <f>EXP(-LN(2)/2)*AW173+(1-EXP(-LN(2)/2))/(LN(2)/2)*AQ174*AT174*VLOOKUP('Données projet'!$B$10,Paramètres!$A$1:$I$89,3,0)*0.475*44/12</f>
        <v>3.9095731186839278E-16</v>
      </c>
      <c r="AX174" s="21">
        <f t="shared" si="166"/>
        <v>20.928603431271327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102.76553481871144</v>
      </c>
      <c r="BJ174" s="59">
        <f t="shared" si="146"/>
        <v>345.99919346320343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2.3746555343844062</v>
      </c>
      <c r="BQ174" s="21">
        <f>EXP(-LN(2)/25)*BQ173+(1-EXP(-LN(2)/25))/(LN(2)/25)*Calculateur!BL174*Calculateur!BN174*VLOOKUP('Données projet'!$B$11,Paramètres!$A$1:$I$89,3,0)*0.475*44/12</f>
        <v>0.30712503628170046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2.6817805706661066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-6.3550942286383367E-14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410.32666742287449</v>
      </c>
      <c r="T175" s="59">
        <f t="shared" si="142"/>
        <v>494.36941732405256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32.198597738305459</v>
      </c>
      <c r="AA175" s="21">
        <f>EXP(-LN(2)/25)*AA174+(1-EXP(-LN(2)/25))/(LN(2)/25)*Calculateur!V175*Calculateur!X175*VLOOKUP('Données projet'!$B$9,Paramètres!$A$1:$I$89,3,0)*0.475*44/12</f>
        <v>2.5540194405196313</v>
      </c>
      <c r="AB175" s="21">
        <f>EXP(-LN(2)/2)*AB174+(1-EXP(-LN(2)/2))/(LN(2)/2)*V175*Y175*VLOOKUP('Données projet'!$B$9,Paramètres!$A$1:$I$89,3,0)*0.475*44/12</f>
        <v>5.7655096037098964E-16</v>
      </c>
      <c r="AC175" s="22">
        <f t="shared" si="163"/>
        <v>34.752617178825091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-1.7053025658242404E-13</v>
      </c>
      <c r="AJ175" s="13">
        <f>AI175*VLOOKUP('Données projet'!$B$10,Paramètres!$A$1:$I$89,3,0)*VLOOKUP('Données projet'!$B$10,Paramètres!$A$1:$I$89,5,0)</f>
        <v>-1.064108801074326E-13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197.20006068829753</v>
      </c>
      <c r="AO175" s="59">
        <f t="shared" si="144"/>
        <v>256.52014906581638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18.699707368199167</v>
      </c>
      <c r="AV175" s="21">
        <f>EXP(-LN(2)/25)*AV174+(1-EXP(-LN(2)/25))/(LN(2)/25)*Calculateur!AQ175*Calculateur!AS175*VLOOKUP('Données projet'!$B$10,Paramètres!$A$1:$I$89,3,0)*0.475*44/12</f>
        <v>1.8041502525412758</v>
      </c>
      <c r="AW175" s="21">
        <f>EXP(-LN(2)/2)*AW174+(1-EXP(-LN(2)/2))/(LN(2)/2)*AQ175*AT175*VLOOKUP('Données projet'!$B$10,Paramètres!$A$1:$I$89,3,0)*0.475*44/12</f>
        <v>2.7644856637660443E-16</v>
      </c>
      <c r="AX175" s="21">
        <f t="shared" si="166"/>
        <v>20.503857620740444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102.76553481871144</v>
      </c>
      <c r="BJ175" s="59">
        <f t="shared" si="146"/>
        <v>345.99919346320343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2.3280899877519867</v>
      </c>
      <c r="BQ175" s="21">
        <f>EXP(-LN(2)/25)*BQ174+(1-EXP(-LN(2)/25))/(LN(2)/25)*Calculateur!BL175*Calculateur!BN175*VLOOKUP('Données projet'!$B$11,Paramètres!$A$1:$I$89,3,0)*0.475*44/12</f>
        <v>0.29872668601357366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2.6268166737655605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-6.3550942286383367E-14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410.32666742287449</v>
      </c>
      <c r="T176" s="59">
        <f t="shared" si="142"/>
        <v>494.36941732405256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31.567202875862698</v>
      </c>
      <c r="AA176" s="21">
        <f>EXP(-LN(2)/25)*AA175+(1-EXP(-LN(2)/25))/(LN(2)/25)*Calculateur!V176*Calculateur!X176*VLOOKUP('Données projet'!$B$9,Paramètres!$A$1:$I$89,3,0)*0.475*44/12</f>
        <v>2.4841796446085769</v>
      </c>
      <c r="AB176" s="21">
        <f>EXP(-LN(2)/2)*AB175+(1-EXP(-LN(2)/2))/(LN(2)/2)*V176*Y176*VLOOKUP('Données projet'!$B$9,Paramètres!$A$1:$I$89,3,0)*0.475*44/12</f>
        <v>4.0768309377794321E-16</v>
      </c>
      <c r="AC176" s="22">
        <f t="shared" si="163"/>
        <v>34.051382520471272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-1.7053025658242404E-13</v>
      </c>
      <c r="AJ176" s="13">
        <f>AI176*VLOOKUP('Données projet'!$B$10,Paramètres!$A$1:$I$89,3,0)*VLOOKUP('Données projet'!$B$10,Paramètres!$A$1:$I$89,5,0)</f>
        <v>-1.064108801074326E-13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197.20006068829753</v>
      </c>
      <c r="AO176" s="59">
        <f t="shared" si="144"/>
        <v>256.52014906581638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18.333017512404059</v>
      </c>
      <c r="AV176" s="21">
        <f>EXP(-LN(2)/25)*AV175+(1-EXP(-LN(2)/25))/(LN(2)/25)*Calculateur!AQ176*Calculateur!AS176*VLOOKUP('Données projet'!$B$10,Paramètres!$A$1:$I$89,3,0)*0.475*44/12</f>
        <v>1.7548156690093963</v>
      </c>
      <c r="AW176" s="21">
        <f>EXP(-LN(2)/2)*AW175+(1-EXP(-LN(2)/2))/(LN(2)/2)*AQ176*AT176*VLOOKUP('Données projet'!$B$10,Paramètres!$A$1:$I$89,3,0)*0.475*44/12</f>
        <v>1.9547865593419639E-16</v>
      </c>
      <c r="AX176" s="21">
        <f t="shared" si="166"/>
        <v>20.087833181413455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102.76553481871144</v>
      </c>
      <c r="BJ176" s="59">
        <f t="shared" si="146"/>
        <v>345.99919346320343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2.2824375630868499</v>
      </c>
      <c r="BQ176" s="21">
        <f>EXP(-LN(2)/25)*BQ175+(1-EXP(-LN(2)/25))/(LN(2)/25)*Calculateur!BL176*Calculateur!BN176*VLOOKUP('Données projet'!$B$11,Paramètres!$A$1:$I$89,3,0)*0.475*44/12</f>
        <v>0.29055798907517882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2.5729955521620287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-6.3550942286383367E-14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410.32666742287449</v>
      </c>
      <c r="T177" s="59">
        <f t="shared" si="142"/>
        <v>494.36941732405256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30.9481892815596</v>
      </c>
      <c r="AA177" s="21">
        <f>EXP(-LN(2)/25)*AA176+(1-EXP(-LN(2)/25))/(LN(2)/25)*Calculateur!V177*Calculateur!X177*VLOOKUP('Données projet'!$B$9,Paramètres!$A$1:$I$89,3,0)*0.475*44/12</f>
        <v>2.4162496215894254</v>
      </c>
      <c r="AB177" s="21">
        <f>EXP(-LN(2)/2)*AB176+(1-EXP(-LN(2)/2))/(LN(2)/2)*V177*Y177*VLOOKUP('Données projet'!$B$9,Paramètres!$A$1:$I$89,3,0)*0.475*44/12</f>
        <v>2.8827548018549482E-16</v>
      </c>
      <c r="AC177" s="22">
        <f t="shared" si="163"/>
        <v>33.364438903149022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-1.7053025658242404E-13</v>
      </c>
      <c r="AJ177" s="13">
        <f>AI177*VLOOKUP('Données projet'!$B$10,Paramètres!$A$1:$I$89,3,0)*VLOOKUP('Données projet'!$B$10,Paramètres!$A$1:$I$89,5,0)</f>
        <v>-1.064108801074326E-13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197.20006068829753</v>
      </c>
      <c r="AO177" s="59">
        <f t="shared" si="144"/>
        <v>256.52014906581638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17.973518221022363</v>
      </c>
      <c r="AV177" s="21">
        <f>EXP(-LN(2)/25)*AV176+(1-EXP(-LN(2)/25))/(LN(2)/25)*Calculateur!AQ177*Calculateur!AS177*VLOOKUP('Données projet'!$B$10,Paramètres!$A$1:$I$89,3,0)*0.475*44/12</f>
        <v>1.706830142258589</v>
      </c>
      <c r="AW177" s="21">
        <f>EXP(-LN(2)/2)*AW176+(1-EXP(-LN(2)/2))/(LN(2)/2)*AQ177*AT177*VLOOKUP('Données projet'!$B$10,Paramètres!$A$1:$I$89,3,0)*0.475*44/12</f>
        <v>1.3822428318830222E-16</v>
      </c>
      <c r="AX177" s="21">
        <f t="shared" si="166"/>
        <v>19.680348363280952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102.76553481871144</v>
      </c>
      <c r="BJ177" s="59">
        <f t="shared" si="146"/>
        <v>345.99919346320343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2.237680354624167</v>
      </c>
      <c r="BQ177" s="21">
        <f>EXP(-LN(2)/25)*BQ176+(1-EXP(-LN(2)/25))/(LN(2)/25)*Calculateur!BL177*Calculateur!BN177*VLOOKUP('Données projet'!$B$11,Paramètres!$A$1:$I$89,3,0)*0.475*44/12</f>
        <v>0.2826126655841375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2.5202930202083045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-6.3550942286383367E-14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410.32666742287449</v>
      </c>
      <c r="T178" s="59">
        <f t="shared" si="142"/>
        <v>494.36941732405256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30.341314166279776</v>
      </c>
      <c r="AA178" s="21">
        <f>EXP(-LN(2)/25)*AA177+(1-EXP(-LN(2)/25))/(LN(2)/25)*Calculateur!V178*Calculateur!X178*VLOOKUP('Données projet'!$B$9,Paramètres!$A$1:$I$89,3,0)*0.475*44/12</f>
        <v>2.3501771486220173</v>
      </c>
      <c r="AB178" s="21">
        <f>EXP(-LN(2)/2)*AB177+(1-EXP(-LN(2)/2))/(LN(2)/2)*V178*Y178*VLOOKUP('Données projet'!$B$9,Paramètres!$A$1:$I$89,3,0)*0.475*44/12</f>
        <v>2.0384154688897161E-16</v>
      </c>
      <c r="AC178" s="22">
        <f t="shared" si="163"/>
        <v>32.691491314901796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-1.7053025658242404E-13</v>
      </c>
      <c r="AJ178" s="13">
        <f>AI178*VLOOKUP('Données projet'!$B$10,Paramètres!$A$1:$I$89,3,0)*VLOOKUP('Données projet'!$B$10,Paramètres!$A$1:$I$89,5,0)</f>
        <v>-1.064108801074326E-13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197.20006068829753</v>
      </c>
      <c r="AO178" s="59">
        <f t="shared" si="144"/>
        <v>256.52014906581638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17.621068491471746</v>
      </c>
      <c r="AV178" s="21">
        <f>EXP(-LN(2)/25)*AV177+(1-EXP(-LN(2)/25))/(LN(2)/25)*Calculateur!AQ178*Calculateur!AS178*VLOOKUP('Données projet'!$B$10,Paramètres!$A$1:$I$89,3,0)*0.475*44/12</f>
        <v>1.6601567822602317</v>
      </c>
      <c r="AW178" s="21">
        <f>EXP(-LN(2)/2)*AW177+(1-EXP(-LN(2)/2))/(LN(2)/2)*AQ178*AT178*VLOOKUP('Données projet'!$B$10,Paramètres!$A$1:$I$89,3,0)*0.475*44/12</f>
        <v>9.7739327967098196E-17</v>
      </c>
      <c r="AX178" s="21">
        <f t="shared" si="166"/>
        <v>19.281225273731977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102.76553481871144</v>
      </c>
      <c r="BJ178" s="59">
        <f t="shared" si="146"/>
        <v>345.99919346320343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2.1938008077202356</v>
      </c>
      <c r="BQ178" s="21">
        <f>EXP(-LN(2)/25)*BQ177+(1-EXP(-LN(2)/25))/(LN(2)/25)*Calculateur!BL178*Calculateur!BN178*VLOOKUP('Données projet'!$B$11,Paramètres!$A$1:$I$89,3,0)*0.475*44/12</f>
        <v>0.27488460738178511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2.4686854151020206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-6.3550942286383367E-14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410.32666742287449</v>
      </c>
      <c r="T179" s="59">
        <f t="shared" si="142"/>
        <v>494.36941732405256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29.746339501853317</v>
      </c>
      <c r="AA179" s="21">
        <f>EXP(-LN(2)/25)*AA178+(1-EXP(-LN(2)/25))/(LN(2)/25)*Calculateur!V179*Calculateur!X179*VLOOKUP('Données projet'!$B$9,Paramètres!$A$1:$I$89,3,0)*0.475*44/12</f>
        <v>2.2859114309025035</v>
      </c>
      <c r="AB179" s="21">
        <f>EXP(-LN(2)/2)*AB178+(1-EXP(-LN(2)/2))/(LN(2)/2)*V179*Y179*VLOOKUP('Données projet'!$B$9,Paramètres!$A$1:$I$89,3,0)*0.475*44/12</f>
        <v>1.4413774009274741E-16</v>
      </c>
      <c r="AC179" s="22">
        <f t="shared" si="163"/>
        <v>32.032250932755822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-1.7053025658242404E-13</v>
      </c>
      <c r="AJ179" s="13">
        <f>AI179*VLOOKUP('Données projet'!$B$10,Paramètres!$A$1:$I$89,3,0)*VLOOKUP('Données projet'!$B$10,Paramètres!$A$1:$I$89,5,0)</f>
        <v>-1.064108801074326E-13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197.20006068829753</v>
      </c>
      <c r="AO179" s="59">
        <f t="shared" si="144"/>
        <v>256.52014906581638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17.27553008614451</v>
      </c>
      <c r="AV179" s="21">
        <f>EXP(-LN(2)/25)*AV178+(1-EXP(-LN(2)/25))/(LN(2)/25)*Calculateur!AQ179*Calculateur!AS179*VLOOKUP('Données projet'!$B$10,Paramètres!$A$1:$I$89,3,0)*0.475*44/12</f>
        <v>1.6147597077454747</v>
      </c>
      <c r="AW179" s="21">
        <f>EXP(-LN(2)/2)*AW178+(1-EXP(-LN(2)/2))/(LN(2)/2)*AQ179*AT179*VLOOKUP('Données projet'!$B$10,Paramètres!$A$1:$I$89,3,0)*0.475*44/12</f>
        <v>6.9112141594151108E-17</v>
      </c>
      <c r="AX179" s="21">
        <f t="shared" si="166"/>
        <v>18.890289793889984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102.76553481871144</v>
      </c>
      <c r="BJ179" s="59">
        <f t="shared" si="146"/>
        <v>345.99919346320343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2.1507817119672095</v>
      </c>
      <c r="BQ179" s="21">
        <f>EXP(-LN(2)/25)*BQ178+(1-EXP(-LN(2)/25))/(LN(2)/25)*Calculateur!BL179*Calculateur!BN179*VLOOKUP('Données projet'!$B$11,Paramètres!$A$1:$I$89,3,0)*0.475*44/12</f>
        <v>0.26736787333737694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2.4181495853045862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-6.3550942286383367E-14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410.32666742287449</v>
      </c>
      <c r="T180" s="59">
        <f t="shared" si="142"/>
        <v>494.36941732405256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29.163031927697549</v>
      </c>
      <c r="AA180" s="21">
        <f>EXP(-LN(2)/25)*AA179+(1-EXP(-LN(2)/25))/(LN(2)/25)*Calculateur!V180*Calculateur!X180*VLOOKUP('Données projet'!$B$9,Paramètres!$A$1:$I$89,3,0)*0.475*44/12</f>
        <v>2.2234030626136168</v>
      </c>
      <c r="AB180" s="21">
        <f>EXP(-LN(2)/2)*AB179+(1-EXP(-LN(2)/2))/(LN(2)/2)*V180*Y180*VLOOKUP('Données projet'!$B$9,Paramètres!$A$1:$I$89,3,0)*0.475*44/12</f>
        <v>1.019207734444858E-16</v>
      </c>
      <c r="AC180" s="22">
        <f t="shared" si="163"/>
        <v>31.386434990311166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-1.7053025658242404E-13</v>
      </c>
      <c r="AJ180" s="13">
        <f>AI180*VLOOKUP('Données projet'!$B$10,Paramètres!$A$1:$I$89,3,0)*VLOOKUP('Données projet'!$B$10,Paramètres!$A$1:$I$89,5,0)</f>
        <v>-1.064108801074326E-13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197.20006068829753</v>
      </c>
      <c r="AO180" s="59">
        <f t="shared" si="144"/>
        <v>256.52014906581638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16.936767478188123</v>
      </c>
      <c r="AV180" s="21">
        <f>EXP(-LN(2)/25)*AV179+(1-EXP(-LN(2)/25))/(LN(2)/25)*Calculateur!AQ180*Calculateur!AS180*VLOOKUP('Données projet'!$B$10,Paramètres!$A$1:$I$89,3,0)*0.475*44/12</f>
        <v>1.5706040186206522</v>
      </c>
      <c r="AW180" s="21">
        <f>EXP(-LN(2)/2)*AW179+(1-EXP(-LN(2)/2))/(LN(2)/2)*AQ180*AT180*VLOOKUP('Données projet'!$B$10,Paramètres!$A$1:$I$89,3,0)*0.475*44/12</f>
        <v>4.8869663983549098E-17</v>
      </c>
      <c r="AX180" s="21">
        <f t="shared" si="166"/>
        <v>18.507371496808776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102.76553481871144</v>
      </c>
      <c r="BJ180" s="59">
        <f t="shared" si="146"/>
        <v>345.99919346320343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2.1086061944428427</v>
      </c>
      <c r="BQ180" s="21">
        <f>EXP(-LN(2)/25)*BQ179+(1-EXP(-LN(2)/25))/(LN(2)/25)*Calculateur!BL180*Calculateur!BN180*VLOOKUP('Données projet'!$B$11,Paramètres!$A$1:$I$89,3,0)*0.475*44/12</f>
        <v>0.26005668478070099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2.3686628792235438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-6.3550942286383367E-14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410.32666742287449</v>
      </c>
      <c r="T181" s="59">
        <f t="shared" si="142"/>
        <v>494.36941732405256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28.591162659288486</v>
      </c>
      <c r="AA181" s="21">
        <f>EXP(-LN(2)/25)*AA180+(1-EXP(-LN(2)/25))/(LN(2)/25)*Calculateur!V181*Calculateur!X181*VLOOKUP('Données projet'!$B$9,Paramètres!$A$1:$I$89,3,0)*0.475*44/12</f>
        <v>2.1626039889427622</v>
      </c>
      <c r="AB181" s="21">
        <f>EXP(-LN(2)/2)*AB180+(1-EXP(-LN(2)/2))/(LN(2)/2)*V181*Y181*VLOOKUP('Données projet'!$B$9,Paramètres!$A$1:$I$89,3,0)*0.475*44/12</f>
        <v>7.2068870046373705E-17</v>
      </c>
      <c r="AC181" s="22">
        <f t="shared" si="163"/>
        <v>30.753766648231249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-1.7053025658242404E-13</v>
      </c>
      <c r="AJ181" s="13">
        <f>AI181*VLOOKUP('Données projet'!$B$10,Paramètres!$A$1:$I$89,3,0)*VLOOKUP('Données projet'!$B$10,Paramètres!$A$1:$I$89,5,0)</f>
        <v>-1.064108801074326E-13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197.20006068829753</v>
      </c>
      <c r="AO181" s="59">
        <f t="shared" si="144"/>
        <v>256.52014906581638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16.604647798348974</v>
      </c>
      <c r="AV181" s="21">
        <f>EXP(-LN(2)/25)*AV180+(1-EXP(-LN(2)/25))/(LN(2)/25)*Calculateur!AQ181*Calculateur!AS181*VLOOKUP('Données projet'!$B$10,Paramètres!$A$1:$I$89,3,0)*0.475*44/12</f>
        <v>1.5276557691369947</v>
      </c>
      <c r="AW181" s="21">
        <f>EXP(-LN(2)/2)*AW180+(1-EXP(-LN(2)/2))/(LN(2)/2)*AQ181*AT181*VLOOKUP('Données projet'!$B$10,Paramètres!$A$1:$I$89,3,0)*0.475*44/12</f>
        <v>3.4556070797075554E-17</v>
      </c>
      <c r="AX181" s="21">
        <f t="shared" si="166"/>
        <v>18.13230356748597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102.76553481871144</v>
      </c>
      <c r="BJ181" s="59">
        <f t="shared" si="146"/>
        <v>345.99919346320343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2.0672577130926029</v>
      </c>
      <c r="BQ181" s="21">
        <f>EXP(-LN(2)/25)*BQ180+(1-EXP(-LN(2)/25))/(LN(2)/25)*Calculateur!BL181*Calculateur!BN181*VLOOKUP('Données projet'!$B$11,Paramètres!$A$1:$I$89,3,0)*0.475*44/12</f>
        <v>0.25294542105958601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2.3202031341521887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-6.3550942286383367E-14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410.32666742287449</v>
      </c>
      <c r="T182" s="59">
        <f t="shared" si="142"/>
        <v>494.36941732405256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28.030507398427115</v>
      </c>
      <c r="AA182" s="21">
        <f>EXP(-LN(2)/25)*AA181+(1-EXP(-LN(2)/25))/(LN(2)/25)*Calculateur!V182*Calculateur!X182*VLOOKUP('Données projet'!$B$9,Paramètres!$A$1:$I$89,3,0)*0.475*44/12</f>
        <v>2.1034674691387214</v>
      </c>
      <c r="AB182" s="21">
        <f>EXP(-LN(2)/2)*AB181+(1-EXP(-LN(2)/2))/(LN(2)/2)*V182*Y182*VLOOKUP('Données projet'!$B$9,Paramètres!$A$1:$I$89,3,0)*0.475*44/12</f>
        <v>5.0960386722242902E-17</v>
      </c>
      <c r="AC182" s="22">
        <f t="shared" si="163"/>
        <v>30.133974867565836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-1.7053025658242404E-13</v>
      </c>
      <c r="AJ182" s="13">
        <f>AI182*VLOOKUP('Données projet'!$B$10,Paramètres!$A$1:$I$89,3,0)*VLOOKUP('Données projet'!$B$10,Paramètres!$A$1:$I$89,5,0)</f>
        <v>-1.064108801074326E-13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197.20006068829753</v>
      </c>
      <c r="AO182" s="59">
        <f t="shared" si="144"/>
        <v>256.52014906581638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16.279040782858466</v>
      </c>
      <c r="AV182" s="21">
        <f>EXP(-LN(2)/25)*AV181+(1-EXP(-LN(2)/25))/(LN(2)/25)*Calculateur!AQ182*Calculateur!AS182*VLOOKUP('Données projet'!$B$10,Paramètres!$A$1:$I$89,3,0)*0.475*44/12</f>
        <v>1.4858819417940183</v>
      </c>
      <c r="AW182" s="21">
        <f>EXP(-LN(2)/2)*AW181+(1-EXP(-LN(2)/2))/(LN(2)/2)*AQ182*AT182*VLOOKUP('Données projet'!$B$10,Paramètres!$A$1:$I$89,3,0)*0.475*44/12</f>
        <v>2.4434831991774549E-17</v>
      </c>
      <c r="AX182" s="21">
        <f t="shared" si="166"/>
        <v>17.764922724652486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102.76553481871144</v>
      </c>
      <c r="BJ182" s="59">
        <f t="shared" si="146"/>
        <v>345.99919346320343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2.0267200502415581</v>
      </c>
      <c r="BQ182" s="21">
        <f>EXP(-LN(2)/25)*BQ181+(1-EXP(-LN(2)/25))/(LN(2)/25)*Calculateur!BL182*Calculateur!BN182*VLOOKUP('Données projet'!$B$11,Paramètres!$A$1:$I$89,3,0)*0.475*44/12</f>
        <v>0.24602861521889005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2.2727486654604481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-6.3550942286383367E-14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410.32666742287449</v>
      </c>
      <c r="T183" s="59">
        <f t="shared" si="142"/>
        <v>494.36941732405256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27.48084624526529</v>
      </c>
      <c r="AA183" s="21">
        <f>EXP(-LN(2)/25)*AA182+(1-EXP(-LN(2)/25))/(LN(2)/25)*Calculateur!V183*Calculateur!X183*VLOOKUP('Données projet'!$B$9,Paramètres!$A$1:$I$89,3,0)*0.475*44/12</f>
        <v>2.0459480405785766</v>
      </c>
      <c r="AB183" s="21">
        <f>EXP(-LN(2)/2)*AB182+(1-EXP(-LN(2)/2))/(LN(2)/2)*V183*Y183*VLOOKUP('Données projet'!$B$9,Paramètres!$A$1:$I$89,3,0)*0.475*44/12</f>
        <v>3.6034435023186853E-17</v>
      </c>
      <c r="AC183" s="22">
        <f t="shared" si="163"/>
        <v>29.526794285843867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-1.7053025658242404E-13</v>
      </c>
      <c r="AJ183" s="13">
        <f>AI183*VLOOKUP('Données projet'!$B$10,Paramètres!$A$1:$I$89,3,0)*VLOOKUP('Données projet'!$B$10,Paramètres!$A$1:$I$89,5,0)</f>
        <v>-1.064108801074326E-13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197.20006068829753</v>
      </c>
      <c r="AO183" s="59">
        <f t="shared" si="144"/>
        <v>256.52014906581638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15.959818722341058</v>
      </c>
      <c r="AV183" s="21">
        <f>EXP(-LN(2)/25)*AV182+(1-EXP(-LN(2)/25))/(LN(2)/25)*Calculateur!AQ183*Calculateur!AS183*VLOOKUP('Données projet'!$B$10,Paramètres!$A$1:$I$89,3,0)*0.475*44/12</f>
        <v>1.4452504219565256</v>
      </c>
      <c r="AW183" s="21">
        <f>EXP(-LN(2)/2)*AW182+(1-EXP(-LN(2)/2))/(LN(2)/2)*AQ183*AT183*VLOOKUP('Données projet'!$B$10,Paramètres!$A$1:$I$89,3,0)*0.475*44/12</f>
        <v>1.7278035398537777E-17</v>
      </c>
      <c r="AX183" s="21">
        <f t="shared" si="166"/>
        <v>17.405069144297585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102.76553481871144</v>
      </c>
      <c r="BJ183" s="59">
        <f t="shared" si="146"/>
        <v>345.99919346320343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1.9869773062334894</v>
      </c>
      <c r="BQ183" s="21">
        <f>EXP(-LN(2)/25)*BQ182+(1-EXP(-LN(2)/25))/(LN(2)/25)*Calculateur!BL183*Calculateur!BN183*VLOOKUP('Données projet'!$B$11,Paramètres!$A$1:$I$89,3,0)*0.475*44/12</f>
        <v>0.23930094979764693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2.2262782560311365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-6.3550942286383367E-14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410.32666742287449</v>
      </c>
      <c r="T184" s="59">
        <f t="shared" si="142"/>
        <v>494.36941732405256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26.941963612056771</v>
      </c>
      <c r="AA184" s="21">
        <f>EXP(-LN(2)/25)*AA183+(1-EXP(-LN(2)/25))/(LN(2)/25)*Calculateur!V184*Calculateur!X184*VLOOKUP('Données projet'!$B$9,Paramètres!$A$1:$I$89,3,0)*0.475*44/12</f>
        <v>1.990001483817224</v>
      </c>
      <c r="AB184" s="21">
        <f>EXP(-LN(2)/2)*AB183+(1-EXP(-LN(2)/2))/(LN(2)/2)*V184*Y184*VLOOKUP('Données projet'!$B$9,Paramètres!$A$1:$I$89,3,0)*0.475*44/12</f>
        <v>2.5480193361121451E-17</v>
      </c>
      <c r="AC184" s="22">
        <f t="shared" si="163"/>
        <v>28.931965095873995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-1.7053025658242404E-13</v>
      </c>
      <c r="AJ184" s="13">
        <f>AI184*VLOOKUP('Données projet'!$B$10,Paramètres!$A$1:$I$89,3,0)*VLOOKUP('Données projet'!$B$10,Paramètres!$A$1:$I$89,5,0)</f>
        <v>-1.064108801074326E-13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197.20006068829753</v>
      </c>
      <c r="AO184" s="59">
        <f t="shared" si="144"/>
        <v>256.52014906581638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15.646856411724166</v>
      </c>
      <c r="AV184" s="21">
        <f>EXP(-LN(2)/25)*AV183+(1-EXP(-LN(2)/25))/(LN(2)/25)*Calculateur!AQ184*Calculateur!AS184*VLOOKUP('Données projet'!$B$10,Paramètres!$A$1:$I$89,3,0)*0.475*44/12</f>
        <v>1.405729973165708</v>
      </c>
      <c r="AW184" s="21">
        <f>EXP(-LN(2)/2)*AW183+(1-EXP(-LN(2)/2))/(LN(2)/2)*AQ184*AT184*VLOOKUP('Données projet'!$B$10,Paramètres!$A$1:$I$89,3,0)*0.475*44/12</f>
        <v>1.2217415995887275E-17</v>
      </c>
      <c r="AX184" s="21">
        <f t="shared" si="166"/>
        <v>17.052586384889874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102.76553481871144</v>
      </c>
      <c r="BJ184" s="59">
        <f t="shared" si="146"/>
        <v>345.99919346320343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1.9480138931947388</v>
      </c>
      <c r="BQ184" s="21">
        <f>EXP(-LN(2)/25)*BQ183+(1-EXP(-LN(2)/25))/(LN(2)/25)*Calculateur!BL184*Calculateur!BN184*VLOOKUP('Données projet'!$B$11,Paramètres!$A$1:$I$89,3,0)*0.475*44/12</f>
        <v>0.23275725274114026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2.180771145935879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-6.3550942286383367E-14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410.32666742287449</v>
      </c>
      <c r="T185" s="59">
        <f t="shared" si="142"/>
        <v>494.36941732405256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26.41364813859952</v>
      </c>
      <c r="AA185" s="21">
        <f>EXP(-LN(2)/25)*AA184+(1-EXP(-LN(2)/25))/(LN(2)/25)*Calculateur!V185*Calculateur!X185*VLOOKUP('Données projet'!$B$9,Paramètres!$A$1:$I$89,3,0)*0.475*44/12</f>
        <v>1.9355847885926121</v>
      </c>
      <c r="AB185" s="21">
        <f>EXP(-LN(2)/2)*AB184+(1-EXP(-LN(2)/2))/(LN(2)/2)*V185*Y185*VLOOKUP('Données projet'!$B$9,Paramètres!$A$1:$I$89,3,0)*0.475*44/12</f>
        <v>1.8017217511593426E-17</v>
      </c>
      <c r="AC185" s="22">
        <f t="shared" si="163"/>
        <v>28.349232927192134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-1.7053025658242404E-13</v>
      </c>
      <c r="AJ185" s="13">
        <f>AI185*VLOOKUP('Données projet'!$B$10,Paramètres!$A$1:$I$89,3,0)*VLOOKUP('Données projet'!$B$10,Paramètres!$A$1:$I$89,5,0)</f>
        <v>-1.064108801074326E-13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197.20006068829753</v>
      </c>
      <c r="AO185" s="59">
        <f t="shared" si="144"/>
        <v>256.52014906581638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15.340031101130309</v>
      </c>
      <c r="AV185" s="21">
        <f>EXP(-LN(2)/25)*AV184+(1-EXP(-LN(2)/25))/(LN(2)/25)*Calculateur!AQ185*Calculateur!AS185*VLOOKUP('Données projet'!$B$10,Paramètres!$A$1:$I$89,3,0)*0.475*44/12</f>
        <v>1.3672902131253653</v>
      </c>
      <c r="AW185" s="21">
        <f>EXP(-LN(2)/2)*AW184+(1-EXP(-LN(2)/2))/(LN(2)/2)*AQ185*AT185*VLOOKUP('Données projet'!$B$10,Paramètres!$A$1:$I$89,3,0)*0.475*44/12</f>
        <v>8.6390176992688885E-18</v>
      </c>
      <c r="AX185" s="21">
        <f t="shared" si="166"/>
        <v>16.707321314255676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102.76553481871144</v>
      </c>
      <c r="BJ185" s="59">
        <f t="shared" si="146"/>
        <v>345.99919346320343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1.9098145289203428</v>
      </c>
      <c r="BQ185" s="21">
        <f>EXP(-LN(2)/25)*BQ184+(1-EXP(-LN(2)/25))/(LN(2)/25)*Calculateur!BL185*Calculateur!BN185*VLOOKUP('Données projet'!$B$11,Paramètres!$A$1:$I$89,3,0)*0.475*44/12</f>
        <v>0.22639249342476184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2.1362070223451046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-6.3550942286383367E-14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410.32666742287449</v>
      </c>
      <c r="T186" s="59">
        <f t="shared" si="142"/>
        <v>494.36941732405256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25.895692609336145</v>
      </c>
      <c r="AA186" s="21">
        <f>EXP(-LN(2)/25)*AA185+(1-EXP(-LN(2)/25))/(LN(2)/25)*Calculateur!V186*Calculateur!X186*VLOOKUP('Données projet'!$B$9,Paramètres!$A$1:$I$89,3,0)*0.475*44/12</f>
        <v>1.882656120760567</v>
      </c>
      <c r="AB186" s="21">
        <f>EXP(-LN(2)/2)*AB185+(1-EXP(-LN(2)/2))/(LN(2)/2)*V186*Y186*VLOOKUP('Données projet'!$B$9,Paramètres!$A$1:$I$89,3,0)*0.475*44/12</f>
        <v>1.2740096680560725E-17</v>
      </c>
      <c r="AC186" s="22">
        <f t="shared" si="163"/>
        <v>27.778348730096713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-1.7053025658242404E-13</v>
      </c>
      <c r="AJ186" s="13">
        <f>AI186*VLOOKUP('Données projet'!$B$10,Paramètres!$A$1:$I$89,3,0)*VLOOKUP('Données projet'!$B$10,Paramètres!$A$1:$I$89,5,0)</f>
        <v>-1.064108801074326E-13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197.20006068829753</v>
      </c>
      <c r="AO186" s="59">
        <f t="shared" si="144"/>
        <v>256.52014906581638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15.039222447732238</v>
      </c>
      <c r="AV186" s="21">
        <f>EXP(-LN(2)/25)*AV185+(1-EXP(-LN(2)/25))/(LN(2)/25)*Calculateur!AQ186*Calculateur!AS186*VLOOKUP('Données projet'!$B$10,Paramètres!$A$1:$I$89,3,0)*0.475*44/12</f>
        <v>1.3299015903447848</v>
      </c>
      <c r="AW186" s="21">
        <f>EXP(-LN(2)/2)*AW185+(1-EXP(-LN(2)/2))/(LN(2)/2)*AQ186*AT186*VLOOKUP('Données projet'!$B$10,Paramètres!$A$1:$I$89,3,0)*0.475*44/12</f>
        <v>6.1087079979436373E-18</v>
      </c>
      <c r="AX186" s="21">
        <f t="shared" si="166"/>
        <v>16.369124038077022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102.76553481871144</v>
      </c>
      <c r="BJ186" s="59">
        <f t="shared" si="146"/>
        <v>345.99919346320343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1.8723642308800559</v>
      </c>
      <c r="BQ186" s="21">
        <f>EXP(-LN(2)/25)*BQ185+(1-EXP(-LN(2)/25))/(LN(2)/25)*Calculateur!BL186*Calculateur!BN186*VLOOKUP('Données projet'!$B$11,Paramètres!$A$1:$I$89,3,0)*0.475*44/12</f>
        <v>0.22020177878659791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2.0925660096666538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-6.3550942286383367E-14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410.32666742287449</v>
      </c>
      <c r="T187" s="59">
        <f t="shared" si="142"/>
        <v>494.36941732405256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25.387893872079946</v>
      </c>
      <c r="AA187" s="21">
        <f>EXP(-LN(2)/25)*AA186+(1-EXP(-LN(2)/25))/(LN(2)/25)*Calculateur!V187*Calculateur!X187*VLOOKUP('Données projet'!$B$9,Paramètres!$A$1:$I$89,3,0)*0.475*44/12</f>
        <v>1.8311747901337867</v>
      </c>
      <c r="AB187" s="21">
        <f>EXP(-LN(2)/2)*AB186+(1-EXP(-LN(2)/2))/(LN(2)/2)*V187*Y187*VLOOKUP('Données projet'!$B$9,Paramètres!$A$1:$I$89,3,0)*0.475*44/12</f>
        <v>9.0086087557967132E-18</v>
      </c>
      <c r="AC187" s="22">
        <f t="shared" si="163"/>
        <v>27.219068662213733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-1.7053025658242404E-13</v>
      </c>
      <c r="AJ187" s="13">
        <f>AI187*VLOOKUP('Données projet'!$B$10,Paramètres!$A$1:$I$89,3,0)*VLOOKUP('Données projet'!$B$10,Paramètres!$A$1:$I$89,5,0)</f>
        <v>-1.064108801074326E-13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197.20006068829753</v>
      </c>
      <c r="AO187" s="59">
        <f t="shared" si="144"/>
        <v>256.52014906581638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14.744312468552142</v>
      </c>
      <c r="AV187" s="21">
        <f>EXP(-LN(2)/25)*AV186+(1-EXP(-LN(2)/25))/(LN(2)/25)*Calculateur!AQ187*Calculateur!AS187*VLOOKUP('Données projet'!$B$10,Paramètres!$A$1:$I$89,3,0)*0.475*44/12</f>
        <v>1.2935353614203215</v>
      </c>
      <c r="AW187" s="21">
        <f>EXP(-LN(2)/2)*AW186+(1-EXP(-LN(2)/2))/(LN(2)/2)*AQ187*AT187*VLOOKUP('Données projet'!$B$10,Paramètres!$A$1:$I$89,3,0)*0.475*44/12</f>
        <v>4.3195088496344442E-18</v>
      </c>
      <c r="AX187" s="21">
        <f t="shared" si="166"/>
        <v>16.037847829972463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102.76553481871144</v>
      </c>
      <c r="BJ187" s="59">
        <f t="shared" si="146"/>
        <v>345.99919346320343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1.8356483103419128</v>
      </c>
      <c r="BQ187" s="21">
        <f>EXP(-LN(2)/25)*BQ186+(1-EXP(-LN(2)/25))/(LN(2)/25)*Calculateur!BL187*Calculateur!BN187*VLOOKUP('Données projet'!$B$11,Paramètres!$A$1:$I$89,3,0)*0.475*44/12</f>
        <v>0.21418034956577012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2.0498286599076829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-6.3550942286383367E-14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410.32666742287449</v>
      </c>
      <c r="T188" s="59">
        <f t="shared" si="142"/>
        <v>494.36941732405256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24.890052758334694</v>
      </c>
      <c r="AA188" s="21">
        <f>EXP(-LN(2)/25)*AA187+(1-EXP(-LN(2)/25))/(LN(2)/25)*Calculateur!V188*Calculateur!X188*VLOOKUP('Données projet'!$B$9,Paramètres!$A$1:$I$89,3,0)*0.475*44/12</f>
        <v>1.7811012192002813</v>
      </c>
      <c r="AB188" s="21">
        <f>EXP(-LN(2)/2)*AB187+(1-EXP(-LN(2)/2))/(LN(2)/2)*V188*Y188*VLOOKUP('Données projet'!$B$9,Paramètres!$A$1:$I$89,3,0)*0.475*44/12</f>
        <v>6.3700483402803627E-18</v>
      </c>
      <c r="AC188" s="22">
        <f t="shared" si="163"/>
        <v>26.671153977534974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-1.7053025658242404E-13</v>
      </c>
      <c r="AJ188" s="13">
        <f>AI188*VLOOKUP('Données projet'!$B$10,Paramètres!$A$1:$I$89,3,0)*VLOOKUP('Données projet'!$B$10,Paramètres!$A$1:$I$89,5,0)</f>
        <v>-1.064108801074326E-13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197.20006068829753</v>
      </c>
      <c r="AO188" s="59">
        <f t="shared" si="144"/>
        <v>256.52014906581638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14.455185494186441</v>
      </c>
      <c r="AV188" s="21">
        <f>EXP(-LN(2)/25)*AV187+(1-EXP(-LN(2)/25))/(LN(2)/25)*Calculateur!AQ188*Calculateur!AS188*VLOOKUP('Données projet'!$B$10,Paramètres!$A$1:$I$89,3,0)*0.475*44/12</f>
        <v>1.2581635689382147</v>
      </c>
      <c r="AW188" s="21">
        <f>EXP(-LN(2)/2)*AW187+(1-EXP(-LN(2)/2))/(LN(2)/2)*AQ188*AT188*VLOOKUP('Données projet'!$B$10,Paramètres!$A$1:$I$89,3,0)*0.475*44/12</f>
        <v>3.0543539989718186E-18</v>
      </c>
      <c r="AX188" s="21">
        <f t="shared" si="166"/>
        <v>15.713349063124657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102.76553481871144</v>
      </c>
      <c r="BJ188" s="59">
        <f t="shared" si="146"/>
        <v>345.99919346320343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1.7996523666110225</v>
      </c>
      <c r="BQ188" s="21">
        <f>EXP(-LN(2)/25)*BQ187+(1-EXP(-LN(2)/25))/(LN(2)/25)*Calculateur!BL188*Calculateur!BN188*VLOOKUP('Données projet'!$B$11,Paramètres!$A$1:$I$89,3,0)*0.475*44/12</f>
        <v>0.20832357664363907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2.0079759432546616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-6.3550942286383367E-14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410.32666742287449</v>
      </c>
      <c r="T189" s="59">
        <f t="shared" si="142"/>
        <v>494.36941732405256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24.401974005176889</v>
      </c>
      <c r="AA189" s="21">
        <f>EXP(-LN(2)/25)*AA188+(1-EXP(-LN(2)/25))/(LN(2)/25)*Calculateur!V189*Calculateur!X189*VLOOKUP('Données projet'!$B$9,Paramètres!$A$1:$I$89,3,0)*0.475*44/12</f>
        <v>1.7323969126972072</v>
      </c>
      <c r="AB189" s="21">
        <f>EXP(-LN(2)/2)*AB188+(1-EXP(-LN(2)/2))/(LN(2)/2)*V189*Y189*VLOOKUP('Données projet'!$B$9,Paramètres!$A$1:$I$89,3,0)*0.475*44/12</f>
        <v>4.5043043778983566E-18</v>
      </c>
      <c r="AC189" s="22">
        <f t="shared" si="163"/>
        <v>26.134370917874097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-1.7053025658242404E-13</v>
      </c>
      <c r="AJ189" s="13">
        <f>AI189*VLOOKUP('Données projet'!$B$10,Paramètres!$A$1:$I$89,3,0)*VLOOKUP('Données projet'!$B$10,Paramètres!$A$1:$I$89,5,0)</f>
        <v>-1.064108801074326E-13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197.20006068829753</v>
      </c>
      <c r="AO189" s="59">
        <f t="shared" si="144"/>
        <v>256.52014906581638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14.17172812343801</v>
      </c>
      <c r="AV189" s="21">
        <f>EXP(-LN(2)/25)*AV188+(1-EXP(-LN(2)/25))/(LN(2)/25)*Calculateur!AQ189*Calculateur!AS189*VLOOKUP('Données projet'!$B$10,Paramètres!$A$1:$I$89,3,0)*0.475*44/12</f>
        <v>1.2237590199816526</v>
      </c>
      <c r="AW189" s="21">
        <f>EXP(-LN(2)/2)*AW188+(1-EXP(-LN(2)/2))/(LN(2)/2)*AQ189*AT189*VLOOKUP('Données projet'!$B$10,Paramètres!$A$1:$I$89,3,0)*0.475*44/12</f>
        <v>2.1597544248172221E-18</v>
      </c>
      <c r="AX189" s="21">
        <f t="shared" si="166"/>
        <v>15.395487143419663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102.76553481871144</v>
      </c>
      <c r="BJ189" s="59">
        <f t="shared" si="146"/>
        <v>345.99919346320343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1.7643622813813371</v>
      </c>
      <c r="BQ189" s="21">
        <f>EXP(-LN(2)/25)*BQ188+(1-EXP(-LN(2)/25))/(LN(2)/25)*Calculateur!BL189*Calculateur!BN189*VLOOKUP('Données projet'!$B$11,Paramètres!$A$1:$I$89,3,0)*0.475*44/12</f>
        <v>0.20262695748505799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1.966989238866395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-6.3550942286383367E-14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410.32666742287449</v>
      </c>
      <c r="T190" s="59">
        <f t="shared" si="142"/>
        <v>494.36941732405256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23.923466178669866</v>
      </c>
      <c r="AA190" s="21">
        <f>EXP(-LN(2)/25)*AA189+(1-EXP(-LN(2)/25))/(LN(2)/25)*Calculateur!V190*Calculateur!X190*VLOOKUP('Données projet'!$B$9,Paramètres!$A$1:$I$89,3,0)*0.475*44/12</f>
        <v>1.6850244280167079</v>
      </c>
      <c r="AB190" s="21">
        <f>EXP(-LN(2)/2)*AB189+(1-EXP(-LN(2)/2))/(LN(2)/2)*V190*Y190*VLOOKUP('Données projet'!$B$9,Paramètres!$A$1:$I$89,3,0)*0.475*44/12</f>
        <v>3.1850241701401814E-18</v>
      </c>
      <c r="AC190" s="22">
        <f t="shared" si="163"/>
        <v>25.608490606686573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-1.7053025658242404E-13</v>
      </c>
      <c r="AJ190" s="13">
        <f>AI190*VLOOKUP('Données projet'!$B$10,Paramètres!$A$1:$I$89,3,0)*VLOOKUP('Données projet'!$B$10,Paramètres!$A$1:$I$89,5,0)</f>
        <v>-1.064108801074326E-13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197.20006068829753</v>
      </c>
      <c r="AO190" s="59">
        <f t="shared" si="144"/>
        <v>256.52014906581638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13.893829178838031</v>
      </c>
      <c r="AV190" s="21">
        <f>EXP(-LN(2)/25)*AV189+(1-EXP(-LN(2)/25))/(LN(2)/25)*Calculateur!AQ190*Calculateur!AS190*VLOOKUP('Données projet'!$B$10,Paramètres!$A$1:$I$89,3,0)*0.475*44/12</f>
        <v>1.1902952652255643</v>
      </c>
      <c r="AW190" s="21">
        <f>EXP(-LN(2)/2)*AW189+(1-EXP(-LN(2)/2))/(LN(2)/2)*AQ190*AT190*VLOOKUP('Données projet'!$B$10,Paramètres!$A$1:$I$89,3,0)*0.475*44/12</f>
        <v>1.5271769994859093E-18</v>
      </c>
      <c r="AX190" s="21">
        <f t="shared" si="166"/>
        <v>15.084124444063596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102.76553481871144</v>
      </c>
      <c r="BJ190" s="59">
        <f t="shared" si="146"/>
        <v>345.99919346320343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1.7297642131981792</v>
      </c>
      <c r="BQ190" s="21">
        <f>EXP(-LN(2)/25)*BQ189+(1-EXP(-LN(2)/25))/(LN(2)/25)*Calculateur!BL190*Calculateur!BN190*VLOOKUP('Données projet'!$B$11,Paramètres!$A$1:$I$89,3,0)*0.475*44/12</f>
        <v>0.19708611267694048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1.9268503258751197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-6.3550942286383367E-14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410.32666742287449</v>
      </c>
      <c r="T191" s="59">
        <f t="shared" si="142"/>
        <v>494.36941732405256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23.454341598779692</v>
      </c>
      <c r="AA191" s="21">
        <f>EXP(-LN(2)/25)*AA190+(1-EXP(-LN(2)/25))/(LN(2)/25)*Calculateur!V191*Calculateur!X191*VLOOKUP('Données projet'!$B$9,Paramètres!$A$1:$I$89,3,0)*0.475*44/12</f>
        <v>1.6389473464210076</v>
      </c>
      <c r="AB191" s="21">
        <f>EXP(-LN(2)/2)*AB190+(1-EXP(-LN(2)/2))/(LN(2)/2)*V191*Y191*VLOOKUP('Données projet'!$B$9,Paramètres!$A$1:$I$89,3,0)*0.475*44/12</f>
        <v>2.2521521889491783E-18</v>
      </c>
      <c r="AC191" s="22">
        <f t="shared" si="163"/>
        <v>25.093288945200701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-1.7053025658242404E-13</v>
      </c>
      <c r="AJ191" s="13">
        <f>AI191*VLOOKUP('Données projet'!$B$10,Paramètres!$A$1:$I$89,3,0)*VLOOKUP('Données projet'!$B$10,Paramètres!$A$1:$I$89,5,0)</f>
        <v>-1.064108801074326E-13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197.20006068829753</v>
      </c>
      <c r="AO191" s="59">
        <f t="shared" si="144"/>
        <v>256.52014906581638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13.621379663040038</v>
      </c>
      <c r="AV191" s="21">
        <f>EXP(-LN(2)/25)*AV190+(1-EXP(-LN(2)/25))/(LN(2)/25)*Calculateur!AQ191*Calculateur!AS191*VLOOKUP('Données projet'!$B$10,Paramètres!$A$1:$I$89,3,0)*0.475*44/12</f>
        <v>1.1577465786030636</v>
      </c>
      <c r="AW191" s="21">
        <f>EXP(-LN(2)/2)*AW190+(1-EXP(-LN(2)/2))/(LN(2)/2)*AQ191*AT191*VLOOKUP('Données projet'!$B$10,Paramètres!$A$1:$I$89,3,0)*0.475*44/12</f>
        <v>1.0798772124086111E-18</v>
      </c>
      <c r="AX191" s="21">
        <f t="shared" si="166"/>
        <v>14.779126241643102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102.76553481871144</v>
      </c>
      <c r="BJ191" s="59">
        <f t="shared" si="146"/>
        <v>345.99919346320343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1.6958445920293552</v>
      </c>
      <c r="BQ191" s="21">
        <f>EXP(-LN(2)/25)*BQ190+(1-EXP(-LN(2)/25))/(LN(2)/25)*Calculateur!BL191*Calculateur!BN191*VLOOKUP('Données projet'!$B$11,Paramètres!$A$1:$I$89,3,0)*0.475*44/12</f>
        <v>0.19169678256148132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1.8875413745908365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-6.3550942286383367E-14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410.32666742287449</v>
      </c>
      <c r="T192" s="59">
        <f t="shared" si="142"/>
        <v>494.36941732405256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22.994416265763423</v>
      </c>
      <c r="AA192" s="21">
        <f>EXP(-LN(2)/25)*AA191+(1-EXP(-LN(2)/25))/(LN(2)/25)*Calculateur!V192*Calculateur!X192*VLOOKUP('Données projet'!$B$9,Paramètres!$A$1:$I$89,3,0)*0.475*44/12</f>
        <v>1.59413024504463</v>
      </c>
      <c r="AB192" s="21">
        <f>EXP(-LN(2)/2)*AB191+(1-EXP(-LN(2)/2))/(LN(2)/2)*V192*Y192*VLOOKUP('Données projet'!$B$9,Paramètres!$A$1:$I$89,3,0)*0.475*44/12</f>
        <v>1.5925120850700907E-18</v>
      </c>
      <c r="AC192" s="22">
        <f t="shared" si="163"/>
        <v>24.588546510808055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-1.7053025658242404E-13</v>
      </c>
      <c r="AJ192" s="13">
        <f>AI192*VLOOKUP('Données projet'!$B$10,Paramètres!$A$1:$I$89,3,0)*VLOOKUP('Données projet'!$B$10,Paramètres!$A$1:$I$89,5,0)</f>
        <v>-1.064108801074326E-13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197.20006068829753</v>
      </c>
      <c r="AO192" s="59">
        <f t="shared" si="144"/>
        <v>256.52014906581638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13.354272716069049</v>
      </c>
      <c r="AV192" s="21">
        <f>EXP(-LN(2)/25)*AV191+(1-EXP(-LN(2)/25))/(LN(2)/25)*Calculateur!AQ192*Calculateur!AS192*VLOOKUP('Données projet'!$B$10,Paramètres!$A$1:$I$89,3,0)*0.475*44/12</f>
        <v>1.1260879375279162</v>
      </c>
      <c r="AW192" s="21">
        <f>EXP(-LN(2)/2)*AW191+(1-EXP(-LN(2)/2))/(LN(2)/2)*AQ192*AT192*VLOOKUP('Données projet'!$B$10,Paramètres!$A$1:$I$89,3,0)*0.475*44/12</f>
        <v>7.6358849974295466E-19</v>
      </c>
      <c r="AX192" s="21">
        <f t="shared" si="166"/>
        <v>14.480360653596966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102.76553481871144</v>
      </c>
      <c r="BJ192" s="59">
        <f t="shared" si="146"/>
        <v>345.99919346320343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1.6625901139427259</v>
      </c>
      <c r="BQ192" s="21">
        <f>EXP(-LN(2)/25)*BQ191+(1-EXP(-LN(2)/25))/(LN(2)/25)*Calculateur!BL192*Calculateur!BN192*VLOOKUP('Données projet'!$B$11,Paramètres!$A$1:$I$89,3,0)*0.475*44/12</f>
        <v>0.18645482396144195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1.8490449379041678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-6.3550942286383367E-14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410.32666742287449</v>
      </c>
      <c r="T193" s="59">
        <f t="shared" si="142"/>
        <v>494.36941732405256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22.543509788000851</v>
      </c>
      <c r="AA193" s="21">
        <f>EXP(-LN(2)/25)*AA192+(1-EXP(-LN(2)/25))/(LN(2)/25)*Calculateur!V193*Calculateur!X193*VLOOKUP('Données projet'!$B$9,Paramètres!$A$1:$I$89,3,0)*0.475*44/12</f>
        <v>1.5505386696622183</v>
      </c>
      <c r="AB193" s="21">
        <f>EXP(-LN(2)/2)*AB192+(1-EXP(-LN(2)/2))/(LN(2)/2)*V193*Y193*VLOOKUP('Données projet'!$B$9,Paramètres!$A$1:$I$89,3,0)*0.475*44/12</f>
        <v>1.1260760944745891E-18</v>
      </c>
      <c r="AC193" s="22">
        <f t="shared" si="163"/>
        <v>24.094048457663067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-1.7053025658242404E-13</v>
      </c>
      <c r="AJ193" s="13">
        <f>AI193*VLOOKUP('Données projet'!$B$10,Paramètres!$A$1:$I$89,3,0)*VLOOKUP('Données projet'!$B$10,Paramètres!$A$1:$I$89,5,0)</f>
        <v>-1.064108801074326E-13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197.20006068829753</v>
      </c>
      <c r="AO193" s="59">
        <f t="shared" si="144"/>
        <v>256.52014906581638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13.09240357340901</v>
      </c>
      <c r="AV193" s="21">
        <f>EXP(-LN(2)/25)*AV192+(1-EXP(-LN(2)/25))/(LN(2)/25)*Calculateur!AQ193*Calculateur!AS193*VLOOKUP('Données projet'!$B$10,Paramètres!$A$1:$I$89,3,0)*0.475*44/12</f>
        <v>1.0952950036578244</v>
      </c>
      <c r="AW193" s="21">
        <f>EXP(-LN(2)/2)*AW192+(1-EXP(-LN(2)/2))/(LN(2)/2)*AQ193*AT193*VLOOKUP('Données projet'!$B$10,Paramètres!$A$1:$I$89,3,0)*0.475*44/12</f>
        <v>5.3993860620430553E-19</v>
      </c>
      <c r="AX193" s="21">
        <f t="shared" si="166"/>
        <v>14.187698577066834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102.76553481871144</v>
      </c>
      <c r="BJ193" s="59">
        <f t="shared" si="146"/>
        <v>345.99919346320343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1.6299877358881465</v>
      </c>
      <c r="BQ193" s="21">
        <f>EXP(-LN(2)/25)*BQ192+(1-EXP(-LN(2)/25))/(LN(2)/25)*Calculateur!BL193*Calculateur!BN193*VLOOKUP('Données projet'!$B$11,Paramètres!$A$1:$I$89,3,0)*0.475*44/12</f>
        <v>0.18135620699498328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1.8113439428831297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-6.3550942286383367E-14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410.32666742287449</v>
      </c>
      <c r="T194" s="59">
        <f t="shared" si="142"/>
        <v>494.36941732405256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22.101445311241406</v>
      </c>
      <c r="AA194" s="21">
        <f>EXP(-LN(2)/25)*AA193+(1-EXP(-LN(2)/25))/(LN(2)/25)*Calculateur!V194*Calculateur!X194*VLOOKUP('Données projet'!$B$9,Paramètres!$A$1:$I$89,3,0)*0.475*44/12</f>
        <v>1.50813910820102</v>
      </c>
      <c r="AB194" s="21">
        <f>EXP(-LN(2)/2)*AB193+(1-EXP(-LN(2)/2))/(LN(2)/2)*V194*Y194*VLOOKUP('Données projet'!$B$9,Paramètres!$A$1:$I$89,3,0)*0.475*44/12</f>
        <v>7.9625604253504534E-19</v>
      </c>
      <c r="AC194" s="22">
        <f t="shared" si="163"/>
        <v>23.609584419442427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-1.7053025658242404E-13</v>
      </c>
      <c r="AJ194" s="13">
        <f>AI194*VLOOKUP('Données projet'!$B$10,Paramètres!$A$1:$I$89,3,0)*VLOOKUP('Données projet'!$B$10,Paramètres!$A$1:$I$89,5,0)</f>
        <v>-1.064108801074326E-13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197.20006068829753</v>
      </c>
      <c r="AO194" s="59">
        <f t="shared" si="144"/>
        <v>256.52014906581638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12.835669524912129</v>
      </c>
      <c r="AV194" s="21">
        <f>EXP(-LN(2)/25)*AV193+(1-EXP(-LN(2)/25))/(LN(2)/25)*Calculateur!AQ194*Calculateur!AS194*VLOOKUP('Données projet'!$B$10,Paramètres!$A$1:$I$89,3,0)*0.475*44/12</f>
        <v>1.0653441041837404</v>
      </c>
      <c r="AW194" s="21">
        <f>EXP(-LN(2)/2)*AW193+(1-EXP(-LN(2)/2))/(LN(2)/2)*AQ194*AT194*VLOOKUP('Données projet'!$B$10,Paramètres!$A$1:$I$89,3,0)*0.475*44/12</f>
        <v>3.8179424987147733E-19</v>
      </c>
      <c r="AX194" s="21">
        <f t="shared" si="166"/>
        <v>13.901013629095869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102.76553481871144</v>
      </c>
      <c r="BJ194" s="59">
        <f t="shared" si="146"/>
        <v>345.99919346320343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1.5980246705817303</v>
      </c>
      <c r="BQ194" s="21">
        <f>EXP(-LN(2)/25)*BQ193+(1-EXP(-LN(2)/25))/(LN(2)/25)*Calculateur!BL194*Calculateur!BN194*VLOOKUP('Données projet'!$B$11,Paramètres!$A$1:$I$89,3,0)*0.475*44/12</f>
        <v>0.17639701197759702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1.7744216825593273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-6.3550942286383367E-14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410.32666742287449</v>
      </c>
      <c r="T195" s="59">
        <f t="shared" si="142"/>
        <v>494.36941732405256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21.668049449238509</v>
      </c>
      <c r="AA195" s="21">
        <f>EXP(-LN(2)/25)*AA194+(1-EXP(-LN(2)/25))/(LN(2)/25)*Calculateur!V195*Calculateur!X195*VLOOKUP('Données projet'!$B$9,Paramètres!$A$1:$I$89,3,0)*0.475*44/12</f>
        <v>1.4668989649776742</v>
      </c>
      <c r="AB195" s="21">
        <f>EXP(-LN(2)/2)*AB194+(1-EXP(-LN(2)/2))/(LN(2)/2)*V195*Y195*VLOOKUP('Données projet'!$B$9,Paramètres!$A$1:$I$89,3,0)*0.475*44/12</f>
        <v>5.6303804723729457E-19</v>
      </c>
      <c r="AC195" s="22">
        <f t="shared" si="163"/>
        <v>23.134948414216183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-1.7053025658242404E-13</v>
      </c>
      <c r="AJ195" s="13">
        <f>AI195*VLOOKUP('Données projet'!$B$10,Paramètres!$A$1:$I$89,3,0)*VLOOKUP('Données projet'!$B$10,Paramètres!$A$1:$I$89,5,0)</f>
        <v>-1.064108801074326E-13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197.20006068829753</v>
      </c>
      <c r="AO195" s="59">
        <f t="shared" si="144"/>
        <v>256.52014906581638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12.583969874513965</v>
      </c>
      <c r="AV195" s="21">
        <f>EXP(-LN(2)/25)*AV194+(1-EXP(-LN(2)/25))/(LN(2)/25)*Calculateur!AQ195*Calculateur!AS195*VLOOKUP('Données projet'!$B$10,Paramètres!$A$1:$I$89,3,0)*0.475*44/12</f>
        <v>1.0362122136308245</v>
      </c>
      <c r="AW195" s="21">
        <f>EXP(-LN(2)/2)*AW194+(1-EXP(-LN(2)/2))/(LN(2)/2)*AQ195*AT195*VLOOKUP('Données projet'!$B$10,Paramètres!$A$1:$I$89,3,0)*0.475*44/12</f>
        <v>2.6996930310215277E-19</v>
      </c>
      <c r="AX195" s="21">
        <f t="shared" si="166"/>
        <v>13.620182088144789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102.76553481871144</v>
      </c>
      <c r="BJ195" s="59">
        <f t="shared" si="146"/>
        <v>345.99919346320343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1.566688381490428</v>
      </c>
      <c r="BQ195" s="21">
        <f>EXP(-LN(2)/25)*BQ194+(1-EXP(-LN(2)/25))/(LN(2)/25)*Calculateur!BL195*Calculateur!BN195*VLOOKUP('Données projet'!$B$11,Paramètres!$A$1:$I$89,3,0)*0.475*44/12</f>
        <v>0.17157342640875392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1.7382618078991818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-6.3550942286383367E-14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410.32666742287449</v>
      </c>
      <c r="T196" s="59">
        <f t="shared" si="142"/>
        <v>494.36941732405256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21.243152215744114</v>
      </c>
      <c r="AA196" s="21">
        <f>EXP(-LN(2)/25)*AA195+(1-EXP(-LN(2)/25))/(LN(2)/25)*Calculateur!V196*Calculateur!X196*VLOOKUP('Données projet'!$B$9,Paramètres!$A$1:$I$89,3,0)*0.475*44/12</f>
        <v>1.4267865356394958</v>
      </c>
      <c r="AB196" s="21">
        <f>EXP(-LN(2)/2)*AB195+(1-EXP(-LN(2)/2))/(LN(2)/2)*V196*Y196*VLOOKUP('Données projet'!$B$9,Paramètres!$A$1:$I$89,3,0)*0.475*44/12</f>
        <v>3.9812802126752267E-19</v>
      </c>
      <c r="AC196" s="22">
        <f t="shared" si="163"/>
        <v>22.669938751383611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-1.7053025658242404E-13</v>
      </c>
      <c r="AJ196" s="13">
        <f>AI196*VLOOKUP('Données projet'!$B$10,Paramètres!$A$1:$I$89,3,0)*VLOOKUP('Données projet'!$B$10,Paramètres!$A$1:$I$89,5,0)</f>
        <v>-1.064108801074326E-13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197.20006068829753</v>
      </c>
      <c r="AO196" s="59">
        <f t="shared" si="144"/>
        <v>256.52014906581638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12.33720590073848</v>
      </c>
      <c r="AV196" s="21">
        <f>EXP(-LN(2)/25)*AV195+(1-EXP(-LN(2)/25))/(LN(2)/25)*Calculateur!AQ196*Calculateur!AS196*VLOOKUP('Données projet'!$B$10,Paramètres!$A$1:$I$89,3,0)*0.475*44/12</f>
        <v>1.0078769361570576</v>
      </c>
      <c r="AW196" s="21">
        <f>EXP(-LN(2)/2)*AW195+(1-EXP(-LN(2)/2))/(LN(2)/2)*AQ196*AT196*VLOOKUP('Données projet'!$B$10,Paramètres!$A$1:$I$89,3,0)*0.475*44/12</f>
        <v>1.9089712493573866E-19</v>
      </c>
      <c r="AX196" s="21">
        <f t="shared" si="166"/>
        <v>13.345082836895537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102.76553481871144</v>
      </c>
      <c r="BJ196" s="59">
        <f t="shared" si="146"/>
        <v>345.99919346320343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1.5359665779149572</v>
      </c>
      <c r="BQ196" s="21">
        <f>EXP(-LN(2)/25)*BQ195+(1-EXP(-LN(2)/25))/(LN(2)/25)*Calculateur!BL196*Calculateur!BN196*VLOOKUP('Données projet'!$B$11,Paramètres!$A$1:$I$89,3,0)*0.475*44/12</f>
        <v>0.16688174204095219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1.7028483199559092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-6.3550942286383367E-14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410.32666742287449</v>
      </c>
      <c r="T197" s="59">
        <f t="shared" ref="T197:T203" si="204">$T$3</f>
        <v>494.36941732405256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20.826586957836824</v>
      </c>
      <c r="AA197" s="21">
        <f>EXP(-LN(2)/25)*AA196+(1-EXP(-LN(2)/25))/(LN(2)/25)*Calculateur!V197*Calculateur!X197*VLOOKUP('Données projet'!$B$9,Paramètres!$A$1:$I$89,3,0)*0.475*44/12</f>
        <v>1.3877709827909908</v>
      </c>
      <c r="AB197" s="21">
        <f>EXP(-LN(2)/2)*AB196+(1-EXP(-LN(2)/2))/(LN(2)/2)*V197*Y197*VLOOKUP('Données projet'!$B$9,Paramètres!$A$1:$I$89,3,0)*0.475*44/12</f>
        <v>2.8151902361864729E-19</v>
      </c>
      <c r="AC197" s="22">
        <f t="shared" si="163"/>
        <v>22.214357940627814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-1.7053025658242404E-13</v>
      </c>
      <c r="AJ197" s="13">
        <f>AI197*VLOOKUP('Données projet'!$B$10,Paramètres!$A$1:$I$89,3,0)*VLOOKUP('Données projet'!$B$10,Paramètres!$A$1:$I$89,5,0)</f>
        <v>-1.064108801074326E-13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197.20006068829753</v>
      </c>
      <c r="AO197" s="59">
        <f t="shared" ref="AO197:AO203" si="205">$AO$3</f>
        <v>256.52014906581638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12.095280817977571</v>
      </c>
      <c r="AV197" s="21">
        <f>EXP(-LN(2)/25)*AV196+(1-EXP(-LN(2)/25))/(LN(2)/25)*Calculateur!AQ197*Calculateur!AS197*VLOOKUP('Données projet'!$B$10,Paramètres!$A$1:$I$89,3,0)*0.475*44/12</f>
        <v>0.98031648833589835</v>
      </c>
      <c r="AW197" s="21">
        <f>EXP(-LN(2)/2)*AW196+(1-EXP(-LN(2)/2))/(LN(2)/2)*AQ197*AT197*VLOOKUP('Données projet'!$B$10,Paramètres!$A$1:$I$89,3,0)*0.475*44/12</f>
        <v>1.3498465155107638E-19</v>
      </c>
      <c r="AX197" s="21">
        <f t="shared" si="166"/>
        <v>13.075597306313469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102.76553481871144</v>
      </c>
      <c r="BJ197" s="59">
        <f t="shared" ref="BJ197:BJ203" si="206">$BJ$3</f>
        <v>345.99919346320343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1.5058472101691514</v>
      </c>
      <c r="BQ197" s="21">
        <f>EXP(-LN(2)/25)*BQ196+(1-EXP(-LN(2)/25))/(LN(2)/25)*Calculateur!BL197*Calculateur!BN197*VLOOKUP('Données projet'!$B$11,Paramètres!$A$1:$I$89,3,0)*0.475*44/12</f>
        <v>0.16231835202891295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1.6681655621980642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-6.3550942286383367E-14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410.32666742287449</v>
      </c>
      <c r="T198" s="59">
        <f t="shared" si="204"/>
        <v>494.36941732405256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20.418190290557373</v>
      </c>
      <c r="AA198" s="21">
        <f>EXP(-LN(2)/25)*AA197+(1-EXP(-LN(2)/25))/(LN(2)/25)*Calculateur!V198*Calculateur!X198*VLOOKUP('Données projet'!$B$9,Paramètres!$A$1:$I$89,3,0)*0.475*44/12</f>
        <v>1.3498223122868669</v>
      </c>
      <c r="AB198" s="21">
        <f>EXP(-LN(2)/2)*AB197+(1-EXP(-LN(2)/2))/(LN(2)/2)*V198*Y198*VLOOKUP('Données projet'!$B$9,Paramètres!$A$1:$I$89,3,0)*0.475*44/12</f>
        <v>1.9906401063376133E-19</v>
      </c>
      <c r="AC198" s="22">
        <f t="shared" si="163"/>
        <v>21.768012602844241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-1.7053025658242404E-13</v>
      </c>
      <c r="AJ198" s="13">
        <f>AI198*VLOOKUP('Données projet'!$B$10,Paramètres!$A$1:$I$89,3,0)*VLOOKUP('Données projet'!$B$10,Paramètres!$A$1:$I$89,5,0)</f>
        <v>-1.064108801074326E-13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197.20006068829753</v>
      </c>
      <c r="AO198" s="59">
        <f t="shared" si="205"/>
        <v>256.52014906581638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11.858099738529873</v>
      </c>
      <c r="AV198" s="21">
        <f>EXP(-LN(2)/25)*AV197+(1-EXP(-LN(2)/25))/(LN(2)/25)*Calculateur!AQ198*Calculateur!AS198*VLOOKUP('Données projet'!$B$10,Paramètres!$A$1:$I$89,3,0)*0.475*44/12</f>
        <v>0.95350968240974965</v>
      </c>
      <c r="AW198" s="21">
        <f>EXP(-LN(2)/2)*AW197+(1-EXP(-LN(2)/2))/(LN(2)/2)*AQ198*AT198*VLOOKUP('Données projet'!$B$10,Paramètres!$A$1:$I$89,3,0)*0.475*44/12</f>
        <v>9.5448562467869332E-20</v>
      </c>
      <c r="AX198" s="21">
        <f t="shared" si="166"/>
        <v>12.811609420939623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102.76553481871144</v>
      </c>
      <c r="BJ198" s="59">
        <f t="shared" si="206"/>
        <v>345.99919346320343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1.4763184648538406</v>
      </c>
      <c r="BQ198" s="21">
        <f>EXP(-LN(2)/25)*BQ197+(1-EXP(-LN(2)/25))/(LN(2)/25)*Calculateur!BL198*Calculateur!BN198*VLOOKUP('Données projet'!$B$11,Paramètres!$A$1:$I$89,3,0)*0.475*44/12</f>
        <v>0.15787974815673117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1.6341982130105717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-6.3550942286383367E-14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410.32666742287449</v>
      </c>
      <c r="T199" s="59">
        <f t="shared" si="204"/>
        <v>494.36941732405256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20.017802032825902</v>
      </c>
      <c r="AA199" s="21">
        <f>EXP(-LN(2)/25)*AA198+(1-EXP(-LN(2)/25))/(LN(2)/25)*Calculateur!V199*Calculateur!X199*VLOOKUP('Données projet'!$B$9,Paramètres!$A$1:$I$89,3,0)*0.475*44/12</f>
        <v>1.3129113501733121</v>
      </c>
      <c r="AB199" s="21">
        <f>EXP(-LN(2)/2)*AB198+(1-EXP(-LN(2)/2))/(LN(2)/2)*V199*Y199*VLOOKUP('Données projet'!$B$9,Paramètres!$A$1:$I$89,3,0)*0.475*44/12</f>
        <v>1.4075951180932364E-19</v>
      </c>
      <c r="AC199" s="22">
        <f t="shared" si="163"/>
        <v>21.330713382999214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-1.7053025658242404E-13</v>
      </c>
      <c r="AJ199" s="13">
        <f>AI199*VLOOKUP('Données projet'!$B$10,Paramètres!$A$1:$I$89,3,0)*VLOOKUP('Données projet'!$B$10,Paramètres!$A$1:$I$89,5,0)</f>
        <v>-1.064108801074326E-13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197.20006068829753</v>
      </c>
      <c r="AO199" s="59">
        <f t="shared" si="205"/>
        <v>256.52014906581638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11.62556963538397</v>
      </c>
      <c r="AV199" s="21">
        <f>EXP(-LN(2)/25)*AV198+(1-EXP(-LN(2)/25))/(LN(2)/25)*Calculateur!AQ199*Calculateur!AS199*VLOOKUP('Données projet'!$B$10,Paramètres!$A$1:$I$89,3,0)*0.475*44/12</f>
        <v>0.92743591000136016</v>
      </c>
      <c r="AW199" s="21">
        <f>EXP(-LN(2)/2)*AW198+(1-EXP(-LN(2)/2))/(LN(2)/2)*AQ199*AT199*VLOOKUP('Données projet'!$B$10,Paramètres!$A$1:$I$89,3,0)*0.475*44/12</f>
        <v>6.7492325775538191E-20</v>
      </c>
      <c r="AX199" s="21">
        <f t="shared" si="166"/>
        <v>12.55300554538533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102.76553481871144</v>
      </c>
      <c r="BJ199" s="59">
        <f t="shared" si="206"/>
        <v>345.99919346320343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1.4473687602234067</v>
      </c>
      <c r="BQ199" s="21">
        <f>EXP(-LN(2)/25)*BQ198+(1-EXP(-LN(2)/25))/(LN(2)/25)*Calculateur!BL199*Calculateur!BN199*VLOOKUP('Données projet'!$B$11,Paramètres!$A$1:$I$89,3,0)*0.475*44/12</f>
        <v>0.15356251814085023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1.6009312783642569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-6.3550942286383367E-14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410.32666742287449</v>
      </c>
      <c r="T200" s="59">
        <f t="shared" si="204"/>
        <v>494.36941732405256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19.625265144615824</v>
      </c>
      <c r="AA200" s="21">
        <f>EXP(-LN(2)/25)*AA199+(1-EXP(-LN(2)/25))/(LN(2)/25)*Calculateur!V200*Calculateur!X200*VLOOKUP('Données projet'!$B$9,Paramètres!$A$1:$I$89,3,0)*0.475*44/12</f>
        <v>1.2770097202598156</v>
      </c>
      <c r="AB200" s="21">
        <f>EXP(-LN(2)/2)*AB199+(1-EXP(-LN(2)/2))/(LN(2)/2)*V200*Y200*VLOOKUP('Données projet'!$B$9,Paramètres!$A$1:$I$89,3,0)*0.475*44/12</f>
        <v>9.9532005316880667E-20</v>
      </c>
      <c r="AC200" s="22">
        <f t="shared" si="163"/>
        <v>20.90227486487564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-1.7053025658242404E-13</v>
      </c>
      <c r="AJ200" s="13">
        <f>AI200*VLOOKUP('Données projet'!$B$10,Paramètres!$A$1:$I$89,3,0)*VLOOKUP('Données projet'!$B$10,Paramètres!$A$1:$I$89,5,0)</f>
        <v>-1.064108801074326E-13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197.20006068829753</v>
      </c>
      <c r="AO200" s="59">
        <f t="shared" si="205"/>
        <v>256.52014906581638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11.397599305731401</v>
      </c>
      <c r="AV200" s="21">
        <f>EXP(-LN(2)/25)*AV199+(1-EXP(-LN(2)/25))/(LN(2)/25)*Calculateur!AQ200*Calculateur!AS200*VLOOKUP('Données projet'!$B$10,Paramètres!$A$1:$I$89,3,0)*0.475*44/12</f>
        <v>0.90207512627063813</v>
      </c>
      <c r="AW200" s="21">
        <f>EXP(-LN(2)/2)*AW199+(1-EXP(-LN(2)/2))/(LN(2)/2)*AQ200*AT200*VLOOKUP('Données projet'!$B$10,Paramètres!$A$1:$I$89,3,0)*0.475*44/12</f>
        <v>4.7724281233934666E-20</v>
      </c>
      <c r="AX200" s="21">
        <f t="shared" si="166"/>
        <v>12.299674432002039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102.76553481871144</v>
      </c>
      <c r="BJ200" s="59">
        <f t="shared" si="206"/>
        <v>345.99919346320343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1.4189867416431994</v>
      </c>
      <c r="BQ200" s="21">
        <f>EXP(-LN(2)/25)*BQ199+(1-EXP(-LN(2)/25))/(LN(2)/25)*Calculateur!BL200*Calculateur!BN200*VLOOKUP('Données projet'!$B$11,Paramètres!$A$1:$I$89,3,0)*0.475*44/12</f>
        <v>0.14936334300678683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1.5683500846499863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-6.3550942286383367E-14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410.32666742287449</v>
      </c>
      <c r="T201" s="59">
        <f t="shared" si="204"/>
        <v>494.36941732405256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19.240425665359684</v>
      </c>
      <c r="AA201" s="21">
        <f>EXP(-LN(2)/25)*AA200+(1-EXP(-LN(2)/25))/(LN(2)/25)*Calculateur!V201*Calculateur!X201*VLOOKUP('Données projet'!$B$9,Paramètres!$A$1:$I$89,3,0)*0.475*44/12</f>
        <v>1.2420898223042884</v>
      </c>
      <c r="AB201" s="21">
        <f>EXP(-LN(2)/2)*AB200+(1-EXP(-LN(2)/2))/(LN(2)/2)*V201*Y201*VLOOKUP('Données projet'!$B$9,Paramètres!$A$1:$I$89,3,0)*0.475*44/12</f>
        <v>7.0379755904661822E-20</v>
      </c>
      <c r="AC201" s="22">
        <f t="shared" si="163"/>
        <v>20.482515487663971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-1.7053025658242404E-13</v>
      </c>
      <c r="AJ201" s="13">
        <f>AI201*VLOOKUP('Données projet'!$B$10,Paramètres!$A$1:$I$89,3,0)*VLOOKUP('Données projet'!$B$10,Paramètres!$A$1:$I$89,5,0)</f>
        <v>-1.064108801074326E-13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197.20006068829753</v>
      </c>
      <c r="AO201" s="59">
        <f t="shared" si="205"/>
        <v>256.52014906581638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11.174099335195146</v>
      </c>
      <c r="AV201" s="21">
        <f>EXP(-LN(2)/25)*AV200+(1-EXP(-LN(2)/25))/(LN(2)/25)*Calculateur!AQ201*Calculateur!AS201*VLOOKUP('Données projet'!$B$10,Paramètres!$A$1:$I$89,3,0)*0.475*44/12</f>
        <v>0.87740783450469839</v>
      </c>
      <c r="AW201" s="21">
        <f>EXP(-LN(2)/2)*AW200+(1-EXP(-LN(2)/2))/(LN(2)/2)*AQ201*AT201*VLOOKUP('Données projet'!$B$10,Paramètres!$A$1:$I$89,3,0)*0.475*44/12</f>
        <v>3.3746162887769096E-20</v>
      </c>
      <c r="AX201" s="21">
        <f t="shared" si="166"/>
        <v>12.051507169699844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102.76553481871144</v>
      </c>
      <c r="BJ201" s="59">
        <f t="shared" si="206"/>
        <v>345.99919346320343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1.391161277136028</v>
      </c>
      <c r="BQ201" s="21">
        <f>EXP(-LN(2)/25)*BQ200+(1-EXP(-LN(2)/25))/(LN(2)/25)*Calculateur!BL201*Calculateur!BN201*VLOOKUP('Données projet'!$B$11,Paramètres!$A$1:$I$89,3,0)*0.475*44/12</f>
        <v>0.14527899453758941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1.5364402716736174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-6.3550942286383367E-14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410.32666742287449</v>
      </c>
      <c r="T202" s="59">
        <f t="shared" si="204"/>
        <v>494.36941732405256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18.86313265356285</v>
      </c>
      <c r="AA202" s="21">
        <f>EXP(-LN(2)/25)*AA201+(1-EXP(-LN(2)/25))/(LN(2)/25)*Calculateur!V202*Calculateur!X202*VLOOKUP('Données projet'!$B$9,Paramètres!$A$1:$I$89,3,0)*0.475*44/12</f>
        <v>1.2081248107947127</v>
      </c>
      <c r="AB202" s="21">
        <f>EXP(-LN(2)/2)*AB201+(1-EXP(-LN(2)/2))/(LN(2)/2)*V202*Y202*VLOOKUP('Données projet'!$B$9,Paramètres!$A$1:$I$89,3,0)*0.475*44/12</f>
        <v>4.9766002658440334E-20</v>
      </c>
      <c r="AC202" s="22">
        <f t="shared" si="163"/>
        <v>20.071257464357561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-1.7053025658242404E-13</v>
      </c>
      <c r="AJ202" s="13">
        <f>AI202*VLOOKUP('Données projet'!$B$10,Paramètres!$A$1:$I$89,3,0)*VLOOKUP('Données projet'!$B$10,Paramètres!$A$1:$I$89,5,0)</f>
        <v>-1.064108801074326E-13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197.20006068829753</v>
      </c>
      <c r="AO202" s="59">
        <f t="shared" si="205"/>
        <v>256.52014906581638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10.954982062759587</v>
      </c>
      <c r="AV202" s="21">
        <f>EXP(-LN(2)/25)*AV201+(1-EXP(-LN(2)/25))/(LN(2)/25)*Calculateur!AQ202*Calculateur!AS202*VLOOKUP('Données projet'!$B$10,Paramètres!$A$1:$I$89,3,0)*0.475*44/12</f>
        <v>0.85341507112929471</v>
      </c>
      <c r="AW202" s="21">
        <f>EXP(-LN(2)/2)*AW201+(1-EXP(-LN(2)/2))/(LN(2)/2)*AQ202*AT202*VLOOKUP('Données projet'!$B$10,Paramètres!$A$1:$I$89,3,0)*0.475*44/12</f>
        <v>2.3862140616967333E-20</v>
      </c>
      <c r="AX202" s="21">
        <f t="shared" si="166"/>
        <v>11.808397133888882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102.76553481871144</v>
      </c>
      <c r="BJ202" s="59">
        <f t="shared" si="206"/>
        <v>345.99919346320343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1.3638814530159846</v>
      </c>
      <c r="BQ202" s="21">
        <f>EXP(-LN(2)/25)*BQ201+(1-EXP(-LN(2)/25))/(LN(2)/25)*Calculateur!BL202*Calculateur!BN202*VLOOKUP('Données projet'!$B$11,Paramètres!$A$1:$I$89,3,0)*0.475*44/12</f>
        <v>0.14130633279206875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1.5051877858080533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-6.3550942286383367E-14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410.32666742287449</v>
      </c>
      <c r="T203" s="59">
        <f t="shared" si="204"/>
        <v>494.36941732405256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18.493238127601341</v>
      </c>
      <c r="AA203" s="21">
        <f>EXP(-LN(2)/25)*AA202+(1-EXP(-LN(2)/25))/(LN(2)/25)*Calculateur!V203*Calculateur!X203*VLOOKUP('Données projet'!$B$9,Paramètres!$A$1:$I$89,3,0)*0.475*44/12</f>
        <v>1.1750885743110087</v>
      </c>
      <c r="AB203" s="21">
        <f>EXP(-LN(2)/2)*AB202+(1-EXP(-LN(2)/2))/(LN(2)/2)*V203*Y203*VLOOKUP('Données projet'!$B$9,Paramètres!$A$1:$I$89,3,0)*0.475*44/12</f>
        <v>3.5189877952330911E-20</v>
      </c>
      <c r="AC203" s="22">
        <f t="shared" si="163"/>
        <v>19.668326701912349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-1.7053025658242404E-13</v>
      </c>
      <c r="AJ203" s="13">
        <f>AI203*VLOOKUP('Données projet'!$B$10,Paramètres!$A$1:$I$89,3,0)*VLOOKUP('Données projet'!$B$10,Paramètres!$A$1:$I$89,5,0)</f>
        <v>-1.064108801074326E-13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197.20006068829753</v>
      </c>
      <c r="AO203" s="59">
        <f t="shared" si="205"/>
        <v>256.52014906581638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10.740161546388149</v>
      </c>
      <c r="AV203" s="21">
        <f>EXP(-LN(2)/25)*AV202+(1-EXP(-LN(2)/25))/(LN(2)/25)*Calculateur!AQ203*Calculateur!AS203*VLOOKUP('Données projet'!$B$10,Paramètres!$A$1:$I$89,3,0)*0.475*44/12</f>
        <v>0.83007839113011606</v>
      </c>
      <c r="AW203" s="21">
        <f>EXP(-LN(2)/2)*AW202+(1-EXP(-LN(2)/2))/(LN(2)/2)*AQ203*AT203*VLOOKUP('Données projet'!$B$10,Paramètres!$A$1:$I$89,3,0)*0.475*44/12</f>
        <v>1.6873081443884548E-20</v>
      </c>
      <c r="AX203" s="21">
        <f t="shared" si="166"/>
        <v>11.570239937518265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102.76553481871144</v>
      </c>
      <c r="BJ203" s="59">
        <f t="shared" si="206"/>
        <v>345.99919346320343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1.3371365696078856</v>
      </c>
      <c r="BQ203" s="21">
        <f>EXP(-LN(2)/25)*BQ202+(1-EXP(-LN(2)/25))/(LN(2)/25)*Calculateur!BL203*Calculateur!BN203*VLOOKUP('Données projet'!$B$11,Paramètres!$A$1:$I$89,3,0)*0.475*44/12</f>
        <v>0.13744230369089255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1.4745788732987781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1.4152399275904428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1.4392478552290457</v>
      </c>
      <c r="BA205" s="82">
        <f>EXP(LN('Données projet'!B88)/'Données projet'!A88)</f>
        <v>1.3076604860118306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B18" zoomScale="90" zoomScaleNormal="90" workbookViewId="0">
      <selection activeCell="M20" sqref="M20"/>
    </sheetView>
  </sheetViews>
  <sheetFormatPr baseColWidth="10" defaultColWidth="11.42578125" defaultRowHeight="15" x14ac:dyDescent="0.25"/>
  <cols>
    <col min="1" max="1" width="22.85546875" style="1" bestFit="1" customWidth="1"/>
    <col min="2" max="2" width="10.42578125" style="1" bestFit="1" customWidth="1"/>
    <col min="3" max="3" width="15.42578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Douglas</v>
      </c>
      <c r="B6" s="146">
        <f>'Données projet'!D9</f>
        <v>3.9999948000000001</v>
      </c>
      <c r="C6" s="147">
        <f ca="1">IF(OR('Données projet'!B9="",'Données projet'!C9="",'Données projet'!C9=0%),0,Calculateur!S3)</f>
        <v>410.32666742287449</v>
      </c>
      <c r="D6" s="147">
        <f>IF(OR('Données projet'!B9="",'Données projet'!C9="",'Données projet'!C9=0%),0,Calculateur!T3)</f>
        <v>494.36941732405256</v>
      </c>
      <c r="E6" s="147">
        <f ca="1">MIN(C6,D6)</f>
        <v>410.32666742287449</v>
      </c>
      <c r="F6" s="147">
        <f ca="1">E6*B6</f>
        <v>1641.3045359928274</v>
      </c>
      <c r="G6" s="147">
        <f ca="1">F6*(100%-'Données projet'!$C$24)*(100%-'Données projet'!$C$25)*(100%-'Données projet'!$C$26)*(100%-'Données projet'!$C$27)</f>
        <v>1181.7392659148359</v>
      </c>
      <c r="H6" s="148">
        <f>IF(OR('Données projet'!B9="",'Données projet'!C9="",'Données projet'!C9=0%),0,AVERAGE(Calculateur!$AC$3:$AC$33)*B6)</f>
        <v>51.165107026918044</v>
      </c>
      <c r="I6" s="149">
        <f>H6*(100%-'Données projet'!$C$24)*(100%-'Données projet'!$C$25)*(100%-'Données projet'!$C$26)*(100%-'Données projet'!$C$27)</f>
        <v>36.838877059380998</v>
      </c>
      <c r="J6" s="150">
        <f>IF(OR('Données projet'!B9="",'Données projet'!C9="",'Données projet'!C9=0%),0,SUM(Calculateur!$V$3:$V$33)*VLOOKUP('Données projet'!$B$9,Paramètres!$A$1:$I$89,9,0)*B6)</f>
        <v>309.59959752000003</v>
      </c>
      <c r="K6" s="151">
        <f>J6*(100%-'Données projet'!$C$24)*(100%-'Données projet'!$C$25)*(100%-'Données projet'!$C$26)*(100%-'Données projet'!$C$27)</f>
        <v>222.91171021440002</v>
      </c>
      <c r="L6" s="152">
        <f ca="1">G6+I6+K6</f>
        <v>1441.489853188617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Mélèze d'Europe</v>
      </c>
      <c r="B7" s="154">
        <f>'Données projet'!D10</f>
        <v>3.6000038000000001</v>
      </c>
      <c r="C7" s="147">
        <f ca="1">IF(OR('Données projet'!B10="",'Données projet'!C10="",'Données projet'!C10=0%),0,Calculateur!AN3)</f>
        <v>197.20006068829753</v>
      </c>
      <c r="D7" s="147">
        <f>IF(OR('Données projet'!B10="",'Données projet'!C10="",'Données projet'!C10=0%),0,Calculateur!AO3)</f>
        <v>256.52014906581638</v>
      </c>
      <c r="E7" s="147">
        <f t="shared" ref="E7:E15" ca="1" si="0">MIN(C7,D7)</f>
        <v>197.20006068829753</v>
      </c>
      <c r="F7" s="147">
        <f t="shared" ref="F7:F15" ca="1" si="1">E7*B7</f>
        <v>709.92096783810177</v>
      </c>
      <c r="G7" s="147">
        <f ca="1">F7*(100%-'Données projet'!$C$24)*(100%-'Données projet'!$C$25)*(100%-'Données projet'!$C$26)*(100%-'Données projet'!$C$27)</f>
        <v>511.14309684343334</v>
      </c>
      <c r="H7" s="155">
        <f>IF(OR('Données projet'!B10="",'Données projet'!C10="",'Données projet'!C10=0%),0,AVERAGE(Calculateur!$AX$3:$AX$33)*B7)</f>
        <v>64.057686684434842</v>
      </c>
      <c r="I7" s="149">
        <f>H7*(100%-'Données projet'!$C$24)*(100%-'Données projet'!$C$25)*(100%-'Données projet'!$C$26)*(100%-'Données projet'!$C$27)</f>
        <v>46.121534412793089</v>
      </c>
      <c r="J7" s="150">
        <f>IF(OR('Données projet'!B10="",'Données projet'!C10="",'Données projet'!C10=0%),0,SUM(Calculateur!$AQ$3:$AQ$33)*VLOOKUP('Données projet'!$B$10,Paramètres!$A$1:$I$89,9,0)*B7)</f>
        <v>284.83230065600003</v>
      </c>
      <c r="K7" s="151">
        <f>J7*(100%-'Données projet'!$C$24)*(100%-'Données projet'!$C$25)*(100%-'Données projet'!$C$26)*(100%-'Données projet'!$C$27)</f>
        <v>205.07925647232003</v>
      </c>
      <c r="L7" s="152">
        <f t="shared" ref="L7:L15" ca="1" si="2">G7+I7+K7</f>
        <v>762.34388772854641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Peuplier Koster</v>
      </c>
      <c r="B8" s="154">
        <f>'Données projet'!D11</f>
        <v>3.0000013999999999</v>
      </c>
      <c r="C8" s="147">
        <f ca="1">IF(OR('Données projet'!B11="",'Données projet'!C11="",'Données projet'!C11=0%),0,Calculateur!BI3)</f>
        <v>102.76553481871144</v>
      </c>
      <c r="D8" s="147">
        <f>IF(OR('Données projet'!B11="",'Données projet'!C11="",'Données projet'!C11=0%),0,Calculateur!BJ3)</f>
        <v>345.99919346320343</v>
      </c>
      <c r="E8" s="147">
        <f t="shared" ca="1" si="0"/>
        <v>102.76553481871144</v>
      </c>
      <c r="F8" s="147">
        <f t="shared" ca="1" si="1"/>
        <v>308.29674832788305</v>
      </c>
      <c r="G8" s="147">
        <f ca="1">F8*(100%-'Données projet'!$C$24)*(100%-'Données projet'!$C$25)*(100%-'Données projet'!$C$26)*(100%-'Données projet'!$C$27)</f>
        <v>221.97365879607582</v>
      </c>
      <c r="H8" s="155">
        <f>IF(OR('Données projet'!B11="",'Données projet'!C11="",'Données projet'!C11=0%),0,AVERAGE(Calculateur!$BS$3:$BS$33)*B8)</f>
        <v>99.340587742521393</v>
      </c>
      <c r="I8" s="149">
        <f>H8*(100%-'Données projet'!$C$24)*(100%-'Données projet'!$C$25)*(100%-'Données projet'!$C$26)*(100%-'Données projet'!$C$27)</f>
        <v>71.525223174615405</v>
      </c>
      <c r="J8" s="150">
        <f>IF(OR('Données projet'!B11="",'Données projet'!C11="",'Données projet'!C11=0%),0,SUM(Calculateur!$BL$3:$BL$33)*VLOOKUP('Données projet'!$B$11,Paramètres!$A$1:$I$89,9,0)*B8)</f>
        <v>1016.610474418</v>
      </c>
      <c r="K8" s="151">
        <f>J8*(100%-'Données projet'!$C$24)*(100%-'Données projet'!$C$25)*(100%-'Données projet'!$C$26)*(100%-'Données projet'!$C$27)</f>
        <v>731.95954158096004</v>
      </c>
      <c r="L8" s="152">
        <f t="shared" ca="1" si="2"/>
        <v>1025.4584235516513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8"/>
      <c r="B16" s="212"/>
      <c r="C16" s="213"/>
      <c r="D16" s="23"/>
      <c r="E16" s="23"/>
      <c r="F16" s="165">
        <f t="shared" ref="F16:L16" ca="1" si="3">SUM(F6:F15)</f>
        <v>2659.5222521588121</v>
      </c>
      <c r="G16" s="166">
        <f t="shared" ca="1" si="3"/>
        <v>1914.856021554345</v>
      </c>
      <c r="H16" s="167">
        <f t="shared" si="3"/>
        <v>214.56338145387429</v>
      </c>
      <c r="I16" s="167">
        <f t="shared" si="3"/>
        <v>154.48563464678949</v>
      </c>
      <c r="J16" s="168">
        <f t="shared" si="3"/>
        <v>1611.042372594</v>
      </c>
      <c r="K16" s="168">
        <f t="shared" si="3"/>
        <v>1159.9505082676801</v>
      </c>
      <c r="L16" s="169">
        <f t="shared" ca="1" si="3"/>
        <v>3229.2921644688149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Mélèze d'Europe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Peuplier Koster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K6" zoomScale="56" zoomScaleNormal="80" workbookViewId="0">
      <selection activeCell="N16" sqref="N1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42578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1" t="s">
        <v>315</v>
      </c>
      <c r="I4" s="261"/>
      <c r="K4" s="285" t="s">
        <v>253</v>
      </c>
      <c r="L4" s="286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5" t="s">
        <v>310</v>
      </c>
      <c r="S7" s="296"/>
      <c r="T7" s="296"/>
      <c r="U7" s="296"/>
      <c r="V7" s="29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3.9999948000000001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Mélèze d'Europe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3.6000038000000001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>Peuplier Koster</v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3.0000013999999999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/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/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29"/>
      <c r="G15" s="288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288"/>
      <c r="H16" s="190"/>
      <c r="I16" s="191"/>
      <c r="J16" s="201"/>
      <c r="K16" s="207"/>
      <c r="L16" s="285" t="s">
        <v>254</v>
      </c>
      <c r="M16" s="286"/>
      <c r="N16" s="2"/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8" t="s">
        <v>132</v>
      </c>
      <c r="C17" s="197" t="s">
        <v>132</v>
      </c>
      <c r="D17" s="196" t="s">
        <v>132</v>
      </c>
      <c r="E17" s="193"/>
      <c r="F17" s="229"/>
      <c r="G17" s="288"/>
      <c r="J17" s="201"/>
      <c r="K17" s="207"/>
      <c r="L17" s="258" t="s">
        <v>289</v>
      </c>
      <c r="M17" s="260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288"/>
      <c r="J18" s="201"/>
      <c r="K18" s="207"/>
      <c r="L18" s="258" t="s">
        <v>255</v>
      </c>
      <c r="M18" s="260"/>
      <c r="N18" s="192">
        <v>10</v>
      </c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288"/>
      <c r="H19" s="211" t="s">
        <v>178</v>
      </c>
      <c r="I19" s="211" t="s">
        <v>287</v>
      </c>
      <c r="J19" s="93"/>
      <c r="K19" s="173"/>
      <c r="L19" s="285" t="s">
        <v>288</v>
      </c>
      <c r="M19" s="286"/>
      <c r="N19" s="179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288"/>
      <c r="H20" s="190">
        <v>0</v>
      </c>
      <c r="I20" s="191"/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>
        <v>1</v>
      </c>
      <c r="I21" s="191"/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8" t="s">
        <v>132</v>
      </c>
      <c r="C22" s="197" t="s">
        <v>132</v>
      </c>
      <c r="D22" s="196" t="s">
        <v>132</v>
      </c>
      <c r="E22" s="193"/>
      <c r="F22" s="229"/>
      <c r="H22" s="190">
        <v>2</v>
      </c>
      <c r="I22" s="191"/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15</v>
      </c>
      <c r="B23" s="181">
        <f>'Données projet'!D36</f>
        <v>28</v>
      </c>
      <c r="C23" s="193"/>
      <c r="D23" s="182">
        <f>B23*C23</f>
        <v>0</v>
      </c>
      <c r="E23" s="193"/>
      <c r="F23" s="229"/>
      <c r="H23" s="190">
        <v>3</v>
      </c>
      <c r="I23" s="191"/>
      <c r="K23" s="207"/>
      <c r="L23" s="287" t="s">
        <v>260</v>
      </c>
      <c r="M23" s="287"/>
      <c r="N23" s="287"/>
      <c r="O23" s="23"/>
      <c r="P23" s="23"/>
      <c r="Q23" s="233"/>
      <c r="R23" s="23"/>
      <c r="S23" s="36" t="s">
        <v>264</v>
      </c>
      <c r="T23" s="30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0"/>
      <c r="V23" s="30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20</v>
      </c>
      <c r="B24" s="181">
        <f>'Données projet'!D37</f>
        <v>45</v>
      </c>
      <c r="C24" s="193"/>
      <c r="D24" s="182">
        <f t="shared" ref="D24:D42" si="2">B24*C24</f>
        <v>0</v>
      </c>
      <c r="E24" s="193"/>
      <c r="F24" s="232"/>
      <c r="H24" s="190">
        <v>4</v>
      </c>
      <c r="I24" s="191"/>
      <c r="K24" s="207"/>
      <c r="O24" s="23"/>
      <c r="P24" s="23"/>
      <c r="Q24" s="233"/>
      <c r="R24" s="23"/>
      <c r="S24" s="36" t="s">
        <v>261</v>
      </c>
      <c r="T24" s="30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1"/>
      <c r="V24" s="30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25</v>
      </c>
      <c r="B25" s="181">
        <f>'Données projet'!D38</f>
        <v>52</v>
      </c>
      <c r="C25" s="193"/>
      <c r="D25" s="182">
        <f t="shared" si="2"/>
        <v>0</v>
      </c>
      <c r="E25" s="193"/>
      <c r="F25" s="232"/>
      <c r="H25" s="190">
        <v>5</v>
      </c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302">
        <f ca="1">T23-T24</f>
        <v>0</v>
      </c>
      <c r="U25" s="302"/>
      <c r="V25" s="30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30</v>
      </c>
      <c r="B26" s="181">
        <f>'Données projet'!D39</f>
        <v>55</v>
      </c>
      <c r="C26" s="193"/>
      <c r="D26" s="182">
        <f t="shared" si="2"/>
        <v>0</v>
      </c>
      <c r="E26" s="193"/>
      <c r="F26" s="232"/>
      <c r="G26" s="228"/>
      <c r="H26" s="190"/>
      <c r="I26" s="191"/>
      <c r="K26" s="207"/>
      <c r="L26" s="289" t="s">
        <v>258</v>
      </c>
      <c r="M26" s="290"/>
      <c r="N26" s="290"/>
      <c r="O26" s="290"/>
      <c r="P26" s="291"/>
      <c r="Q26" s="233"/>
      <c r="R26" s="23"/>
      <c r="S26" s="186" t="s">
        <v>265</v>
      </c>
      <c r="T26" s="299" t="str">
        <f ca="1">IF(T25&lt;0,"Votre projet est additionnel","Votre projet n'est pas additionnel")</f>
        <v>Votre projet n'est pas additionnel</v>
      </c>
      <c r="U26" s="299"/>
      <c r="V26" s="29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35</v>
      </c>
      <c r="B27" s="181">
        <f>'Données projet'!D40</f>
        <v>55</v>
      </c>
      <c r="C27" s="193"/>
      <c r="D27" s="182">
        <f t="shared" si="2"/>
        <v>0</v>
      </c>
      <c r="E27" s="193"/>
      <c r="F27" s="232"/>
      <c r="G27" s="228"/>
      <c r="H27" s="190"/>
      <c r="I27" s="191"/>
      <c r="K27" s="207"/>
      <c r="L27" s="292"/>
      <c r="M27" s="293"/>
      <c r="N27" s="293"/>
      <c r="O27" s="293"/>
      <c r="P27" s="294"/>
      <c r="Q27" s="233"/>
      <c r="R27" s="23"/>
      <c r="S27" s="298" t="s">
        <v>267</v>
      </c>
      <c r="T27" s="298"/>
      <c r="U27" s="298"/>
      <c r="V27" s="29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40</v>
      </c>
      <c r="B28" s="181">
        <f>'Données projet'!D41</f>
        <v>55</v>
      </c>
      <c r="C28" s="193"/>
      <c r="D28" s="182">
        <f t="shared" si="2"/>
        <v>0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45</v>
      </c>
      <c r="B29" s="181">
        <f>'Données projet'!D42</f>
        <v>53</v>
      </c>
      <c r="C29" s="193"/>
      <c r="D29" s="182">
        <f t="shared" si="2"/>
        <v>0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50</v>
      </c>
      <c r="B30" s="181">
        <f>'Données projet'!D43</f>
        <v>51</v>
      </c>
      <c r="C30" s="193"/>
      <c r="D30" s="182">
        <f t="shared" si="2"/>
        <v>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55</v>
      </c>
      <c r="B31" s="181">
        <f>'Données projet'!D44</f>
        <v>51</v>
      </c>
      <c r="C31" s="193"/>
      <c r="D31" s="182">
        <f t="shared" si="2"/>
        <v>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60</v>
      </c>
      <c r="B32" s="181">
        <f>'Données projet'!D45</f>
        <v>718</v>
      </c>
      <c r="C32" s="193"/>
      <c r="D32" s="182">
        <f t="shared" si="2"/>
        <v>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>
        <f>30*'Données projet'!E50+19.4*('Données projet'!F50+'Données projet'!G50)+10*'Données projet'!G50</f>
        <v>0</v>
      </c>
      <c r="D37" s="182">
        <f t="shared" si="2"/>
        <v>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>
        <f>30*'Données projet'!E51+19.4*('Données projet'!F51+'Données projet'!G51)+10*'Données projet'!G51</f>
        <v>0</v>
      </c>
      <c r="D38" s="182">
        <f t="shared" si="2"/>
        <v>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>
        <f>30*'Données projet'!E52+19.4*('Données projet'!F52+'Données projet'!G52)+10*'Données projet'!G52</f>
        <v>0</v>
      </c>
      <c r="D39" s="182">
        <f t="shared" si="2"/>
        <v>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>
        <f>30*'Données projet'!E53+19.4*('Données projet'!F53+'Données projet'!G53)+10*'Données projet'!G53</f>
        <v>0</v>
      </c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>
        <f>30*'Données projet'!E54+19.4*('Données projet'!F54+'Données projet'!G54)+10*'Données projet'!G54</f>
        <v>0</v>
      </c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>
        <f>30*'Données projet'!E55+19.4*('Données projet'!F55+'Données projet'!G55)+10*'Données projet'!G55</f>
        <v>0</v>
      </c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Mélèze d'Europe</v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8" t="s">
        <v>132</v>
      </c>
      <c r="C48" s="197" t="s">
        <v>132</v>
      </c>
      <c r="D48" s="196" t="s">
        <v>132</v>
      </c>
      <c r="E48" s="193"/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 t="str">
        <f>IF(O48+1&lt;=MIN('Données projet'!$E$9:$E$18),O48+1,"STOP")</f>
        <v>STOP</v>
      </c>
      <c r="P49" s="185" t="e">
        <f t="shared" si="3"/>
        <v>#VALUE!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 t="e">
        <f>IF(O49+1&lt;=MIN('Données projet'!$E$9:$E$18),O49+1,"STOP")</f>
        <v>#VALUE!</v>
      </c>
      <c r="P50" s="185" t="e">
        <f t="shared" si="3"/>
        <v>#VALUE!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 t="e">
        <f>IF(O50+1&lt;=MIN('Données projet'!$E$9:$E$18),O50+1,"STOP")</f>
        <v>#VALUE!</v>
      </c>
      <c r="P51" s="185" t="e">
        <f t="shared" si="3"/>
        <v>#VALUE!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8" t="s">
        <v>132</v>
      </c>
      <c r="C52" s="197"/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 t="e">
        <f>IF(O51+1&lt;=MIN('Données projet'!$E$9:$E$18),O51+1,"STOP")</f>
        <v>#VALUE!</v>
      </c>
      <c r="P52" s="185" t="e">
        <f t="shared" si="3"/>
        <v>#VALUE!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8" t="s">
        <v>132</v>
      </c>
      <c r="C53" s="197"/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 t="e">
        <f>IF(O52+1&lt;=MIN('Données projet'!$E$9:$E$18),O52+1,"STOP")</f>
        <v>#VALUE!</v>
      </c>
      <c r="P53" s="185" t="e">
        <f t="shared" si="3"/>
        <v>#VALUE!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12</v>
      </c>
      <c r="B54" s="181">
        <f>'Données projet'!D62</f>
        <v>14</v>
      </c>
      <c r="C54" s="191"/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 t="e">
        <f>IF(O53+1&lt;=MIN('Données projet'!$E$9:$E$18),O53+1,"STOP")</f>
        <v>#VALUE!</v>
      </c>
      <c r="P54" s="185" t="e">
        <f t="shared" si="3"/>
        <v>#VALUE!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18</v>
      </c>
      <c r="B55" s="181">
        <f>'Données projet'!D63</f>
        <v>65</v>
      </c>
      <c r="C55" s="191"/>
      <c r="D55" s="179">
        <f t="shared" ref="D55:D73" si="4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24</v>
      </c>
      <c r="B56" s="181">
        <f>'Données projet'!D64</f>
        <v>57</v>
      </c>
      <c r="C56" s="191"/>
      <c r="D56" s="179">
        <f t="shared" si="4"/>
        <v>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30</v>
      </c>
      <c r="B57" s="181">
        <f>'Données projet'!D65</f>
        <v>48</v>
      </c>
      <c r="C57" s="191"/>
      <c r="D57" s="179">
        <f t="shared" si="4"/>
        <v>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36</v>
      </c>
      <c r="B58" s="181">
        <f>'Données projet'!D66</f>
        <v>45</v>
      </c>
      <c r="C58" s="191"/>
      <c r="D58" s="179">
        <f t="shared" si="4"/>
        <v>0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42</v>
      </c>
      <c r="B59" s="181">
        <f>'Données projet'!D67</f>
        <v>42</v>
      </c>
      <c r="C59" s="191"/>
      <c r="D59" s="179">
        <f t="shared" si="4"/>
        <v>0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48</v>
      </c>
      <c r="B60" s="181">
        <f>'Données projet'!D68</f>
        <v>37</v>
      </c>
      <c r="C60" s="191"/>
      <c r="D60" s="179">
        <f t="shared" si="4"/>
        <v>0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54</v>
      </c>
      <c r="B61" s="181">
        <f>'Données projet'!D69</f>
        <v>36</v>
      </c>
      <c r="C61" s="191"/>
      <c r="D61" s="179">
        <f t="shared" si="4"/>
        <v>0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60</v>
      </c>
      <c r="B62" s="181">
        <f>'Données projet'!D70</f>
        <v>308</v>
      </c>
      <c r="C62" s="191"/>
      <c r="D62" s="179">
        <f t="shared" si="4"/>
        <v>0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>
        <f>17.5*'Données projet'!E74+13.8*('Données projet'!F74+'Données projet'!G74)+10*'Données projet'!H74</f>
        <v>0</v>
      </c>
      <c r="D66" s="179">
        <f t="shared" si="4"/>
        <v>0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>
        <f>17.5*'Données projet'!E75+13.8*('Données projet'!F75+'Données projet'!G75)+10*'Données projet'!H75</f>
        <v>0</v>
      </c>
      <c r="D67" s="179">
        <f t="shared" si="4"/>
        <v>0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>
        <f>17.5*'Données projet'!E76+13.8*('Données projet'!F76+'Données projet'!G76)+10*'Données projet'!H76</f>
        <v>0</v>
      </c>
      <c r="D68" s="179">
        <f t="shared" si="4"/>
        <v>0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>
        <f>17.5*'Données projet'!E77+13.8*('Données projet'!F77+'Données projet'!G77)+10*'Données projet'!H77</f>
        <v>0</v>
      </c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>
        <f>17.5*'Données projet'!E78+13.8*('Données projet'!F78+'Données projet'!G78)+10*'Données projet'!H78</f>
        <v>0</v>
      </c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>
        <f>17.5*'Données projet'!E79+13.8*('Données projet'!F79+'Données projet'!G79)+10*'Données projet'!H79</f>
        <v>0</v>
      </c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>
        <f>17.5*'Données projet'!E80+13.8*('Données projet'!F80+'Données projet'!G80)+10*'Données projet'!H80</f>
        <v>0</v>
      </c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>
        <f>17.5*'Données projet'!E81+13.8*('Données projet'!F81+'Données projet'!G81)+10*'Données projet'!H81</f>
        <v>0</v>
      </c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Peuplier Koster</v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8" t="s">
        <v>132</v>
      </c>
      <c r="C79" s="197" t="s">
        <v>132</v>
      </c>
      <c r="D79" s="196" t="s">
        <v>132</v>
      </c>
      <c r="E79" s="193"/>
      <c r="F79" s="230"/>
      <c r="G79" s="205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8" t="s">
        <v>132</v>
      </c>
      <c r="C83" s="197"/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8" t="s">
        <v>132</v>
      </c>
      <c r="C84" s="197"/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6</v>
      </c>
      <c r="B85" s="181">
        <f>'Données projet'!D88</f>
        <v>0</v>
      </c>
      <c r="C85" s="191"/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7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8</v>
      </c>
      <c r="B87" s="181">
        <f>'Données projet'!D90</f>
        <v>0</v>
      </c>
      <c r="C87" s="191"/>
      <c r="D87" s="179">
        <f t="shared" si="6"/>
        <v>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9</v>
      </c>
      <c r="B88" s="181">
        <f>'Données projet'!D91</f>
        <v>0</v>
      </c>
      <c r="C88" s="191"/>
      <c r="D88" s="179">
        <f t="shared" si="6"/>
        <v>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10</v>
      </c>
      <c r="B89" s="181">
        <f>'Données projet'!D92</f>
        <v>0</v>
      </c>
      <c r="C89" s="191"/>
      <c r="D89" s="179">
        <f t="shared" si="6"/>
        <v>0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11</v>
      </c>
      <c r="B90" s="181">
        <f>'Données projet'!D93</f>
        <v>0</v>
      </c>
      <c r="C90" s="191"/>
      <c r="D90" s="179">
        <f t="shared" si="6"/>
        <v>0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12</v>
      </c>
      <c r="B91" s="181">
        <f>'Données projet'!D94</f>
        <v>0</v>
      </c>
      <c r="C91" s="191"/>
      <c r="D91" s="179">
        <f t="shared" si="6"/>
        <v>0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13</v>
      </c>
      <c r="B92" s="181">
        <f>'Données projet'!D95</f>
        <v>0</v>
      </c>
      <c r="C92" s="191"/>
      <c r="D92" s="179">
        <f t="shared" si="6"/>
        <v>0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14</v>
      </c>
      <c r="B93" s="181">
        <f>'Données projet'!D96</f>
        <v>0</v>
      </c>
      <c r="C93" s="191"/>
      <c r="D93" s="179">
        <f t="shared" si="6"/>
        <v>0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15</v>
      </c>
      <c r="B94" s="181">
        <f>'Données projet'!D97</f>
        <v>329</v>
      </c>
      <c r="C94" s="191"/>
      <c r="D94" s="179">
        <f t="shared" si="6"/>
        <v>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>
        <f>42*'Données projet'!E99+19.4*('Données projet'!F99+'Données projet'!G99)+10*'Données projet'!H99</f>
        <v>0</v>
      </c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>
        <f>42*'Données projet'!E100+19.4*('Données projet'!F100+'Données projet'!G100)+10*'Données projet'!H100</f>
        <v>0</v>
      </c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>
        <f>42*'Données projet'!E101+19.4*('Données projet'!F101+'Données projet'!G101)+10*'Données projet'!H101</f>
        <v>0</v>
      </c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>
        <f>42*'Données projet'!E102+19.4*('Données projet'!F102+'Données projet'!G102)+10*'Données projet'!H102</f>
        <v>0</v>
      </c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>
        <f>42*'Données projet'!E103+19.4*('Données projet'!F103+'Données projet'!G103)+10*'Données projet'!H103</f>
        <v>0</v>
      </c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>
        <f>42*'Données projet'!E104+19.4*('Données projet'!F104+'Données projet'!G104)+10*'Données projet'!H104</f>
        <v>0</v>
      </c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>
        <f>42*'Données projet'!E105+19.4*('Données projet'!F105+'Données projet'!G105)+10*'Données projet'!H105</f>
        <v>0</v>
      </c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>
        <f>42*'Données projet'!E106+19.4*('Données projet'!F106+'Données projet'!G106)+10*'Données projet'!H106</f>
        <v>0</v>
      </c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>
        <f>42*'Données projet'!E107+19.4*('Données projet'!F107+'Données projet'!G107)+10*'Données projet'!H107</f>
        <v>0</v>
      </c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8" t="s">
        <v>132</v>
      </c>
      <c r="C110" s="197" t="s">
        <v>132</v>
      </c>
      <c r="D110" s="196" t="s">
        <v>132</v>
      </c>
      <c r="E110" s="193"/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>
        <f>42*'Données projet'!E114+19.5*('Données projet'!F114+'Données projet'!G114)+10*'Données projet'!H114</f>
        <v>0</v>
      </c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>
        <f>42*'Données projet'!E115+19.5*('Données projet'!F115+'Données projet'!G115)+10*'Données projet'!H115</f>
        <v>0</v>
      </c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>
        <f>42*'Données projet'!E116+19.5*('Données projet'!F116+'Données projet'!G116)+10*'Données projet'!H116</f>
        <v>0</v>
      </c>
      <c r="D118" s="179">
        <f t="shared" si="8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>
        <f>42*'Données projet'!E117+19.5*('Données projet'!F117+'Données projet'!G117)+10*'Données projet'!H117</f>
        <v>0</v>
      </c>
      <c r="D119" s="179">
        <f t="shared" si="8"/>
        <v>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>
        <f>42*'Données projet'!E118+19.5*('Données projet'!F118+'Données projet'!G118)+10*'Données projet'!H118</f>
        <v>0</v>
      </c>
      <c r="D120" s="179">
        <f t="shared" si="8"/>
        <v>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>
        <f>42*'Données projet'!E119+19.5*('Données projet'!F119+'Données projet'!G119)+10*'Données projet'!H119</f>
        <v>0</v>
      </c>
      <c r="D121" s="179">
        <f t="shared" si="8"/>
        <v>0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>
        <f>42*'Données projet'!E120+19.5*('Données projet'!F120+'Données projet'!G120)+10*'Données projet'!H120</f>
        <v>0</v>
      </c>
      <c r="D122" s="179">
        <f t="shared" si="8"/>
        <v>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>
        <f>42*'Données projet'!E121+19.5*('Données projet'!F121+'Données projet'!G121)+10*'Données projet'!H121</f>
        <v>0</v>
      </c>
      <c r="D123" s="179">
        <f t="shared" si="8"/>
        <v>0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>
        <f>42*'Données projet'!E122+19.5*('Données projet'!F122+'Données projet'!G122)+10*'Données projet'!H122</f>
        <v>0</v>
      </c>
      <c r="D124" s="179">
        <f t="shared" si="8"/>
        <v>0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>
        <f>42*'Données projet'!E123+19.5*('Données projet'!F123+'Données projet'!G123)+10*'Données projet'!H123</f>
        <v>0</v>
      </c>
      <c r="D125" s="179">
        <f t="shared" si="8"/>
        <v>0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>
        <f>42*'Données projet'!E124+19.5*('Données projet'!F124+'Données projet'!G124)+10*'Données projet'!H124</f>
        <v>0</v>
      </c>
      <c r="D126" s="179">
        <f t="shared" si="8"/>
        <v>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>
        <f>42*'Données projet'!E125+19.5*('Données projet'!F125+'Données projet'!G125)+10*'Données projet'!H125</f>
        <v>0</v>
      </c>
      <c r="D127" s="179">
        <f t="shared" si="8"/>
        <v>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>
        <f>42*'Données projet'!E126+19.5*('Données projet'!F126+'Données projet'!G126)+10*'Données projet'!H126</f>
        <v>0</v>
      </c>
      <c r="D128" s="179">
        <f t="shared" si="8"/>
        <v>0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>
        <f>42*'Données projet'!E127+19.5*('Données projet'!F127+'Données projet'!G127)+10*'Données projet'!H127</f>
        <v>0</v>
      </c>
      <c r="D129" s="179">
        <f t="shared" si="8"/>
        <v>0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>
        <f>42*'Données projet'!E128+19.5*('Données projet'!F128+'Données projet'!G128)+10*'Données projet'!H128</f>
        <v>0</v>
      </c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>
        <f>42*'Données projet'!E129+19.5*('Données projet'!F129+'Données projet'!G129)+10*'Données projet'!H129</f>
        <v>0</v>
      </c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>
        <f>42*'Données projet'!E130+19.5*('Données projet'!F130+'Données projet'!G130)+10*'Données projet'!H130</f>
        <v>0</v>
      </c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>
        <f>42*'Données projet'!E131+19.5*('Données projet'!F131+'Données projet'!G131)+10*'Données projet'!H131</f>
        <v>0</v>
      </c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>
        <f>42*'Données projet'!E132+19.5*('Données projet'!F132+'Données projet'!G132)+10*'Données projet'!H132</f>
        <v>0</v>
      </c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>
        <f>42*'Données projet'!E133+19.5*('Données projet'!F133+'Données projet'!G133)+10*'Données projet'!H133</f>
        <v>0</v>
      </c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8" t="s">
        <v>132</v>
      </c>
      <c r="C141" s="197" t="s">
        <v>132</v>
      </c>
      <c r="D141" s="196" t="s">
        <v>132</v>
      </c>
      <c r="E141" s="193"/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>
        <f>150*'Données projet'!E140+13.8*('Données projet'!F140+'Données projet'!G140)+10*'Données projet'!H140</f>
        <v>0</v>
      </c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>
        <f>150*'Données projet'!E141+13.8*('Données projet'!F141+'Données projet'!G141)+10*'Données projet'!H141</f>
        <v>0</v>
      </c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>
        <f>150*'Données projet'!E142+13.8*('Données projet'!F142+'Données projet'!G142)+10*'Données projet'!H142</f>
        <v>0</v>
      </c>
      <c r="D149" s="182">
        <f t="shared" si="10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>
        <f>150*'Données projet'!E143+13.8*('Données projet'!F143+'Données projet'!G143)+10*'Données projet'!H143</f>
        <v>0</v>
      </c>
      <c r="D150" s="182">
        <f t="shared" si="10"/>
        <v>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>
        <f>150*'Données projet'!E144+13.8*('Données projet'!F144+'Données projet'!G144)+10*'Données projet'!H144</f>
        <v>0</v>
      </c>
      <c r="D151" s="182">
        <f t="shared" si="10"/>
        <v>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>
        <f>150*'Données projet'!E145+13.8*('Données projet'!F145+'Données projet'!G145)+10*'Données projet'!H145</f>
        <v>0</v>
      </c>
      <c r="D152" s="182">
        <f t="shared" si="10"/>
        <v>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>
        <f>150*'Données projet'!E146+13.8*('Données projet'!F146+'Données projet'!G146)+10*'Données projet'!H146</f>
        <v>0</v>
      </c>
      <c r="D153" s="182">
        <f t="shared" si="10"/>
        <v>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>
        <f>150*'Données projet'!E147+13.8*('Données projet'!F147+'Données projet'!G147)+10*'Données projet'!H147</f>
        <v>0</v>
      </c>
      <c r="D154" s="182">
        <f t="shared" si="10"/>
        <v>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>
        <f>150*'Données projet'!E148+13.8*('Données projet'!F148+'Données projet'!G148)+10*'Données projet'!H148</f>
        <v>0</v>
      </c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>
        <f>150*'Données projet'!E149+13.8*('Données projet'!F149+'Données projet'!G149)+10*'Données projet'!H149</f>
        <v>0</v>
      </c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>
        <f>150*'Données projet'!E150+13.8*('Données projet'!F150+'Données projet'!G150)+10*'Données projet'!H150</f>
        <v>0</v>
      </c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>
        <f>150*'Données projet'!E151+13.8*('Données projet'!F151+'Données projet'!G151)+10*'Données projet'!H151</f>
        <v>0</v>
      </c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>
        <f>150*'Données projet'!E152+13.8*('Données projet'!F152+'Données projet'!G152)+10*'Données projet'!H152</f>
        <v>0</v>
      </c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>
        <f>150*'Données projet'!E153+13.8*('Données projet'!F153+'Données projet'!G153)+10*'Données projet'!H153</f>
        <v>0</v>
      </c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>
        <f>150*'Données projet'!E154+13.8*('Données projet'!F154+'Données projet'!G154)+10*'Données projet'!H154</f>
        <v>0</v>
      </c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>
        <f>150*'Données projet'!E155+13.8*('Données projet'!F155+'Données projet'!G155)+10*'Données projet'!H155</f>
        <v>0</v>
      </c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>
        <f>150*'Données projet'!E156+13.8*('Données projet'!F156+'Données projet'!G156)+10*'Données projet'!H156</f>
        <v>0</v>
      </c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>
        <f>150*'Données projet'!E157+13.8*('Données projet'!F157+'Données projet'!G157)+10*'Données projet'!H157</f>
        <v>0</v>
      </c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>
        <f>150*'Données projet'!E158+13.8*('Données projet'!F158+'Données projet'!G158)+10*'Données projet'!H158</f>
        <v>0</v>
      </c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>
        <f>150*'Données projet'!E159+13.8*('Données projet'!F159+'Données projet'!G159)+10*'Données projet'!H159</f>
        <v>0</v>
      </c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8" t="s">
        <v>132</v>
      </c>
      <c r="C172" s="197" t="s">
        <v>132</v>
      </c>
      <c r="D172" s="196" t="s">
        <v>132</v>
      </c>
      <c r="E172" s="193"/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>
        <f>300*'Données projet'!E166+13.8*('Données projet'!F166+'Données projet'!G168)+10*'Données projet'!H166</f>
        <v>0</v>
      </c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>
        <f>300*'Données projet'!E167+13.8*('Données projet'!F167+'Données projet'!G169)+10*'Données projet'!H167</f>
        <v>0</v>
      </c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>
        <f>300*'Données projet'!E168+13.8*('Données projet'!F168+'Données projet'!G170)+10*'Données projet'!H168</f>
        <v>0</v>
      </c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>
        <f>300*'Données projet'!E169+13.8*('Données projet'!F169+'Données projet'!G171)+10*'Données projet'!H169</f>
        <v>0</v>
      </c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>
        <f>300*'Données projet'!E170+13.8*('Données projet'!F170+'Données projet'!G172)+10*'Données projet'!H170</f>
        <v>0</v>
      </c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>
        <f>300*'Données projet'!E171+13.8*('Données projet'!F171+'Données projet'!G173)+10*'Données projet'!H171</f>
        <v>0</v>
      </c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>
        <f>300*'Données projet'!E172+13.8*('Données projet'!F172+'Données projet'!G174)+10*'Données projet'!H172</f>
        <v>0</v>
      </c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>
        <f>300*'Données projet'!E173+13.8*('Données projet'!F173+'Données projet'!G175)+10*'Données projet'!H173</f>
        <v>0</v>
      </c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>
        <f>300*'Données projet'!E174+13.8*('Données projet'!F174+'Données projet'!G176)+10*'Données projet'!H174</f>
        <v>0</v>
      </c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>
        <f>300*'Données projet'!E175+13.8*('Données projet'!F175+'Données projet'!G177)+10*'Données projet'!H175</f>
        <v>0</v>
      </c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>
        <f>300*'Données projet'!E176+13.8*('Données projet'!F176+'Données projet'!G178)+10*'Données projet'!H176</f>
        <v>0</v>
      </c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>
        <f>300*'Données projet'!E177+13.8*('Données projet'!F177+'Données projet'!G179)+10*'Données projet'!H177</f>
        <v>0</v>
      </c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>
        <f>300*'Données projet'!E178+13.8*('Données projet'!F178+'Données projet'!G180)+10*'Données projet'!H178</f>
        <v>0</v>
      </c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>
        <f>300*'Données projet'!E179+13.8*('Données projet'!F179+'Données projet'!G181)+10*'Données projet'!H179</f>
        <v>0</v>
      </c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>
        <f>300*'Données projet'!E180+13.8*('Données projet'!F180+'Données projet'!G182)+10*'Données projet'!H180</f>
        <v>0</v>
      </c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>
        <f>300*'Données projet'!E181+13.8*('Données projet'!F181+'Données projet'!G183)+10*'Données projet'!H181</f>
        <v>0</v>
      </c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>
        <f>300*'Données projet'!E182+13.8*('Données projet'!F182+'Données projet'!G184)+10*'Données projet'!H182</f>
        <v>0</v>
      </c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>
        <f>300*'Données projet'!E183+13.8*('Données projet'!F183+'Données projet'!G185)+10*'Données projet'!H183</f>
        <v>0</v>
      </c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>
        <f>300*'Données projet'!E184+13.8*('Données projet'!F184+'Données projet'!G186)+10*'Données projet'!H184</f>
        <v>0</v>
      </c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>
        <f>300*'Données projet'!E185+13.8*('Données projet'!F185+'Données projet'!G187)+10*'Données projet'!H185</f>
        <v>0</v>
      </c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8" t="s">
        <v>132</v>
      </c>
      <c r="C203" s="197" t="s">
        <v>132</v>
      </c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>
        <f>150*'Données projet'!E192+13.8*('Données projet'!F192+'Données projet'!G192)+10*'Données projet'!H192</f>
        <v>0</v>
      </c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>
        <f>150*'Données projet'!E193+13.8*('Données projet'!F193+'Données projet'!G193)+10*'Données projet'!H193</f>
        <v>0</v>
      </c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>
        <f>150*'Données projet'!E194+13.8*('Données projet'!F194+'Données projet'!G194)+10*'Données projet'!H194</f>
        <v>0</v>
      </c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>
        <f>150*'Données projet'!E195+13.8*('Données projet'!F195+'Données projet'!G195)+10*'Données projet'!H195</f>
        <v>0</v>
      </c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>
        <f>150*'Données projet'!E196+13.8*('Données projet'!F196+'Données projet'!G196)+10*'Données projet'!H196</f>
        <v>0</v>
      </c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>
        <f>150*'Données projet'!E197+13.8*('Données projet'!F197+'Données projet'!G197)+10*'Données projet'!H197</f>
        <v>0</v>
      </c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>
        <f>150*'Données projet'!E198+13.8*('Données projet'!F198+'Données projet'!G198)+10*'Données projet'!H198</f>
        <v>0</v>
      </c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>
        <f>150*'Données projet'!E199+13.8*('Données projet'!F199+'Données projet'!G199)+10*'Données projet'!H199</f>
        <v>0</v>
      </c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>
        <f>150*'Données projet'!E200+13.8*('Données projet'!F200+'Données projet'!G200)+10*'Données projet'!H200</f>
        <v>0</v>
      </c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>
        <f>150*'Données projet'!E201+13.8*('Données projet'!F201+'Données projet'!G201)+10*'Données projet'!H201</f>
        <v>0</v>
      </c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>
        <f>150*'Données projet'!E202+13.8*('Données projet'!F202+'Données projet'!G202)+10*'Données projet'!H202</f>
        <v>0</v>
      </c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>
        <f>150*'Données projet'!E203+13.8*('Données projet'!F203+'Données projet'!G203)+10*'Données projet'!H203</f>
        <v>0</v>
      </c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>
        <f>150*'Données projet'!E204+13.8*('Données projet'!F204+'Données projet'!G204)+10*'Données projet'!H204</f>
        <v>0</v>
      </c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>
        <f>150*'Données projet'!E205+13.8*('Données projet'!F205+'Données projet'!G205)+10*'Données projet'!H205</f>
        <v>0</v>
      </c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>
        <f>150*'Données projet'!E206+13.8*('Données projet'!F206+'Données projet'!G206)+10*'Données projet'!H206</f>
        <v>0</v>
      </c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>
        <f>150*'Données projet'!E207+13.8*('Données projet'!F207+'Données projet'!G207)+10*'Données projet'!H207</f>
        <v>0</v>
      </c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>
        <f>150*'Données projet'!E208+13.8*('Données projet'!F208+'Données projet'!G208)+10*'Données projet'!H208</f>
        <v>0</v>
      </c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>
        <f>150*'Données projet'!E209+13.8*('Données projet'!F209+'Données projet'!G209)+10*'Données projet'!H209</f>
        <v>0</v>
      </c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>
        <f>150*'Données projet'!E210+13.8*('Données projet'!F210+'Données projet'!G210)+10*'Données projet'!H210</f>
        <v>0</v>
      </c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>
        <f>150*'Données projet'!E211+13.8*('Données projet'!F211+'Données projet'!G211)+10*'Données projet'!H211</f>
        <v>0</v>
      </c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8" t="s">
        <v>132</v>
      </c>
      <c r="C234" s="197" t="s">
        <v>132</v>
      </c>
      <c r="D234" s="196" t="s">
        <v>132</v>
      </c>
      <c r="E234" s="193"/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>
        <f>60*'Données projet'!E218+13.8*('Données projet'!F218+'Données projet'!G218)+10*'Données projet'!H218</f>
        <v>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>
        <f>60*'Données projet'!E219+13.8*('Données projet'!F219+'Données projet'!G219)+10*'Données projet'!H219</f>
        <v>0</v>
      </c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>
        <f>60*'Données projet'!E220+13.8*('Données projet'!F220+'Données projet'!G220)+10*'Données projet'!H220</f>
        <v>0</v>
      </c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>
        <f>60*'Données projet'!E221+13.8*('Données projet'!F221+'Données projet'!G221)+10*'Données projet'!H221</f>
        <v>0</v>
      </c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>
        <f>60*'Données projet'!E222+13.8*('Données projet'!F222+'Données projet'!G222)+10*'Données projet'!H222</f>
        <v>0</v>
      </c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>
        <f>60*'Données projet'!E223+13.8*('Données projet'!F223+'Données projet'!G223)+10*'Données projet'!H223</f>
        <v>0</v>
      </c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>
        <f>60*'Données projet'!E224+13.8*('Données projet'!F224+'Données projet'!G224)+10*'Données projet'!H224</f>
        <v>0</v>
      </c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>
        <f>60*'Données projet'!E225+13.8*('Données projet'!F225+'Données projet'!G225)+10*'Données projet'!H225</f>
        <v>0</v>
      </c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>
        <f>60*'Données projet'!E226+13.8*('Données projet'!F226+'Données projet'!G226)+10*'Données projet'!H226</f>
        <v>0</v>
      </c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>
        <f>60*'Données projet'!E227+13.8*('Données projet'!F227+'Données projet'!G227)+10*'Données projet'!H227</f>
        <v>0</v>
      </c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>
        <f>60*'Données projet'!E228+13.8*('Données projet'!F228+'Données projet'!G228)+10*'Données projet'!H228</f>
        <v>0</v>
      </c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>
        <f>60*'Données projet'!E229+13.8*('Données projet'!F229+'Données projet'!G229)+10*'Données projet'!H229</f>
        <v>0</v>
      </c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>
        <f>60*'Données projet'!E230+13.8*('Données projet'!F230+'Données projet'!G230)+10*'Données projet'!H230</f>
        <v>0</v>
      </c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>
        <f>60*'Données projet'!E231+13.8*('Données projet'!F231+'Données projet'!G231)+10*'Données projet'!H231</f>
        <v>0</v>
      </c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>
        <f>60*'Données projet'!E232+13.8*('Données projet'!F232+'Données projet'!G232)+10*'Données projet'!H232</f>
        <v>0</v>
      </c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>
        <f>60*'Données projet'!E233+13.8*('Données projet'!F233+'Données projet'!G233)+10*'Données projet'!H233</f>
        <v>0</v>
      </c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>
        <f>60*'Données projet'!E234+13.8*('Données projet'!F234+'Données projet'!G234)+10*'Données projet'!H234</f>
        <v>0</v>
      </c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>
        <f>60*'Données projet'!E235+13.8*('Données projet'!F235+'Données projet'!G235)+10*'Données projet'!H235</f>
        <v>0</v>
      </c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>
        <f>60*'Données projet'!E236+13.8*('Données projet'!F236+'Données projet'!G236)+10*'Données projet'!H236</f>
        <v>0</v>
      </c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>
        <f>60*'Données projet'!E237+13.8*('Données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8" t="s">
        <v>132</v>
      </c>
      <c r="C265" s="197" t="s">
        <v>132</v>
      </c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>
        <f>60*'Données projet'!E244+13.8*('Données projet'!F244+'Données projet'!G244)+10*'Données projet'!H244</f>
        <v>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>
        <f>60*'Données projet'!E245+13.8*('Données projet'!F245+'Données projet'!G245)+10*'Données projet'!H245</f>
        <v>0</v>
      </c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>
        <f>60*'Données projet'!E246+13.8*('Données projet'!F246+'Données projet'!G246)+10*'Données projet'!H246</f>
        <v>0</v>
      </c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>
        <f>60*'Données projet'!E247+13.8*('Données projet'!F247+'Données projet'!G247)+10*'Données projet'!H247</f>
        <v>0</v>
      </c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>
        <f>60*'Données projet'!E248+13.8*('Données projet'!F248+'Données projet'!G248)+10*'Données projet'!H248</f>
        <v>0</v>
      </c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>
        <f>60*'Données projet'!E249+13.8*('Données projet'!F249+'Données projet'!G249)+10*'Données projet'!H249</f>
        <v>0</v>
      </c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>
        <f>60*'Données projet'!E250+13.8*('Données projet'!F250+'Données projet'!G250)+10*'Données projet'!H250</f>
        <v>0</v>
      </c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>
        <f>60*'Données projet'!E251+13.8*('Données projet'!F251+'Données projet'!G251)+10*'Données projet'!H251</f>
        <v>0</v>
      </c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>
        <f>60*'Données projet'!E252+13.8*('Données projet'!F252+'Données projet'!G252)+10*'Données projet'!H252</f>
        <v>0</v>
      </c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>
        <f>60*'Données projet'!E253+13.8*('Données projet'!F253+'Données projet'!G253)+10*'Données projet'!H253</f>
        <v>0</v>
      </c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>
        <f>60*'Données projet'!E254+13.8*('Données projet'!F254+'Données projet'!G254)+10*'Données projet'!H254</f>
        <v>0</v>
      </c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>
        <f>60*'Données projet'!E255+13.8*('Données projet'!F255+'Données projet'!G255)+10*'Données projet'!H255</f>
        <v>0</v>
      </c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>
        <f>60*'Données projet'!E256+13.8*('Données projet'!F256+'Données projet'!G256)+10*'Données projet'!H256</f>
        <v>0</v>
      </c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>
        <f>60*'Données projet'!E257+13.8*('Données projet'!F257+'Données projet'!G257)+10*'Données projet'!H257</f>
        <v>0</v>
      </c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>
        <f>60*'Données projet'!E258+13.8*('Données projet'!F258+'Données projet'!G258)+10*'Données projet'!H258</f>
        <v>0</v>
      </c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>
        <f>60*'Données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>
        <f>60*'Données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>
        <f>60*'Données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>
        <f>80*'Données projet'!E270+13.8*('Données projet'!F270+'Données projet'!G270)+10*'Données projet'!H270</f>
        <v>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>
        <f>80*'Données projet'!E271+13.8*('Données projet'!F271+'Données projet'!G271)+10*'Données projet'!H271</f>
        <v>0</v>
      </c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>
        <f>80*'Données projet'!E272+13.8*('Données projet'!F272+'Données projet'!G272)+10*'Données projet'!H272</f>
        <v>0</v>
      </c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>
        <f>80*'Données projet'!E273+13.8*('Données projet'!F273+'Données projet'!G273)+10*'Données projet'!H273</f>
        <v>0</v>
      </c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>
        <f>80*'Données projet'!E274+13.8*('Données projet'!F274+'Données projet'!G274)+10*'Données projet'!H274</f>
        <v>0</v>
      </c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>
        <f>80*'Données projet'!E275+13.8*('Données projet'!F275+'Données projet'!G275)+10*'Données projet'!H275</f>
        <v>0</v>
      </c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>
        <f>80*'Données projet'!E276+13.8*('Données projet'!F276+'Données projet'!G276)+10*'Données projet'!H276</f>
        <v>0</v>
      </c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>
        <f>80*'Données projet'!E277+13.8*('Données projet'!F277+'Données projet'!G277)+10*'Données projet'!H277</f>
        <v>0</v>
      </c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>
        <f>80*'Données projet'!E278+13.8*('Données projet'!F278+'Données projet'!G278)+10*'Données projet'!H278</f>
        <v>0</v>
      </c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>
        <f>80*'Données projet'!E279+13.8*('Données projet'!F279+'Données projet'!G279)+10*'Données projet'!H279</f>
        <v>0</v>
      </c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>
        <f>80*'Données projet'!E280+13.8*('Données projet'!F280+'Données projet'!G280)+10*'Données projet'!H280</f>
        <v>0</v>
      </c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>
        <f>80*'Données projet'!E281+13.8*('Données projet'!F281+'Données projet'!G281)+10*'Données projet'!H281</f>
        <v>0</v>
      </c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>
        <f>80*'Données projet'!E282+13.8*('Données projet'!F282+'Données projet'!G282)+10*'Données projet'!H282</f>
        <v>0</v>
      </c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>
        <f>80*'Données projet'!E283+13.8*('Données projet'!F283+'Données projet'!G283)+10*'Données projet'!H283</f>
        <v>0</v>
      </c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>
        <f>80*'Données projet'!E284+13.8*('Données projet'!F284+'Données projet'!G284)+10*'Données projet'!H284</f>
        <v>0</v>
      </c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>
        <f>80*'Données projet'!E285+13.8*('Données projet'!F285+'Données projet'!G285)+10*'Données projet'!H285</f>
        <v>0</v>
      </c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>
        <f>80*'Données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>
        <f>80*'Données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>
        <f>80*'Données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1">
        <f>80*'Données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Lou StockCo2</cp:lastModifiedBy>
  <dcterms:created xsi:type="dcterms:W3CDTF">2021-02-01T08:22:39Z</dcterms:created>
  <dcterms:modified xsi:type="dcterms:W3CDTF">2024-06-13T09:44:15Z</dcterms:modified>
</cp:coreProperties>
</file>